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Default Extension="tiff" ContentType="image/tif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omments2.xml" ContentType="application/vnd.openxmlformats-officedocument.spreadsheetml.comments+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comments3.xml" ContentType="application/vnd.openxmlformats-officedocument.spreadsheetml.comment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omments4.xml" ContentType="application/vnd.openxmlformats-officedocument.spreadsheetml.comments+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5.xml" ContentType="application/vnd.openxmlformats-officedocument.drawingml.chartshape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omments5.xml" ContentType="application/vnd.openxmlformats-officedocument.spreadsheetml.comments+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OSTAS-PC\Users\Kostas\„Google“ diskas\Top down\Credit Suisse Equity Research\"/>
    </mc:Choice>
  </mc:AlternateContent>
  <bookViews>
    <workbookView xWindow="0" yWindow="465" windowWidth="20490" windowHeight="6990" tabRatio="719" activeTab="4"/>
  </bookViews>
  <sheets>
    <sheet name="Model" sheetId="1" r:id="rId1"/>
    <sheet name="Segmental composition" sheetId="21" r:id="rId2"/>
    <sheet name="Assumptions" sheetId="20" r:id="rId3"/>
    <sheet name="Annual" sheetId="19" r:id="rId4"/>
    <sheet name="Multiples" sheetId="27" r:id="rId5"/>
    <sheet name="Beta" sheetId="25" r:id="rId6"/>
    <sheet name="DDM" sheetId="12" r:id="rId7"/>
    <sheet name="RIV model" sheetId="28" r:id="rId8"/>
    <sheet name="ROIC val" sheetId="18" r:id="rId9"/>
    <sheet name="Fair multiples valuation" sheetId="17" state="hidden" r:id="rId10"/>
    <sheet name="Charts and tables" sheetId="5" r:id="rId11"/>
    <sheet name="Reference dates" sheetId="3" state="hidden" r:id="rId12"/>
    <sheet name="Growth Calculations" sheetId="11" r:id="rId13"/>
    <sheet name="GDP data" sheetId="8" r:id="rId14"/>
    <sheet name="GDP per capita" sheetId="9" state="hidden" r:id="rId15"/>
    <sheet name="Wealth growth charts" sheetId="23" state="hidden" r:id="rId16"/>
  </sheet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B19" i="12" l="1"/>
  <c r="B17" i="12" l="1"/>
  <c r="B16" i="12"/>
  <c r="C5" i="27"/>
  <c r="C7" i="27" s="1"/>
  <c r="B23" i="28"/>
  <c r="AY4" i="1"/>
  <c r="AZ4" i="1"/>
  <c r="AX2" i="1"/>
  <c r="AX4" i="1" s="1"/>
  <c r="AY2" i="1"/>
  <c r="AZ2" i="1"/>
  <c r="BA2" i="1"/>
  <c r="BA4" i="1" s="1"/>
  <c r="AW2" i="1"/>
  <c r="I55" i="28" l="1"/>
  <c r="Z22" i="28" l="1"/>
  <c r="AA22" i="28" s="1"/>
  <c r="AB22" i="28" s="1"/>
  <c r="AC22" i="28" s="1"/>
  <c r="AD22" i="28" s="1"/>
  <c r="AE22" i="28" s="1"/>
  <c r="AF22" i="28" s="1"/>
  <c r="AG22" i="28" s="1"/>
  <c r="AH22" i="28" s="1"/>
  <c r="AI22" i="28" s="1"/>
  <c r="AJ22" i="28" s="1"/>
  <c r="AK22" i="28" s="1"/>
  <c r="AL22" i="28" s="1"/>
  <c r="AM22" i="28" s="1"/>
  <c r="AN22" i="28" s="1"/>
  <c r="AO22" i="28" s="1"/>
  <c r="AP22" i="28" s="1"/>
  <c r="AQ22" i="28" s="1"/>
  <c r="AR22" i="28" s="1"/>
  <c r="AS22" i="28" s="1"/>
  <c r="P24" i="28"/>
  <c r="Q24" i="28" s="1"/>
  <c r="R24" i="28" s="1"/>
  <c r="S24" i="28" s="1"/>
  <c r="T24" i="28" s="1"/>
  <c r="U24" i="28" s="1"/>
  <c r="V24" i="28" s="1"/>
  <c r="W24" i="28" s="1"/>
  <c r="X24" i="28" s="1"/>
  <c r="Y24" i="28" s="1"/>
  <c r="Z24" i="28" s="1"/>
  <c r="AA24" i="28" s="1"/>
  <c r="AB24" i="28" s="1"/>
  <c r="AC24" i="28" s="1"/>
  <c r="AD24" i="28" s="1"/>
  <c r="AE24" i="28" s="1"/>
  <c r="AF24" i="28" s="1"/>
  <c r="AG24" i="28" s="1"/>
  <c r="AH24" i="28" s="1"/>
  <c r="AI24" i="28" s="1"/>
  <c r="AJ24" i="28" s="1"/>
  <c r="AK24" i="28" s="1"/>
  <c r="AL24" i="28" s="1"/>
  <c r="AM24" i="28" s="1"/>
  <c r="AN24" i="28" s="1"/>
  <c r="AO24" i="28" s="1"/>
  <c r="AP24" i="28" s="1"/>
  <c r="AQ24" i="28" s="1"/>
  <c r="AR24" i="28" s="1"/>
  <c r="AS24" i="28" s="1"/>
  <c r="I47" i="28" l="1"/>
  <c r="H47" i="28"/>
  <c r="G47" i="28"/>
  <c r="F47" i="28"/>
  <c r="E47" i="28"/>
  <c r="I45" i="28"/>
  <c r="H45" i="28"/>
  <c r="G45" i="28"/>
  <c r="F45" i="28"/>
  <c r="E45" i="28"/>
  <c r="I44" i="28"/>
  <c r="H44" i="28"/>
  <c r="G44" i="28"/>
  <c r="F44" i="28"/>
  <c r="E44" i="28"/>
  <c r="G43" i="28"/>
  <c r="H39" i="28"/>
  <c r="F39" i="28"/>
  <c r="E39" i="28" s="1"/>
  <c r="E43" i="28" s="1"/>
  <c r="B27" i="28"/>
  <c r="B21" i="28"/>
  <c r="B16" i="28"/>
  <c r="B20" i="28" s="1"/>
  <c r="M8" i="28"/>
  <c r="L8" i="28"/>
  <c r="M6" i="28"/>
  <c r="L6" i="28"/>
  <c r="K6" i="28"/>
  <c r="J6" i="28"/>
  <c r="I6" i="28"/>
  <c r="H6" i="28"/>
  <c r="G6" i="28"/>
  <c r="F6" i="28"/>
  <c r="E6" i="28"/>
  <c r="D6" i="28"/>
  <c r="N4" i="28"/>
  <c r="O4" i="28" s="1"/>
  <c r="P4" i="28" s="1"/>
  <c r="Q4" i="28" s="1"/>
  <c r="R4" i="28" s="1"/>
  <c r="S4" i="28" s="1"/>
  <c r="T4" i="28" s="1"/>
  <c r="U4" i="28" s="1"/>
  <c r="V4" i="28" s="1"/>
  <c r="W4" i="28" s="1"/>
  <c r="X4" i="28" s="1"/>
  <c r="Y4" i="28" s="1"/>
  <c r="Z4" i="28" s="1"/>
  <c r="AA4" i="28" s="1"/>
  <c r="AB4" i="28" s="1"/>
  <c r="AC4" i="28" s="1"/>
  <c r="AD4" i="28" s="1"/>
  <c r="O16" i="28" s="1"/>
  <c r="P16" i="28" s="1"/>
  <c r="Q16" i="28" s="1"/>
  <c r="R16" i="28" s="1"/>
  <c r="S16" i="28" s="1"/>
  <c r="T16" i="28" s="1"/>
  <c r="U16" i="28" s="1"/>
  <c r="V16" i="28" s="1"/>
  <c r="W16" i="28" s="1"/>
  <c r="X16" i="28" s="1"/>
  <c r="Y16" i="28" s="1"/>
  <c r="Z16" i="28" s="1"/>
  <c r="AA16" i="28" s="1"/>
  <c r="AB16" i="28" s="1"/>
  <c r="AC16" i="28" s="1"/>
  <c r="AD16" i="28" s="1"/>
  <c r="AE16" i="28" s="1"/>
  <c r="AF16" i="28" s="1"/>
  <c r="AG16" i="28" s="1"/>
  <c r="AH16" i="28" s="1"/>
  <c r="AI16" i="28" s="1"/>
  <c r="AJ16" i="28" s="1"/>
  <c r="AK16" i="28" s="1"/>
  <c r="AL16" i="28" s="1"/>
  <c r="AM16" i="28" s="1"/>
  <c r="AN16" i="28" s="1"/>
  <c r="AO16" i="28" s="1"/>
  <c r="AP16" i="28" s="1"/>
  <c r="AQ16" i="28" s="1"/>
  <c r="AR16" i="28" s="1"/>
  <c r="AS16" i="28" s="1"/>
  <c r="AS27" i="28" l="1"/>
  <c r="AO27" i="28"/>
  <c r="AK27" i="28"/>
  <c r="AG27" i="28"/>
  <c r="AC27" i="28"/>
  <c r="Y27" i="28"/>
  <c r="U27" i="28"/>
  <c r="Q27" i="28"/>
  <c r="M27" i="28"/>
  <c r="AR27" i="28"/>
  <c r="AM27" i="28"/>
  <c r="AH27" i="28"/>
  <c r="AB27" i="28"/>
  <c r="W27" i="28"/>
  <c r="R27" i="28"/>
  <c r="L27" i="28"/>
  <c r="AQ27" i="28"/>
  <c r="AL27" i="28"/>
  <c r="AF27" i="28"/>
  <c r="AA27" i="28"/>
  <c r="V27" i="28"/>
  <c r="P27" i="28"/>
  <c r="K27" i="28"/>
  <c r="AP27" i="28"/>
  <c r="AJ27" i="28"/>
  <c r="AE27" i="28"/>
  <c r="Z27" i="28"/>
  <c r="T27" i="28"/>
  <c r="O27" i="28"/>
  <c r="AN27" i="28"/>
  <c r="AI27" i="28"/>
  <c r="AD27" i="28"/>
  <c r="X27" i="28"/>
  <c r="S27" i="28"/>
  <c r="N27" i="28"/>
  <c r="K7" i="28"/>
  <c r="L7" i="28" s="1"/>
  <c r="F43" i="28"/>
  <c r="H43" i="28"/>
  <c r="I39" i="28"/>
  <c r="I43" i="28" s="1"/>
  <c r="L9" i="28" l="1"/>
  <c r="L12" i="28" s="1"/>
  <c r="L13" i="28" s="1"/>
  <c r="M7" i="28"/>
  <c r="C16" i="18"/>
  <c r="AG175" i="1"/>
  <c r="AJ175" i="1" s="1"/>
  <c r="AG168" i="1"/>
  <c r="AI175" i="1"/>
  <c r="AH175" i="1"/>
  <c r="N7" i="28" l="1"/>
  <c r="N9" i="28" s="1"/>
  <c r="M9" i="28"/>
  <c r="M12" i="28" s="1"/>
  <c r="M13" i="28" s="1"/>
  <c r="AG85" i="1"/>
  <c r="L51" i="5"/>
  <c r="K51" i="5"/>
  <c r="J51" i="5"/>
  <c r="I51" i="5"/>
  <c r="L50" i="5"/>
  <c r="K50" i="5"/>
  <c r="J50" i="5"/>
  <c r="I50" i="5"/>
  <c r="L49" i="5"/>
  <c r="K49" i="5"/>
  <c r="J49" i="5"/>
  <c r="I49" i="5"/>
  <c r="L48" i="5"/>
  <c r="K48" i="5"/>
  <c r="J48" i="5"/>
  <c r="I48" i="5"/>
  <c r="L47" i="5"/>
  <c r="K47" i="5"/>
  <c r="J47" i="5"/>
  <c r="I47" i="5"/>
  <c r="I36" i="5"/>
  <c r="O7" i="28" l="1"/>
  <c r="AG554" i="1"/>
  <c r="AG544" i="1"/>
  <c r="AG552" i="1"/>
  <c r="P7" i="28" l="1"/>
  <c r="J277" i="25"/>
  <c r="J279" i="25"/>
  <c r="AF304" i="20"/>
  <c r="AD38" i="1"/>
  <c r="AE38" i="1"/>
  <c r="AF38" i="1"/>
  <c r="AD39" i="1"/>
  <c r="AE39" i="1"/>
  <c r="AF39" i="1"/>
  <c r="AD40" i="1"/>
  <c r="AE40" i="1"/>
  <c r="AF40" i="1"/>
  <c r="AD41" i="1"/>
  <c r="AE41" i="1"/>
  <c r="AF41" i="1"/>
  <c r="AD43" i="1"/>
  <c r="AE43" i="1"/>
  <c r="AF43" i="1"/>
  <c r="AD44" i="1"/>
  <c r="AE44" i="1"/>
  <c r="AF44" i="1"/>
  <c r="AD45" i="1"/>
  <c r="AE45" i="1"/>
  <c r="AF45" i="1"/>
  <c r="AD46" i="1"/>
  <c r="AE46" i="1"/>
  <c r="AF46" i="1"/>
  <c r="AD47" i="1"/>
  <c r="AE47" i="1"/>
  <c r="AF47" i="1"/>
  <c r="AD48" i="1"/>
  <c r="AE48" i="1"/>
  <c r="AF48" i="1"/>
  <c r="AD49" i="1"/>
  <c r="AE49" i="1"/>
  <c r="AF49" i="1"/>
  <c r="AD50" i="1"/>
  <c r="AE50" i="1"/>
  <c r="AF50" i="1"/>
  <c r="AD51" i="1"/>
  <c r="AE51" i="1"/>
  <c r="AF51" i="1"/>
  <c r="AD52" i="1"/>
  <c r="AE52" i="1"/>
  <c r="AF52" i="1"/>
  <c r="AD53" i="1"/>
  <c r="AE53" i="1"/>
  <c r="AF53" i="1"/>
  <c r="AD54" i="1"/>
  <c r="AE54" i="1"/>
  <c r="AF54" i="1"/>
  <c r="AD55" i="1"/>
  <c r="AE55" i="1"/>
  <c r="AF55" i="1"/>
  <c r="AD56" i="1"/>
  <c r="AE56" i="1"/>
  <c r="AF56" i="1"/>
  <c r="AD57" i="1"/>
  <c r="AE57" i="1"/>
  <c r="AF57" i="1"/>
  <c r="AD58" i="1"/>
  <c r="AE58" i="1"/>
  <c r="AF58" i="1"/>
  <c r="AD59" i="1"/>
  <c r="AE59" i="1"/>
  <c r="AF59" i="1"/>
  <c r="AD60" i="1"/>
  <c r="AE60" i="1"/>
  <c r="AF60" i="1"/>
  <c r="AD61" i="1"/>
  <c r="AE61" i="1"/>
  <c r="AF61" i="1"/>
  <c r="AD62" i="1"/>
  <c r="AE62" i="1"/>
  <c r="AF62" i="1"/>
  <c r="AD63" i="1"/>
  <c r="AE63" i="1"/>
  <c r="AF63" i="1"/>
  <c r="AF137" i="1"/>
  <c r="AF155" i="1"/>
  <c r="AG155" i="1"/>
  <c r="AH155" i="1"/>
  <c r="AI155" i="1"/>
  <c r="AG2" i="20"/>
  <c r="AG103" i="20"/>
  <c r="AG338" i="20"/>
  <c r="AG303" i="20"/>
  <c r="AG10" i="20"/>
  <c r="AG215" i="1" s="1"/>
  <c r="AF104" i="20"/>
  <c r="AG104" i="20"/>
  <c r="AG304" i="20"/>
  <c r="AG11" i="20"/>
  <c r="AG222" i="1" s="1"/>
  <c r="AG102" i="20"/>
  <c r="AF102" i="20"/>
  <c r="AF336" i="20" s="1"/>
  <c r="AG336" i="20" s="1"/>
  <c r="AG9" i="20"/>
  <c r="AG211" i="1" s="1"/>
  <c r="AG109" i="20"/>
  <c r="AG342" i="20"/>
  <c r="AG308" i="20"/>
  <c r="AG15" i="20"/>
  <c r="AG303" i="1" s="1"/>
  <c r="AG304" i="1" s="1"/>
  <c r="AG70" i="21" s="1"/>
  <c r="AG88" i="21" s="1"/>
  <c r="AG110" i="20"/>
  <c r="AG343" i="20"/>
  <c r="AG309" i="20"/>
  <c r="AG16" i="20"/>
  <c r="AG314" i="1" s="1"/>
  <c r="AF107" i="20"/>
  <c r="AF108" i="20"/>
  <c r="AG108" i="20" s="1"/>
  <c r="AG114" i="20"/>
  <c r="AG347" i="20"/>
  <c r="AG313" i="20"/>
  <c r="AG20" i="20"/>
  <c r="AG413" i="1" s="1"/>
  <c r="AG115" i="20"/>
  <c r="AG348" i="20"/>
  <c r="AG314" i="20"/>
  <c r="AG21" i="20"/>
  <c r="AG407" i="1" s="1"/>
  <c r="AF113" i="20"/>
  <c r="AG113" i="20" s="1"/>
  <c r="AF119" i="20"/>
  <c r="AF118" i="20" s="1"/>
  <c r="AG118" i="20"/>
  <c r="AG351" i="20"/>
  <c r="AF120" i="20"/>
  <c r="AF352" i="20" s="1"/>
  <c r="AG120" i="20"/>
  <c r="AG352" i="20"/>
  <c r="AG25" i="20"/>
  <c r="AG486" i="1" s="1"/>
  <c r="AF125" i="20"/>
  <c r="AF124" i="20" s="1"/>
  <c r="AG124" i="20" s="1"/>
  <c r="AF126" i="20"/>
  <c r="AG126" i="20" s="1"/>
  <c r="AG526" i="1"/>
  <c r="AH2" i="20"/>
  <c r="AH103" i="20"/>
  <c r="AH338" i="20"/>
  <c r="AH303" i="20"/>
  <c r="AH10" i="20"/>
  <c r="AH104" i="20"/>
  <c r="AH304" i="20"/>
  <c r="AH11" i="20"/>
  <c r="AH102" i="20"/>
  <c r="AH9" i="20" s="1"/>
  <c r="AH211" i="1" s="1"/>
  <c r="AH109" i="20"/>
  <c r="AH342" i="20"/>
  <c r="AH308" i="20"/>
  <c r="AH15" i="20"/>
  <c r="AH110" i="20"/>
  <c r="AH343" i="20"/>
  <c r="AH309" i="20"/>
  <c r="AH16" i="20"/>
  <c r="AH108" i="20"/>
  <c r="AI108" i="20" s="1"/>
  <c r="AJ108" i="20" s="1"/>
  <c r="AK108" i="20" s="1"/>
  <c r="AL108" i="20" s="1"/>
  <c r="AM108" i="20" s="1"/>
  <c r="AN108" i="20" s="1"/>
  <c r="AH114" i="20"/>
  <c r="AH347" i="20"/>
  <c r="AH313" i="20"/>
  <c r="AH20" i="20"/>
  <c r="AH115" i="20"/>
  <c r="AH348" i="20"/>
  <c r="AH314" i="20"/>
  <c r="AH21" i="20"/>
  <c r="AH351" i="20"/>
  <c r="AH120" i="20"/>
  <c r="AH25" i="20" s="1"/>
  <c r="AH486" i="1" s="1"/>
  <c r="AH352" i="20"/>
  <c r="AH126" i="20"/>
  <c r="AI2" i="20"/>
  <c r="AI103" i="20"/>
  <c r="AI338" i="20"/>
  <c r="AI303" i="20"/>
  <c r="AI10" i="20"/>
  <c r="AI104" i="20"/>
  <c r="AI304" i="20"/>
  <c r="AI11" i="20"/>
  <c r="AI102" i="20"/>
  <c r="AI109" i="20"/>
  <c r="AI342" i="20"/>
  <c r="AI308" i="20"/>
  <c r="AI15" i="20"/>
  <c r="AI110" i="20"/>
  <c r="AI343" i="20"/>
  <c r="AI309" i="20"/>
  <c r="AI16" i="20"/>
  <c r="AI114" i="20"/>
  <c r="AI347" i="20"/>
  <c r="AI313" i="20"/>
  <c r="AI20" i="20"/>
  <c r="AI115" i="20"/>
  <c r="AI348" i="20"/>
  <c r="AI314" i="20"/>
  <c r="AI21" i="20"/>
  <c r="AI351" i="20"/>
  <c r="AI120" i="20"/>
  <c r="AI25" i="20"/>
  <c r="AI486" i="1" s="1"/>
  <c r="AJ2" i="20"/>
  <c r="AJ103" i="20"/>
  <c r="AJ338" i="20"/>
  <c r="AJ303" i="20"/>
  <c r="AJ10" i="20"/>
  <c r="AJ104" i="20"/>
  <c r="AJ304" i="20"/>
  <c r="AJ11" i="20"/>
  <c r="AJ102" i="20"/>
  <c r="AJ9" i="20"/>
  <c r="AJ211" i="1" s="1"/>
  <c r="AJ109" i="20"/>
  <c r="AJ342" i="20"/>
  <c r="AJ308" i="20"/>
  <c r="AJ15" i="20"/>
  <c r="AJ110" i="20"/>
  <c r="AJ343" i="20"/>
  <c r="AJ309" i="20"/>
  <c r="AJ16" i="20"/>
  <c r="AJ114" i="20"/>
  <c r="AJ347" i="20"/>
  <c r="AJ313" i="20"/>
  <c r="AJ20" i="20"/>
  <c r="AJ115" i="20"/>
  <c r="AJ348" i="20"/>
  <c r="AJ314" i="20"/>
  <c r="AJ21" i="20"/>
  <c r="AJ351" i="20"/>
  <c r="AJ120" i="20"/>
  <c r="AJ25" i="20" s="1"/>
  <c r="AJ486" i="1" s="1"/>
  <c r="AK2" i="20"/>
  <c r="AK103" i="20"/>
  <c r="AK338" i="20"/>
  <c r="AK303" i="20"/>
  <c r="AK10" i="20"/>
  <c r="AK104" i="20"/>
  <c r="AK304" i="20"/>
  <c r="AK11" i="20"/>
  <c r="AK102" i="20"/>
  <c r="AK109" i="20"/>
  <c r="AK342" i="20"/>
  <c r="AK308" i="20"/>
  <c r="AK15" i="20"/>
  <c r="AK110" i="20"/>
  <c r="AK343" i="20"/>
  <c r="AK309" i="20"/>
  <c r="AK16" i="20"/>
  <c r="AK114" i="20"/>
  <c r="AK347" i="20"/>
  <c r="AK313" i="20"/>
  <c r="AK20" i="20"/>
  <c r="AK115" i="20"/>
  <c r="AK348" i="20"/>
  <c r="AK314" i="20"/>
  <c r="AK21" i="20"/>
  <c r="AK351" i="20"/>
  <c r="AK120" i="20"/>
  <c r="AK25" i="20"/>
  <c r="AK486" i="1" s="1"/>
  <c r="AL2" i="20"/>
  <c r="AL103" i="20"/>
  <c r="AL338" i="20"/>
  <c r="AL303" i="20"/>
  <c r="AL10" i="20"/>
  <c r="AL104" i="20"/>
  <c r="AL304" i="20"/>
  <c r="AL11" i="20"/>
  <c r="AL109" i="20"/>
  <c r="AL342" i="20"/>
  <c r="AL308" i="20"/>
  <c r="AL15" i="20"/>
  <c r="AL110" i="20"/>
  <c r="AL343" i="20"/>
  <c r="AL309" i="20"/>
  <c r="AL16" i="20"/>
  <c r="AL114" i="20"/>
  <c r="AL347" i="20"/>
  <c r="AL313" i="20"/>
  <c r="AL20" i="20"/>
  <c r="AL115" i="20"/>
  <c r="AL348" i="20"/>
  <c r="AL314" i="20"/>
  <c r="AL21" i="20"/>
  <c r="AL351" i="20"/>
  <c r="AL120" i="20"/>
  <c r="AL25" i="20" s="1"/>
  <c r="AL486" i="1" s="1"/>
  <c r="AJ155" i="1"/>
  <c r="AK155" i="1"/>
  <c r="AL155" i="1"/>
  <c r="AM155" i="1"/>
  <c r="AM154" i="1"/>
  <c r="AM2" i="20"/>
  <c r="AM103" i="20"/>
  <c r="AM338" i="20"/>
  <c r="AM303" i="20"/>
  <c r="AM10" i="20"/>
  <c r="AM104" i="20"/>
  <c r="AM304" i="20"/>
  <c r="AM11" i="20"/>
  <c r="AM109" i="20"/>
  <c r="AM342" i="20"/>
  <c r="AM308" i="20"/>
  <c r="AM15" i="20"/>
  <c r="AM110" i="20"/>
  <c r="AM343" i="20"/>
  <c r="AM309" i="20"/>
  <c r="AM16" i="20"/>
  <c r="AM114" i="20"/>
  <c r="AM347" i="20"/>
  <c r="AM313" i="20"/>
  <c r="AM20" i="20"/>
  <c r="AM115" i="20"/>
  <c r="AM348" i="20"/>
  <c r="AM314" i="20"/>
  <c r="AM21" i="20"/>
  <c r="AM351" i="20"/>
  <c r="AM120" i="20"/>
  <c r="AM25" i="20"/>
  <c r="AM486" i="1" s="1"/>
  <c r="AN2" i="20"/>
  <c r="AN103" i="20"/>
  <c r="AN338" i="20"/>
  <c r="AN303" i="20"/>
  <c r="AN10" i="20"/>
  <c r="AN104" i="20"/>
  <c r="AN304" i="20"/>
  <c r="AN11" i="20"/>
  <c r="AN109" i="20"/>
  <c r="AN342" i="20"/>
  <c r="AN308" i="20"/>
  <c r="AN15" i="20"/>
  <c r="AN110" i="20"/>
  <c r="AN343" i="20"/>
  <c r="AN309" i="20"/>
  <c r="AN16" i="20"/>
  <c r="AN114" i="20"/>
  <c r="AN347" i="20"/>
  <c r="AN313" i="20"/>
  <c r="AN20" i="20"/>
  <c r="AN115" i="20"/>
  <c r="AN348" i="20"/>
  <c r="AN314" i="20"/>
  <c r="AN21" i="20"/>
  <c r="AN351" i="20"/>
  <c r="AN120" i="20"/>
  <c r="AN25" i="20"/>
  <c r="AN486" i="1" s="1"/>
  <c r="AO2" i="20"/>
  <c r="AO103" i="20"/>
  <c r="AO338" i="20"/>
  <c r="AO303" i="20"/>
  <c r="AO10" i="20"/>
  <c r="AO104" i="20"/>
  <c r="AO304" i="20"/>
  <c r="AO11" i="20"/>
  <c r="AO109" i="20"/>
  <c r="AO342" i="20"/>
  <c r="AO308" i="20"/>
  <c r="AO15" i="20"/>
  <c r="AO110" i="20"/>
  <c r="AO343" i="20"/>
  <c r="AO309" i="20"/>
  <c r="AO16" i="20"/>
  <c r="AO108" i="20"/>
  <c r="AP108" i="20" s="1"/>
  <c r="AQ108" i="20" s="1"/>
  <c r="AR108" i="20" s="1"/>
  <c r="AS108" i="20" s="1"/>
  <c r="AT108" i="20" s="1"/>
  <c r="AU108" i="20" s="1"/>
  <c r="AV108" i="20" s="1"/>
  <c r="AW108" i="20" s="1"/>
  <c r="AO114" i="20"/>
  <c r="AO347" i="20"/>
  <c r="AO313" i="20"/>
  <c r="AO20" i="20"/>
  <c r="AO115" i="20"/>
  <c r="AO348" i="20"/>
  <c r="AO314" i="20"/>
  <c r="AO21" i="20"/>
  <c r="AO351" i="20"/>
  <c r="AO120" i="20"/>
  <c r="AO25" i="20"/>
  <c r="AO486" i="1" s="1"/>
  <c r="AP2" i="20"/>
  <c r="AP103" i="20"/>
  <c r="AP338" i="20"/>
  <c r="AP303" i="20"/>
  <c r="AP10" i="20"/>
  <c r="AP104" i="20"/>
  <c r="AP304" i="20"/>
  <c r="AP11" i="20"/>
  <c r="AP109" i="20"/>
  <c r="AP342" i="20"/>
  <c r="AP308" i="20"/>
  <c r="AP15" i="20"/>
  <c r="AP110" i="20"/>
  <c r="AP343" i="20"/>
  <c r="AP309" i="20"/>
  <c r="AP16" i="20"/>
  <c r="AP114" i="20"/>
  <c r="AP347" i="20"/>
  <c r="AP313" i="20"/>
  <c r="AP20" i="20"/>
  <c r="AP115" i="20"/>
  <c r="AP348" i="20"/>
  <c r="AP314" i="20"/>
  <c r="AP21" i="20"/>
  <c r="AP351" i="20"/>
  <c r="AP120" i="20"/>
  <c r="AN155" i="1"/>
  <c r="AO155" i="1"/>
  <c r="AP155" i="1"/>
  <c r="AQ155" i="1"/>
  <c r="AQ154" i="1"/>
  <c r="AQ2" i="20"/>
  <c r="AQ103" i="20"/>
  <c r="AQ338" i="20"/>
  <c r="AQ303" i="20"/>
  <c r="AQ10" i="20"/>
  <c r="AQ104" i="20"/>
  <c r="AQ304" i="20"/>
  <c r="AQ11" i="20"/>
  <c r="AQ109" i="20"/>
  <c r="AQ342" i="20"/>
  <c r="AQ308" i="20"/>
  <c r="AQ15" i="20"/>
  <c r="AQ110" i="20"/>
  <c r="AQ343" i="20"/>
  <c r="AQ309" i="20"/>
  <c r="AQ16" i="20"/>
  <c r="AQ114" i="20"/>
  <c r="AQ347" i="20"/>
  <c r="AQ313" i="20"/>
  <c r="AQ20" i="20"/>
  <c r="AQ115" i="20"/>
  <c r="AQ348" i="20"/>
  <c r="AQ314" i="20"/>
  <c r="AQ21" i="20"/>
  <c r="AQ351" i="20"/>
  <c r="AR2" i="20"/>
  <c r="AR103" i="20"/>
  <c r="AR338" i="20"/>
  <c r="AR303" i="20"/>
  <c r="AR10" i="20"/>
  <c r="AR104" i="20"/>
  <c r="AR304" i="20"/>
  <c r="AR11" i="20"/>
  <c r="AR109" i="20"/>
  <c r="AR342" i="20"/>
  <c r="AR308" i="20"/>
  <c r="AR15" i="20"/>
  <c r="AR110" i="20"/>
  <c r="AR343" i="20"/>
  <c r="AR309" i="20"/>
  <c r="AR16" i="20"/>
  <c r="AR114" i="20"/>
  <c r="AR347" i="20"/>
  <c r="AR313" i="20"/>
  <c r="AR20" i="20"/>
  <c r="AR115" i="20"/>
  <c r="AR348" i="20"/>
  <c r="AR314" i="20"/>
  <c r="AR21" i="20"/>
  <c r="AR351" i="20"/>
  <c r="AS2" i="20"/>
  <c r="AS103" i="20"/>
  <c r="AS338" i="20"/>
  <c r="AS303" i="20"/>
  <c r="AS10" i="20"/>
  <c r="AS104" i="20"/>
  <c r="AS304" i="20"/>
  <c r="AS11" i="20"/>
  <c r="AS109" i="20"/>
  <c r="AS342" i="20"/>
  <c r="AS308" i="20"/>
  <c r="AS15" i="20"/>
  <c r="AS110" i="20"/>
  <c r="AS343" i="20"/>
  <c r="AS309" i="20"/>
  <c r="AS16" i="20"/>
  <c r="AS114" i="20"/>
  <c r="AS347" i="20"/>
  <c r="AS313" i="20"/>
  <c r="AS20" i="20"/>
  <c r="AS115" i="20"/>
  <c r="AS348" i="20"/>
  <c r="AS314" i="20"/>
  <c r="AS21" i="20"/>
  <c r="AS351" i="20"/>
  <c r="AT2" i="20"/>
  <c r="AT103" i="20"/>
  <c r="AT338" i="20"/>
  <c r="AT303" i="20"/>
  <c r="AT10" i="20"/>
  <c r="AT104" i="20"/>
  <c r="AT304" i="20"/>
  <c r="AT11" i="20"/>
  <c r="AT109" i="20"/>
  <c r="AT342" i="20"/>
  <c r="AT308" i="20"/>
  <c r="AT15" i="20"/>
  <c r="AT110" i="20"/>
  <c r="AT343" i="20"/>
  <c r="AT309" i="20"/>
  <c r="AT16" i="20"/>
  <c r="AT114" i="20"/>
  <c r="AT347" i="20"/>
  <c r="AT313" i="20"/>
  <c r="AT20" i="20"/>
  <c r="AT115" i="20"/>
  <c r="AT348" i="20"/>
  <c r="AT314" i="20"/>
  <c r="AT21" i="20"/>
  <c r="AT351" i="20"/>
  <c r="AR155" i="1"/>
  <c r="AS155" i="1"/>
  <c r="AT155" i="1"/>
  <c r="AU155" i="1"/>
  <c r="AU154" i="1"/>
  <c r="AU2" i="20"/>
  <c r="AU103" i="20"/>
  <c r="AU338" i="20"/>
  <c r="AU303" i="20"/>
  <c r="AU10" i="20"/>
  <c r="AU104" i="20"/>
  <c r="AU304" i="20"/>
  <c r="AU11" i="20"/>
  <c r="AU109" i="20"/>
  <c r="AU342" i="20"/>
  <c r="AU308" i="20"/>
  <c r="AU15" i="20"/>
  <c r="AU110" i="20"/>
  <c r="AU343" i="20"/>
  <c r="AU309" i="20"/>
  <c r="AU16" i="20"/>
  <c r="AU114" i="20"/>
  <c r="AU347" i="20"/>
  <c r="AU313" i="20"/>
  <c r="AU20" i="20"/>
  <c r="AU115" i="20"/>
  <c r="AU348" i="20"/>
  <c r="AU314" i="20"/>
  <c r="AU21" i="20"/>
  <c r="AU351" i="20"/>
  <c r="AV2" i="20"/>
  <c r="AV103" i="20"/>
  <c r="AV338" i="20"/>
  <c r="AV303" i="20"/>
  <c r="AV10" i="20"/>
  <c r="AV104" i="20"/>
  <c r="AV304" i="20"/>
  <c r="AV11" i="20"/>
  <c r="AV109" i="20"/>
  <c r="AV342" i="20"/>
  <c r="AV308" i="20"/>
  <c r="AV15" i="20"/>
  <c r="AV110" i="20"/>
  <c r="AV343" i="20"/>
  <c r="AV309" i="20"/>
  <c r="AV16" i="20"/>
  <c r="AV114" i="20"/>
  <c r="AV347" i="20"/>
  <c r="AV313" i="20"/>
  <c r="AV20" i="20"/>
  <c r="AV115" i="20"/>
  <c r="AV348" i="20"/>
  <c r="AV314" i="20"/>
  <c r="AV21" i="20"/>
  <c r="AV351" i="20"/>
  <c r="AW2" i="20"/>
  <c r="AW103" i="20"/>
  <c r="AW338" i="20"/>
  <c r="AW303" i="20"/>
  <c r="AW10" i="20"/>
  <c r="AW104" i="20"/>
  <c r="AW304" i="20"/>
  <c r="AW11" i="20"/>
  <c r="AW109" i="20"/>
  <c r="AW342" i="20"/>
  <c r="AW308" i="20"/>
  <c r="AW15" i="20"/>
  <c r="AW110" i="20"/>
  <c r="AW343" i="20"/>
  <c r="AW309" i="20"/>
  <c r="AW16" i="20"/>
  <c r="AW114" i="20"/>
  <c r="AW347" i="20"/>
  <c r="AW313" i="20"/>
  <c r="AW20" i="20"/>
  <c r="AW115" i="20"/>
  <c r="AW348" i="20"/>
  <c r="AW314" i="20"/>
  <c r="AW21" i="20"/>
  <c r="AW351" i="20"/>
  <c r="E5" i="27"/>
  <c r="AG135" i="1"/>
  <c r="AH135" i="1"/>
  <c r="AI135" i="1"/>
  <c r="AJ135" i="1"/>
  <c r="AK135" i="1"/>
  <c r="AK137" i="1"/>
  <c r="G5" i="27"/>
  <c r="AC137" i="1"/>
  <c r="AC155" i="1"/>
  <c r="AC142" i="1"/>
  <c r="AD137" i="1"/>
  <c r="AD155" i="1"/>
  <c r="AD142" i="1"/>
  <c r="AE137" i="1"/>
  <c r="AE155" i="1"/>
  <c r="AE142" i="1"/>
  <c r="AF142" i="1"/>
  <c r="K5" i="27"/>
  <c r="M7" i="27"/>
  <c r="M8" i="27"/>
  <c r="M9" i="27"/>
  <c r="M10" i="27"/>
  <c r="M11" i="27"/>
  <c r="M12" i="27"/>
  <c r="L7" i="27"/>
  <c r="L8" i="27"/>
  <c r="L9" i="27"/>
  <c r="L10" i="27"/>
  <c r="L11" i="27"/>
  <c r="L12" i="27"/>
  <c r="B21" i="12"/>
  <c r="B48" i="18" s="1"/>
  <c r="C48" i="18" s="1"/>
  <c r="D48" i="18" s="1"/>
  <c r="E48" i="18" s="1"/>
  <c r="F48" i="18" s="1"/>
  <c r="G48" i="18" s="1"/>
  <c r="H48" i="18" s="1"/>
  <c r="I48" i="18" s="1"/>
  <c r="J48" i="18" s="1"/>
  <c r="K48" i="18" s="1"/>
  <c r="L48" i="18" s="1"/>
  <c r="M48" i="18" s="1"/>
  <c r="N48" i="18" s="1"/>
  <c r="O48" i="18" s="1"/>
  <c r="P48" i="18" s="1"/>
  <c r="Q48" i="18" s="1"/>
  <c r="R48" i="18" s="1"/>
  <c r="S48" i="18" s="1"/>
  <c r="R44" i="5"/>
  <c r="B4" i="18"/>
  <c r="B6" i="18" s="1"/>
  <c r="B5" i="18"/>
  <c r="B15" i="18"/>
  <c r="B16" i="18"/>
  <c r="B17" i="18"/>
  <c r="B19" i="18"/>
  <c r="B20" i="18"/>
  <c r="B21" i="18"/>
  <c r="B22" i="18"/>
  <c r="B24" i="18"/>
  <c r="B30" i="18"/>
  <c r="B29" i="18"/>
  <c r="B41" i="18"/>
  <c r="B42" i="18"/>
  <c r="B43" i="18"/>
  <c r="C5" i="18"/>
  <c r="C9" i="18"/>
  <c r="C17" i="18"/>
  <c r="C19" i="18"/>
  <c r="C20" i="18"/>
  <c r="C21" i="18"/>
  <c r="C24" i="18"/>
  <c r="C30" i="18"/>
  <c r="C41" i="18"/>
  <c r="C42" i="18"/>
  <c r="C43" i="18"/>
  <c r="D5" i="18"/>
  <c r="D9" i="18"/>
  <c r="D16" i="18"/>
  <c r="D17" i="18"/>
  <c r="D19" i="18"/>
  <c r="D20" i="18"/>
  <c r="D21" i="18"/>
  <c r="D24" i="18"/>
  <c r="D30" i="18"/>
  <c r="D41" i="18"/>
  <c r="D42" i="18"/>
  <c r="D43" i="18"/>
  <c r="E5" i="18"/>
  <c r="E9" i="18"/>
  <c r="E16" i="18"/>
  <c r="E17" i="18"/>
  <c r="E19" i="18"/>
  <c r="E20" i="18"/>
  <c r="E21" i="18"/>
  <c r="E24" i="18"/>
  <c r="E30" i="18"/>
  <c r="E41" i="18"/>
  <c r="E42" i="18"/>
  <c r="E43" i="18"/>
  <c r="F5" i="18"/>
  <c r="F9" i="18"/>
  <c r="F16" i="18"/>
  <c r="F17" i="18"/>
  <c r="F19" i="18"/>
  <c r="F20" i="18"/>
  <c r="F21" i="18"/>
  <c r="F24" i="18"/>
  <c r="F30" i="18"/>
  <c r="F41" i="18"/>
  <c r="F42" i="18"/>
  <c r="F43" i="18"/>
  <c r="G5" i="18"/>
  <c r="G9" i="18"/>
  <c r="G16" i="18"/>
  <c r="G17" i="18"/>
  <c r="G19" i="18"/>
  <c r="G20" i="18"/>
  <c r="G21" i="18"/>
  <c r="G24" i="18"/>
  <c r="G30" i="18"/>
  <c r="G41" i="18"/>
  <c r="G42" i="18"/>
  <c r="G43" i="18"/>
  <c r="H5" i="18"/>
  <c r="H9" i="18"/>
  <c r="H16" i="18"/>
  <c r="H17" i="18"/>
  <c r="H19" i="18"/>
  <c r="H20" i="18"/>
  <c r="H21" i="18"/>
  <c r="H24" i="18"/>
  <c r="H30" i="18"/>
  <c r="H41" i="18"/>
  <c r="H42" i="18"/>
  <c r="H43" i="18"/>
  <c r="I5" i="18"/>
  <c r="I9" i="18"/>
  <c r="I16" i="18"/>
  <c r="I17" i="18"/>
  <c r="I19" i="18"/>
  <c r="I20" i="18"/>
  <c r="I21" i="18"/>
  <c r="I24" i="18"/>
  <c r="I30" i="18"/>
  <c r="I41" i="18"/>
  <c r="I42" i="18"/>
  <c r="I43" i="18"/>
  <c r="J5" i="18"/>
  <c r="J9" i="18"/>
  <c r="J16" i="18"/>
  <c r="J17" i="18"/>
  <c r="J19" i="18"/>
  <c r="J20" i="18"/>
  <c r="J21" i="18"/>
  <c r="J24" i="18"/>
  <c r="J30" i="18"/>
  <c r="J41" i="18"/>
  <c r="J42" i="18"/>
  <c r="J43" i="18"/>
  <c r="K5" i="18"/>
  <c r="K9" i="18"/>
  <c r="K16" i="18"/>
  <c r="K17" i="18"/>
  <c r="K19" i="18"/>
  <c r="K20" i="18"/>
  <c r="K21" i="18"/>
  <c r="K24" i="18"/>
  <c r="K30" i="18"/>
  <c r="K41" i="18"/>
  <c r="K42" i="18"/>
  <c r="K43" i="18"/>
  <c r="L5" i="18"/>
  <c r="L9" i="18"/>
  <c r="L16" i="18"/>
  <c r="L17" i="18"/>
  <c r="L19" i="18"/>
  <c r="L20" i="18"/>
  <c r="L21" i="18"/>
  <c r="L24" i="18"/>
  <c r="L30" i="18"/>
  <c r="L41" i="18"/>
  <c r="L42" i="18"/>
  <c r="L43" i="18"/>
  <c r="M5" i="18"/>
  <c r="M9" i="18"/>
  <c r="M16" i="18"/>
  <c r="M17" i="18"/>
  <c r="M19" i="18"/>
  <c r="M20" i="18"/>
  <c r="M21" i="18"/>
  <c r="M24" i="18"/>
  <c r="M30" i="18"/>
  <c r="M41" i="18"/>
  <c r="M42" i="18"/>
  <c r="M43" i="18"/>
  <c r="N5" i="18"/>
  <c r="N9" i="18"/>
  <c r="N16" i="18"/>
  <c r="N17" i="18"/>
  <c r="N19" i="18"/>
  <c r="N20" i="18"/>
  <c r="N21" i="18"/>
  <c r="N24" i="18"/>
  <c r="N30" i="18"/>
  <c r="N41" i="18"/>
  <c r="N42" i="18"/>
  <c r="N43" i="18"/>
  <c r="O5" i="18"/>
  <c r="O9" i="18"/>
  <c r="O16" i="18"/>
  <c r="O17" i="18"/>
  <c r="O19" i="18"/>
  <c r="O20" i="18"/>
  <c r="O21" i="18"/>
  <c r="O24" i="18"/>
  <c r="O30" i="18"/>
  <c r="O41" i="18"/>
  <c r="O42" i="18"/>
  <c r="O43" i="18"/>
  <c r="P5" i="18"/>
  <c r="P9" i="18"/>
  <c r="P16" i="18"/>
  <c r="P17" i="18"/>
  <c r="P19" i="18"/>
  <c r="P20" i="18"/>
  <c r="P21" i="18"/>
  <c r="P24" i="18"/>
  <c r="P30" i="18"/>
  <c r="P41" i="18"/>
  <c r="P42" i="18"/>
  <c r="P43" i="18"/>
  <c r="Q5" i="18"/>
  <c r="Q9" i="18"/>
  <c r="Q16" i="18"/>
  <c r="Q17" i="18"/>
  <c r="Q19" i="18"/>
  <c r="Q20" i="18"/>
  <c r="Q21" i="18"/>
  <c r="Q24" i="18"/>
  <c r="Q30" i="18"/>
  <c r="Q41" i="18"/>
  <c r="Q42" i="18"/>
  <c r="Q43" i="18"/>
  <c r="R5" i="18"/>
  <c r="R9" i="18"/>
  <c r="R16" i="18"/>
  <c r="R17" i="18"/>
  <c r="R19" i="18"/>
  <c r="R20" i="18"/>
  <c r="R21" i="18"/>
  <c r="R24" i="18"/>
  <c r="R30" i="18"/>
  <c r="R41" i="18"/>
  <c r="R42" i="18"/>
  <c r="R43" i="18"/>
  <c r="S5" i="18"/>
  <c r="S9" i="18"/>
  <c r="S16" i="18"/>
  <c r="S17" i="18"/>
  <c r="S19" i="18"/>
  <c r="S20" i="18"/>
  <c r="S21" i="18"/>
  <c r="S24" i="18"/>
  <c r="S30" i="18"/>
  <c r="S41" i="18"/>
  <c r="S42" i="18"/>
  <c r="S43" i="18"/>
  <c r="E41" i="11"/>
  <c r="F41" i="11"/>
  <c r="AE153" i="1"/>
  <c r="AI153" i="1"/>
  <c r="AI154" i="1" s="1"/>
  <c r="G41" i="11"/>
  <c r="H41" i="11"/>
  <c r="I41" i="11"/>
  <c r="I13" i="19"/>
  <c r="I24" i="19" s="1"/>
  <c r="I27" i="19" s="1"/>
  <c r="I29" i="19" s="1"/>
  <c r="I22" i="19"/>
  <c r="J22" i="19"/>
  <c r="J24" i="19" s="1"/>
  <c r="J27" i="19" s="1"/>
  <c r="J29" i="19" s="1"/>
  <c r="J90" i="19" s="1"/>
  <c r="K22" i="19"/>
  <c r="K24" i="19" s="1"/>
  <c r="K27" i="19" s="1"/>
  <c r="K29" i="19" s="1"/>
  <c r="K90" i="19" s="1"/>
  <c r="AG137" i="1"/>
  <c r="AL135" i="1"/>
  <c r="AM135" i="1"/>
  <c r="AN135" i="1"/>
  <c r="AO135" i="1"/>
  <c r="AO137" i="1"/>
  <c r="AP135" i="1"/>
  <c r="AQ135" i="1"/>
  <c r="AR135" i="1"/>
  <c r="AS135" i="1"/>
  <c r="AS137" i="1"/>
  <c r="AT135" i="1"/>
  <c r="AU135" i="1" s="1"/>
  <c r="AV135" i="1" s="1"/>
  <c r="AW135" i="1" s="1"/>
  <c r="AT136" i="1"/>
  <c r="AU136" i="1" s="1"/>
  <c r="AV136" i="1" s="1"/>
  <c r="AW136" i="1" s="1"/>
  <c r="AE115" i="1"/>
  <c r="AD115" i="1"/>
  <c r="AC115" i="1"/>
  <c r="AB115" i="1"/>
  <c r="AA115" i="1"/>
  <c r="Z115" i="1"/>
  <c r="Y115" i="1"/>
  <c r="X115" i="1"/>
  <c r="W115" i="1"/>
  <c r="V115" i="1"/>
  <c r="U115" i="1"/>
  <c r="T115" i="1"/>
  <c r="S115" i="1"/>
  <c r="R115" i="1"/>
  <c r="Q115" i="1"/>
  <c r="P115" i="1"/>
  <c r="O115" i="1"/>
  <c r="N115" i="1"/>
  <c r="AC114" i="1"/>
  <c r="AD114" i="1"/>
  <c r="AE114" i="1"/>
  <c r="AF114" i="1"/>
  <c r="AG114" i="1"/>
  <c r="AH114" i="1"/>
  <c r="AI114" i="1"/>
  <c r="AJ114" i="1"/>
  <c r="AK114" i="1"/>
  <c r="AL114" i="1"/>
  <c r="AM114" i="1"/>
  <c r="AN114" i="1"/>
  <c r="AO114" i="1"/>
  <c r="AP114" i="1"/>
  <c r="AQ114" i="1"/>
  <c r="AR114" i="1"/>
  <c r="AS114" i="1"/>
  <c r="AT114" i="1"/>
  <c r="AU114" i="1"/>
  <c r="AV114" i="1"/>
  <c r="AW114" i="1"/>
  <c r="AH112" i="1"/>
  <c r="AI112" i="1"/>
  <c r="AJ112" i="1"/>
  <c r="AK112" i="1"/>
  <c r="AL112" i="1"/>
  <c r="AM112" i="1"/>
  <c r="AN112" i="1"/>
  <c r="AO112" i="1"/>
  <c r="AP112" i="1"/>
  <c r="AQ112" i="1"/>
  <c r="AR112" i="1"/>
  <c r="AS112" i="1"/>
  <c r="AT112" i="1"/>
  <c r="AU112" i="1"/>
  <c r="AV112" i="1"/>
  <c r="AW112" i="1"/>
  <c r="V116" i="1"/>
  <c r="W116" i="1"/>
  <c r="X116" i="1"/>
  <c r="Y116" i="1"/>
  <c r="Z116" i="1"/>
  <c r="AA116" i="1"/>
  <c r="AB116" i="1"/>
  <c r="AC116" i="1"/>
  <c r="AD116" i="1"/>
  <c r="AE116" i="1"/>
  <c r="AF116" i="1"/>
  <c r="AF115" i="1"/>
  <c r="AG112" i="1"/>
  <c r="V114" i="1"/>
  <c r="W114" i="1"/>
  <c r="X114" i="1"/>
  <c r="Y114" i="1"/>
  <c r="Z114" i="1"/>
  <c r="AA114" i="1"/>
  <c r="AB114" i="1"/>
  <c r="V5" i="5"/>
  <c r="V6" i="5"/>
  <c r="V7" i="5"/>
  <c r="V9" i="5"/>
  <c r="V10" i="5"/>
  <c r="V11" i="5"/>
  <c r="V12" i="5"/>
  <c r="V13" i="5"/>
  <c r="V14" i="5"/>
  <c r="V15" i="5"/>
  <c r="W5" i="5"/>
  <c r="W6" i="5"/>
  <c r="W7" i="5"/>
  <c r="W8" i="5"/>
  <c r="W9" i="5"/>
  <c r="W10" i="5"/>
  <c r="W11" i="5"/>
  <c r="W12" i="5"/>
  <c r="W13" i="5"/>
  <c r="W14" i="5"/>
  <c r="W15" i="5"/>
  <c r="W16" i="5"/>
  <c r="W17" i="5"/>
  <c r="W18" i="5"/>
  <c r="W19" i="5"/>
  <c r="W20" i="5"/>
  <c r="W21" i="5"/>
  <c r="F58" i="5"/>
  <c r="G58" i="5"/>
  <c r="H58" i="5"/>
  <c r="F59" i="5"/>
  <c r="G59" i="5"/>
  <c r="H59" i="5"/>
  <c r="F60" i="5"/>
  <c r="G60" i="5"/>
  <c r="H60" i="5"/>
  <c r="E60" i="5"/>
  <c r="E59" i="5"/>
  <c r="E58" i="5"/>
  <c r="D60" i="5"/>
  <c r="D59" i="5"/>
  <c r="D58" i="5"/>
  <c r="Y277" i="1"/>
  <c r="Z277" i="1"/>
  <c r="AA277" i="1"/>
  <c r="AB277" i="1"/>
  <c r="AC277" i="1"/>
  <c r="AD277" i="1"/>
  <c r="AE277" i="1"/>
  <c r="AF277" i="1"/>
  <c r="AG277" i="1"/>
  <c r="AH277" i="1"/>
  <c r="AI277" i="1"/>
  <c r="O125" i="1"/>
  <c r="S125" i="1"/>
  <c r="W125" i="1"/>
  <c r="AA125" i="1"/>
  <c r="N125" i="1"/>
  <c r="P125" i="1"/>
  <c r="Q125" i="1"/>
  <c r="R125" i="1"/>
  <c r="T125" i="1"/>
  <c r="U125" i="1"/>
  <c r="V125" i="1"/>
  <c r="X125" i="1"/>
  <c r="Y125" i="1"/>
  <c r="Z125" i="1"/>
  <c r="AC119" i="1"/>
  <c r="AJ277" i="1"/>
  <c r="AK277" i="1"/>
  <c r="AL277" i="1"/>
  <c r="AM277" i="1"/>
  <c r="AN277" i="1"/>
  <c r="AO277" i="1"/>
  <c r="AP277" i="1"/>
  <c r="AQ277" i="1"/>
  <c r="AR277" i="1"/>
  <c r="AS277" i="1"/>
  <c r="AT277" i="1"/>
  <c r="AU277" i="1"/>
  <c r="AV277" i="1"/>
  <c r="AW277" i="1"/>
  <c r="N29" i="12"/>
  <c r="O29" i="12"/>
  <c r="F46" i="28" s="1"/>
  <c r="P29" i="12"/>
  <c r="Q29" i="12"/>
  <c r="R29" i="12"/>
  <c r="P27" i="12"/>
  <c r="P28" i="12"/>
  <c r="P30" i="12"/>
  <c r="P31" i="12"/>
  <c r="B2" i="1"/>
  <c r="C2" i="1"/>
  <c r="D2" i="1"/>
  <c r="R34" i="19" s="1"/>
  <c r="E2" i="1"/>
  <c r="O45" i="19" s="1"/>
  <c r="F2" i="1"/>
  <c r="G2" i="1"/>
  <c r="H2" i="1"/>
  <c r="H4" i="1" s="1"/>
  <c r="I2" i="1"/>
  <c r="J2" i="1"/>
  <c r="K2" i="1"/>
  <c r="L2" i="1"/>
  <c r="L4" i="1" s="1"/>
  <c r="M2" i="1"/>
  <c r="N2" i="1"/>
  <c r="O2" i="1"/>
  <c r="P2" i="1"/>
  <c r="P4" i="1" s="1"/>
  <c r="Q2" i="1"/>
  <c r="R2" i="1"/>
  <c r="S2" i="1"/>
  <c r="T2" i="1"/>
  <c r="T4" i="1" s="1"/>
  <c r="U2" i="1"/>
  <c r="V2" i="1"/>
  <c r="W2" i="1"/>
  <c r="X2" i="1"/>
  <c r="X4" i="1" s="1"/>
  <c r="Y2" i="1"/>
  <c r="Z2" i="1"/>
  <c r="AA2" i="1"/>
  <c r="AB2" i="1"/>
  <c r="AB4" i="1" s="1"/>
  <c r="AC2" i="1"/>
  <c r="AC4" i="1" s="1"/>
  <c r="AD2" i="1"/>
  <c r="AE2" i="1"/>
  <c r="AF2" i="1"/>
  <c r="AF4" i="1" s="1"/>
  <c r="B1" i="18" s="1"/>
  <c r="AG2" i="1"/>
  <c r="AG4" i="1" s="1"/>
  <c r="C1" i="18" s="1"/>
  <c r="AH2" i="1"/>
  <c r="AI2" i="1"/>
  <c r="AJ2" i="1"/>
  <c r="AJ4" i="1" s="1"/>
  <c r="F1" i="18" s="1"/>
  <c r="AK2" i="1"/>
  <c r="AK4" i="1" s="1"/>
  <c r="G1" i="18" s="1"/>
  <c r="AL2" i="1"/>
  <c r="AM2" i="1"/>
  <c r="AM4" i="1" s="1"/>
  <c r="AN2" i="1"/>
  <c r="AO2" i="1"/>
  <c r="AO4" i="1" s="1"/>
  <c r="K1" i="18" s="1"/>
  <c r="AP2" i="1"/>
  <c r="AQ2" i="1"/>
  <c r="AQ4" i="1" s="1"/>
  <c r="AR2" i="1"/>
  <c r="AS2" i="1"/>
  <c r="AS4" i="1" s="1"/>
  <c r="O1" i="18" s="1"/>
  <c r="B1" i="12"/>
  <c r="C1" i="12"/>
  <c r="C4" i="12"/>
  <c r="D1" i="12"/>
  <c r="D4" i="12"/>
  <c r="E4" i="12" s="1"/>
  <c r="F4" i="12" s="1"/>
  <c r="B9" i="12" s="1"/>
  <c r="E1" i="12"/>
  <c r="E3" i="12"/>
  <c r="U20" i="5" s="1"/>
  <c r="V20" i="5" s="1"/>
  <c r="L30" i="12"/>
  <c r="L31" i="12"/>
  <c r="L28" i="12"/>
  <c r="L27" i="12"/>
  <c r="O25" i="12"/>
  <c r="Q25" i="12"/>
  <c r="R25" i="12"/>
  <c r="N25" i="12"/>
  <c r="V189" i="1"/>
  <c r="W189" i="1"/>
  <c r="X189" i="1"/>
  <c r="Y189" i="1"/>
  <c r="Z189" i="1"/>
  <c r="AA189" i="1"/>
  <c r="AB189" i="1"/>
  <c r="AC189" i="1"/>
  <c r="AD189" i="1"/>
  <c r="AE189" i="1"/>
  <c r="AF189" i="1"/>
  <c r="AG189" i="1"/>
  <c r="AH189" i="1"/>
  <c r="AI189" i="1"/>
  <c r="AJ189" i="1"/>
  <c r="AK189" i="1"/>
  <c r="AL189" i="1"/>
  <c r="AM189" i="1"/>
  <c r="AN189" i="1"/>
  <c r="AO189" i="1"/>
  <c r="AP189" i="1"/>
  <c r="AQ189" i="1"/>
  <c r="AR189" i="1"/>
  <c r="AS189" i="1"/>
  <c r="AT189" i="1"/>
  <c r="Y222" i="1"/>
  <c r="Y190" i="1"/>
  <c r="Z222" i="1"/>
  <c r="Z190" i="1"/>
  <c r="AA222" i="1"/>
  <c r="AA190" i="1"/>
  <c r="AB222" i="1"/>
  <c r="AB190" i="1"/>
  <c r="AC190" i="1"/>
  <c r="AD190" i="1"/>
  <c r="AE190" i="1"/>
  <c r="AF190" i="1"/>
  <c r="AG190" i="1"/>
  <c r="AH190" i="1"/>
  <c r="AI190" i="1"/>
  <c r="AJ190" i="1"/>
  <c r="AK190" i="1"/>
  <c r="AL190" i="1"/>
  <c r="AM190" i="1"/>
  <c r="AN190" i="1"/>
  <c r="AO190" i="1"/>
  <c r="AP190" i="1"/>
  <c r="AQ190" i="1"/>
  <c r="AR190" i="1"/>
  <c r="AS190" i="1"/>
  <c r="AT190" i="1"/>
  <c r="AD191" i="1"/>
  <c r="AH191" i="1"/>
  <c r="AL191" i="1"/>
  <c r="AP191" i="1"/>
  <c r="AT191" i="1"/>
  <c r="AC192" i="1"/>
  <c r="AD192" i="1"/>
  <c r="AE192" i="1"/>
  <c r="AF192" i="1"/>
  <c r="V192" i="1"/>
  <c r="W192" i="1"/>
  <c r="X192" i="1"/>
  <c r="Y192" i="1"/>
  <c r="Z192" i="1"/>
  <c r="AA192" i="1"/>
  <c r="AG192" i="1"/>
  <c r="AH192" i="1"/>
  <c r="AI192" i="1"/>
  <c r="AJ192" i="1"/>
  <c r="AK192" i="1"/>
  <c r="AL192" i="1"/>
  <c r="AM192" i="1"/>
  <c r="AN192" i="1"/>
  <c r="AO192" i="1"/>
  <c r="AP192" i="1"/>
  <c r="AQ192" i="1"/>
  <c r="AR192" i="1"/>
  <c r="AS192" i="1"/>
  <c r="AT192" i="1"/>
  <c r="AF206" i="1"/>
  <c r="AF197" i="1"/>
  <c r="AF211" i="1"/>
  <c r="AG198" i="1"/>
  <c r="AH198" i="1"/>
  <c r="AI198" i="1"/>
  <c r="AJ198" i="1"/>
  <c r="AK198" i="1"/>
  <c r="AL198" i="1"/>
  <c r="AM198" i="1"/>
  <c r="AN198" i="1"/>
  <c r="AO198" i="1"/>
  <c r="AP198" i="1"/>
  <c r="AQ198" i="1"/>
  <c r="AR198" i="1"/>
  <c r="AS198" i="1"/>
  <c r="AT198" i="1"/>
  <c r="AG199" i="1"/>
  <c r="AH199" i="1"/>
  <c r="AI199" i="1"/>
  <c r="AJ199" i="1"/>
  <c r="AK199" i="1"/>
  <c r="AL199" i="1"/>
  <c r="AM199" i="1"/>
  <c r="AN199" i="1"/>
  <c r="AO199" i="1"/>
  <c r="AP199" i="1"/>
  <c r="AQ199" i="1"/>
  <c r="AR199" i="1"/>
  <c r="AS199" i="1"/>
  <c r="AT199" i="1"/>
  <c r="AT200" i="1"/>
  <c r="Y314" i="1"/>
  <c r="Y278" i="1"/>
  <c r="Z314" i="1"/>
  <c r="Z278" i="1"/>
  <c r="AA314" i="1"/>
  <c r="AA278" i="1"/>
  <c r="AB278" i="1"/>
  <c r="AC278" i="1"/>
  <c r="AD278" i="1"/>
  <c r="AE278" i="1"/>
  <c r="AF278" i="1"/>
  <c r="AG278" i="1"/>
  <c r="AH278" i="1"/>
  <c r="AI278" i="1"/>
  <c r="AJ278" i="1"/>
  <c r="AK278" i="1"/>
  <c r="AL278" i="1"/>
  <c r="AM278" i="1"/>
  <c r="AN278" i="1"/>
  <c r="AO278" i="1"/>
  <c r="AP278" i="1"/>
  <c r="AQ278" i="1"/>
  <c r="AR278" i="1"/>
  <c r="AS278" i="1"/>
  <c r="AT278" i="1"/>
  <c r="AD279" i="1"/>
  <c r="AH279" i="1"/>
  <c r="AL279" i="1"/>
  <c r="AP279" i="1"/>
  <c r="AT279" i="1"/>
  <c r="AC280" i="1"/>
  <c r="AD280" i="1"/>
  <c r="AE280" i="1"/>
  <c r="AF280" i="1"/>
  <c r="AG280" i="1"/>
  <c r="AH280" i="1"/>
  <c r="AI280" i="1"/>
  <c r="AJ280" i="1"/>
  <c r="AK280" i="1"/>
  <c r="AL280" i="1"/>
  <c r="AM280" i="1"/>
  <c r="AN280" i="1"/>
  <c r="AO280" i="1"/>
  <c r="AP280" i="1"/>
  <c r="AQ280" i="1"/>
  <c r="AR280" i="1"/>
  <c r="AS280" i="1"/>
  <c r="AT280" i="1"/>
  <c r="AB285" i="1"/>
  <c r="AB288" i="1"/>
  <c r="AB294" i="1"/>
  <c r="AB295" i="1"/>
  <c r="AC285" i="1"/>
  <c r="AC288" i="1"/>
  <c r="AC294" i="1"/>
  <c r="AC295" i="1"/>
  <c r="AD285" i="1"/>
  <c r="AD288" i="1"/>
  <c r="AD294" i="1"/>
  <c r="AD295" i="1"/>
  <c r="AE285" i="1"/>
  <c r="AE288" i="1"/>
  <c r="AE294" i="1"/>
  <c r="AE295" i="1"/>
  <c r="AF285" i="1"/>
  <c r="AF288" i="1"/>
  <c r="AF294" i="1"/>
  <c r="AF295" i="1"/>
  <c r="AG286" i="1"/>
  <c r="AH286" i="1"/>
  <c r="AI286" i="1"/>
  <c r="AJ286" i="1"/>
  <c r="AK286" i="1"/>
  <c r="AL286" i="1"/>
  <c r="AM286" i="1"/>
  <c r="AN286" i="1"/>
  <c r="AO286" i="1"/>
  <c r="AP286" i="1"/>
  <c r="AQ286" i="1"/>
  <c r="AR286" i="1"/>
  <c r="AS286" i="1"/>
  <c r="AT286" i="1"/>
  <c r="AG287" i="1"/>
  <c r="AH287" i="1"/>
  <c r="AI287" i="1"/>
  <c r="AJ287" i="1"/>
  <c r="AK287" i="1"/>
  <c r="AL287" i="1"/>
  <c r="AM287" i="1"/>
  <c r="AN287" i="1"/>
  <c r="AO287" i="1"/>
  <c r="AP287" i="1"/>
  <c r="AQ287" i="1"/>
  <c r="AR287" i="1"/>
  <c r="AS287" i="1"/>
  <c r="AT287" i="1"/>
  <c r="AT288" i="1"/>
  <c r="AC381" i="1"/>
  <c r="AD381" i="1"/>
  <c r="AE381" i="1"/>
  <c r="AF381" i="1"/>
  <c r="AG381" i="1"/>
  <c r="AH381" i="1"/>
  <c r="AI381" i="1"/>
  <c r="AJ381" i="1"/>
  <c r="AK381" i="1"/>
  <c r="AL381" i="1"/>
  <c r="AM381" i="1"/>
  <c r="AN381" i="1"/>
  <c r="AO381" i="1"/>
  <c r="AP381" i="1"/>
  <c r="AQ381" i="1"/>
  <c r="AR381" i="1"/>
  <c r="AS381" i="1"/>
  <c r="AT381" i="1"/>
  <c r="AC382" i="1"/>
  <c r="AD382" i="1"/>
  <c r="AE382" i="1"/>
  <c r="AF382" i="1"/>
  <c r="AG382" i="1"/>
  <c r="AH382" i="1"/>
  <c r="AI382" i="1"/>
  <c r="AJ382" i="1"/>
  <c r="AK382" i="1"/>
  <c r="AL382" i="1"/>
  <c r="AM382" i="1"/>
  <c r="AN382" i="1"/>
  <c r="AO382" i="1"/>
  <c r="AP382" i="1"/>
  <c r="AQ382" i="1"/>
  <c r="AR382" i="1"/>
  <c r="AS382" i="1"/>
  <c r="AT382" i="1"/>
  <c r="AD383" i="1"/>
  <c r="Z383" i="1"/>
  <c r="V383" i="1"/>
  <c r="AH383" i="1"/>
  <c r="AL383" i="1"/>
  <c r="AP383" i="1"/>
  <c r="AT383" i="1"/>
  <c r="AC384" i="1"/>
  <c r="AD384" i="1"/>
  <c r="AE384" i="1"/>
  <c r="AF384" i="1"/>
  <c r="AG384" i="1"/>
  <c r="AH384" i="1"/>
  <c r="AI384" i="1"/>
  <c r="AJ384" i="1"/>
  <c r="AK384" i="1"/>
  <c r="AL384" i="1"/>
  <c r="AM384" i="1"/>
  <c r="AN384" i="1"/>
  <c r="AO384" i="1"/>
  <c r="AP384" i="1"/>
  <c r="AQ384" i="1"/>
  <c r="AR384" i="1"/>
  <c r="AS384" i="1"/>
  <c r="AT384" i="1"/>
  <c r="AG389" i="1"/>
  <c r="AH389" i="1"/>
  <c r="AI389" i="1"/>
  <c r="AJ389" i="1"/>
  <c r="AK389" i="1"/>
  <c r="AL389" i="1"/>
  <c r="AM389" i="1"/>
  <c r="AN389" i="1"/>
  <c r="AO389" i="1"/>
  <c r="AP389" i="1"/>
  <c r="AQ389" i="1"/>
  <c r="AR389" i="1"/>
  <c r="AS389" i="1"/>
  <c r="AT389" i="1"/>
  <c r="AG390" i="1"/>
  <c r="AH390" i="1"/>
  <c r="AI390" i="1"/>
  <c r="AJ390" i="1"/>
  <c r="AK390" i="1"/>
  <c r="AL390" i="1"/>
  <c r="AM390" i="1"/>
  <c r="AN390" i="1"/>
  <c r="AO390" i="1"/>
  <c r="AP390" i="1"/>
  <c r="AQ390" i="1"/>
  <c r="AR390" i="1"/>
  <c r="AS390" i="1"/>
  <c r="AT390" i="1"/>
  <c r="AG392" i="1"/>
  <c r="AH392" i="1"/>
  <c r="AI392" i="1"/>
  <c r="AJ392" i="1"/>
  <c r="AK392" i="1"/>
  <c r="AL392" i="1"/>
  <c r="AM392" i="1"/>
  <c r="AN392" i="1"/>
  <c r="AO392" i="1"/>
  <c r="AP392" i="1"/>
  <c r="AQ392" i="1"/>
  <c r="AR392" i="1"/>
  <c r="AS392" i="1"/>
  <c r="AT392" i="1"/>
  <c r="AT391" i="1"/>
  <c r="AG394" i="1"/>
  <c r="AH394" i="1"/>
  <c r="AI394" i="1"/>
  <c r="AJ394" i="1"/>
  <c r="AK394" i="1"/>
  <c r="AL394" i="1"/>
  <c r="AM394" i="1"/>
  <c r="AN394" i="1"/>
  <c r="AO394" i="1"/>
  <c r="AP394" i="1"/>
  <c r="AQ394" i="1"/>
  <c r="AR394" i="1"/>
  <c r="AS394" i="1"/>
  <c r="AT394" i="1"/>
  <c r="AG395" i="1"/>
  <c r="AH395" i="1"/>
  <c r="AI395" i="1"/>
  <c r="AJ395" i="1"/>
  <c r="AK395" i="1"/>
  <c r="AL395" i="1"/>
  <c r="AM395" i="1"/>
  <c r="AN395" i="1"/>
  <c r="AO395" i="1"/>
  <c r="AP395" i="1"/>
  <c r="AQ395" i="1"/>
  <c r="AR395" i="1"/>
  <c r="AS395" i="1"/>
  <c r="AT395" i="1"/>
  <c r="AT396" i="1"/>
  <c r="AC473" i="1"/>
  <c r="AD473" i="1"/>
  <c r="AE473" i="1"/>
  <c r="AF473" i="1"/>
  <c r="AB473" i="1"/>
  <c r="AG474" i="1"/>
  <c r="AH474" i="1"/>
  <c r="AI474" i="1"/>
  <c r="AJ474" i="1"/>
  <c r="AK474" i="1"/>
  <c r="AL474" i="1"/>
  <c r="AM474" i="1"/>
  <c r="AN474" i="1"/>
  <c r="AO474" i="1"/>
  <c r="AP474" i="1"/>
  <c r="AQ474" i="1"/>
  <c r="AR474" i="1"/>
  <c r="AS474" i="1"/>
  <c r="AT474" i="1"/>
  <c r="AC513" i="1"/>
  <c r="AD513" i="1"/>
  <c r="AE513" i="1"/>
  <c r="AF513" i="1"/>
  <c r="AB513" i="1"/>
  <c r="AG514" i="1"/>
  <c r="AH514" i="1"/>
  <c r="AI514" i="1"/>
  <c r="AJ514" i="1"/>
  <c r="AK514" i="1"/>
  <c r="AL514" i="1"/>
  <c r="AM514" i="1"/>
  <c r="AN514" i="1"/>
  <c r="AO514" i="1"/>
  <c r="AP514" i="1"/>
  <c r="AQ514" i="1"/>
  <c r="AR514" i="1"/>
  <c r="AS514" i="1"/>
  <c r="AT514" i="1"/>
  <c r="AP556" i="1"/>
  <c r="AQ556" i="1"/>
  <c r="AR556" i="1"/>
  <c r="AS556" i="1"/>
  <c r="AT556" i="1"/>
  <c r="AG587" i="1"/>
  <c r="AH587" i="1"/>
  <c r="AI587" i="1"/>
  <c r="AJ587" i="1"/>
  <c r="AK587" i="1"/>
  <c r="AL587" i="1"/>
  <c r="AM587" i="1"/>
  <c r="AN587" i="1"/>
  <c r="AO587" i="1"/>
  <c r="AP587" i="1"/>
  <c r="AQ587" i="1"/>
  <c r="AR587" i="1"/>
  <c r="AS587" i="1"/>
  <c r="AT587" i="1"/>
  <c r="AB594" i="1"/>
  <c r="AG594" i="1"/>
  <c r="AH594" i="1"/>
  <c r="AI594" i="1"/>
  <c r="AJ594" i="1"/>
  <c r="AK594" i="1"/>
  <c r="AL594" i="1"/>
  <c r="AM594" i="1"/>
  <c r="AN594" i="1"/>
  <c r="AO594" i="1"/>
  <c r="AP594" i="1"/>
  <c r="AQ594" i="1"/>
  <c r="AR594" i="1"/>
  <c r="AS594" i="1"/>
  <c r="AT594" i="1"/>
  <c r="AT595" i="1"/>
  <c r="AH24" i="1"/>
  <c r="AI24" i="1"/>
  <c r="AJ24" i="1"/>
  <c r="AK24" i="1"/>
  <c r="AL24" i="1"/>
  <c r="AM24" i="1"/>
  <c r="AN24" i="1"/>
  <c r="AO24" i="1"/>
  <c r="AP24" i="1"/>
  <c r="AQ24" i="1"/>
  <c r="AR24" i="1"/>
  <c r="AS24" i="1"/>
  <c r="AT24" i="1"/>
  <c r="AC27" i="1"/>
  <c r="AD27" i="1"/>
  <c r="AE27" i="1"/>
  <c r="AF27" i="1"/>
  <c r="AG27" i="1"/>
  <c r="AH27" i="1"/>
  <c r="AI27" i="1"/>
  <c r="AJ27" i="1"/>
  <c r="AK27" i="1"/>
  <c r="AL27" i="1"/>
  <c r="AM27" i="1"/>
  <c r="AN27" i="1"/>
  <c r="AO27" i="1"/>
  <c r="AP27" i="1"/>
  <c r="AQ27" i="1"/>
  <c r="AR27" i="1"/>
  <c r="AS27" i="1"/>
  <c r="AT27" i="1"/>
  <c r="AU189" i="1"/>
  <c r="AU190" i="1"/>
  <c r="AE191" i="1"/>
  <c r="AI191" i="1"/>
  <c r="AM191" i="1"/>
  <c r="AQ191" i="1"/>
  <c r="AU191" i="1"/>
  <c r="AU192" i="1"/>
  <c r="AU198" i="1"/>
  <c r="AU199" i="1"/>
  <c r="AU200" i="1"/>
  <c r="AU278" i="1"/>
  <c r="AE279" i="1"/>
  <c r="AI279" i="1"/>
  <c r="AM279" i="1"/>
  <c r="AQ279" i="1"/>
  <c r="AU279" i="1"/>
  <c r="AU280" i="1"/>
  <c r="AU286" i="1"/>
  <c r="AU287" i="1"/>
  <c r="AU288" i="1"/>
  <c r="AU381" i="1"/>
  <c r="AU382" i="1"/>
  <c r="AE383" i="1"/>
  <c r="AA383" i="1"/>
  <c r="W383" i="1"/>
  <c r="AI383" i="1"/>
  <c r="AM383" i="1"/>
  <c r="AQ383" i="1"/>
  <c r="AU383" i="1"/>
  <c r="AU384" i="1"/>
  <c r="AU389" i="1"/>
  <c r="AU390" i="1"/>
  <c r="AU392" i="1"/>
  <c r="AU391" i="1"/>
  <c r="AU394" i="1"/>
  <c r="AU395" i="1"/>
  <c r="AU396" i="1"/>
  <c r="AU474" i="1"/>
  <c r="AU514" i="1"/>
  <c r="AU556" i="1"/>
  <c r="AU587" i="1"/>
  <c r="AU594" i="1"/>
  <c r="AU595" i="1"/>
  <c r="AU24" i="1"/>
  <c r="AU27" i="1"/>
  <c r="AV189" i="1"/>
  <c r="AV190" i="1"/>
  <c r="AF191" i="1"/>
  <c r="AJ191" i="1"/>
  <c r="AN191" i="1"/>
  <c r="AR191" i="1"/>
  <c r="AV191" i="1"/>
  <c r="AV192" i="1"/>
  <c r="AV198" i="1"/>
  <c r="AV199" i="1"/>
  <c r="AV200" i="1"/>
  <c r="AV278" i="1"/>
  <c r="AF279" i="1"/>
  <c r="AJ279" i="1"/>
  <c r="AN279" i="1"/>
  <c r="AR279" i="1"/>
  <c r="AV279" i="1"/>
  <c r="AV280" i="1"/>
  <c r="AV286" i="1"/>
  <c r="AV287" i="1"/>
  <c r="AV288" i="1"/>
  <c r="AV381" i="1"/>
  <c r="AV382" i="1"/>
  <c r="AF383" i="1"/>
  <c r="AB383" i="1"/>
  <c r="X383" i="1"/>
  <c r="AJ383" i="1"/>
  <c r="AN383" i="1"/>
  <c r="AR383" i="1"/>
  <c r="AV383" i="1"/>
  <c r="AV384" i="1"/>
  <c r="AV389" i="1"/>
  <c r="AV390" i="1"/>
  <c r="AV392" i="1"/>
  <c r="AV391" i="1"/>
  <c r="AV394" i="1"/>
  <c r="AV395" i="1"/>
  <c r="AV396" i="1"/>
  <c r="AV474" i="1"/>
  <c r="AV514" i="1"/>
  <c r="AV556" i="1"/>
  <c r="AV587" i="1"/>
  <c r="AV594" i="1"/>
  <c r="AV595" i="1"/>
  <c r="AV24" i="1"/>
  <c r="AV27" i="1"/>
  <c r="AW189" i="1"/>
  <c r="AW190" i="1"/>
  <c r="AC191" i="1"/>
  <c r="AG191" i="1"/>
  <c r="AK191" i="1"/>
  <c r="AO191" i="1"/>
  <c r="AS191" i="1"/>
  <c r="AW191" i="1"/>
  <c r="AW192" i="1"/>
  <c r="AW198" i="1"/>
  <c r="AW199" i="1"/>
  <c r="AW200" i="1"/>
  <c r="AW278" i="1"/>
  <c r="AC279" i="1"/>
  <c r="AG279" i="1"/>
  <c r="AK279" i="1"/>
  <c r="AO279" i="1"/>
  <c r="AS279" i="1"/>
  <c r="AW279" i="1"/>
  <c r="AW280" i="1"/>
  <c r="AW286" i="1"/>
  <c r="AW287" i="1"/>
  <c r="AW288" i="1"/>
  <c r="AW381" i="1"/>
  <c r="AW382" i="1"/>
  <c r="AC383" i="1"/>
  <c r="Y383" i="1"/>
  <c r="U383" i="1"/>
  <c r="AG383" i="1"/>
  <c r="AK383" i="1"/>
  <c r="AO383" i="1"/>
  <c r="AS383" i="1"/>
  <c r="AW383" i="1"/>
  <c r="AW384" i="1"/>
  <c r="AW389" i="1"/>
  <c r="AW390" i="1"/>
  <c r="AW392" i="1"/>
  <c r="AW391" i="1"/>
  <c r="AW394" i="1"/>
  <c r="AW395" i="1"/>
  <c r="AW396" i="1"/>
  <c r="AW474" i="1"/>
  <c r="AW514" i="1"/>
  <c r="AW556" i="1"/>
  <c r="AW587" i="1"/>
  <c r="AW594" i="1"/>
  <c r="AW595" i="1"/>
  <c r="AW24" i="1"/>
  <c r="AW27" i="1"/>
  <c r="AC206" i="1"/>
  <c r="AC197" i="1"/>
  <c r="AC211" i="1"/>
  <c r="AG200" i="1"/>
  <c r="AG288" i="1"/>
  <c r="AG391" i="1"/>
  <c r="AG396" i="1"/>
  <c r="AG19" i="1"/>
  <c r="AG479" i="1"/>
  <c r="AG556" i="1"/>
  <c r="AG595" i="1"/>
  <c r="AD206" i="1"/>
  <c r="AD197" i="1"/>
  <c r="AD211" i="1"/>
  <c r="AH200" i="1"/>
  <c r="AH288" i="1"/>
  <c r="AH391" i="1"/>
  <c r="AH396" i="1"/>
  <c r="AH595" i="1"/>
  <c r="AE206" i="1"/>
  <c r="AE197" i="1"/>
  <c r="AE211" i="1"/>
  <c r="AI200" i="1"/>
  <c r="AI288" i="1"/>
  <c r="AI391" i="1"/>
  <c r="AI396" i="1"/>
  <c r="AI595" i="1"/>
  <c r="AJ200" i="1"/>
  <c r="AJ288" i="1"/>
  <c r="AJ391" i="1"/>
  <c r="AJ396" i="1"/>
  <c r="AJ595" i="1"/>
  <c r="AK200" i="1"/>
  <c r="AK288" i="1"/>
  <c r="AK391" i="1"/>
  <c r="AK396" i="1"/>
  <c r="AK595" i="1"/>
  <c r="AL200" i="1"/>
  <c r="AL288" i="1"/>
  <c r="AL391" i="1"/>
  <c r="AL396" i="1"/>
  <c r="AL595" i="1"/>
  <c r="AM200" i="1"/>
  <c r="AM288" i="1"/>
  <c r="AM391" i="1"/>
  <c r="AM396" i="1"/>
  <c r="AM595" i="1"/>
  <c r="AN200" i="1"/>
  <c r="AN288" i="1"/>
  <c r="AN391" i="1"/>
  <c r="AN396" i="1"/>
  <c r="AN595" i="1"/>
  <c r="AO200" i="1"/>
  <c r="AO288" i="1"/>
  <c r="AO391" i="1"/>
  <c r="AO396" i="1"/>
  <c r="AO595" i="1"/>
  <c r="AP200" i="1"/>
  <c r="AP288" i="1"/>
  <c r="AP391" i="1"/>
  <c r="AP396" i="1"/>
  <c r="AP595" i="1"/>
  <c r="AQ200" i="1"/>
  <c r="AQ288" i="1"/>
  <c r="AQ391" i="1"/>
  <c r="AQ396" i="1"/>
  <c r="AQ595" i="1"/>
  <c r="AR200" i="1"/>
  <c r="AR288" i="1"/>
  <c r="AR391" i="1"/>
  <c r="AR396" i="1"/>
  <c r="AR595" i="1"/>
  <c r="AS200" i="1"/>
  <c r="AS288" i="1"/>
  <c r="AS391" i="1"/>
  <c r="AS396" i="1"/>
  <c r="AS595" i="1"/>
  <c r="AV155" i="1"/>
  <c r="AW155" i="1"/>
  <c r="M26" i="12"/>
  <c r="N26" i="12"/>
  <c r="O26" i="12"/>
  <c r="P26" i="12"/>
  <c r="Q26" i="12"/>
  <c r="R26" i="12"/>
  <c r="S26" i="12"/>
  <c r="M27" i="12"/>
  <c r="N27" i="12"/>
  <c r="O27" i="12"/>
  <c r="Q27" i="12"/>
  <c r="R27" i="12"/>
  <c r="S27" i="12"/>
  <c r="M28" i="12"/>
  <c r="N28" i="12"/>
  <c r="O28" i="12"/>
  <c r="Q28" i="12"/>
  <c r="R28" i="12"/>
  <c r="S28" i="12"/>
  <c r="M29" i="12"/>
  <c r="S29" i="12"/>
  <c r="M30" i="12"/>
  <c r="N30" i="12"/>
  <c r="O30" i="12"/>
  <c r="Q30" i="12"/>
  <c r="R30" i="12"/>
  <c r="S30" i="12"/>
  <c r="M31" i="12"/>
  <c r="N31" i="12"/>
  <c r="O31" i="12"/>
  <c r="Q31" i="12"/>
  <c r="R31" i="12"/>
  <c r="S31" i="12"/>
  <c r="M32" i="12"/>
  <c r="N32" i="12"/>
  <c r="O32" i="12"/>
  <c r="P32" i="12"/>
  <c r="Q32" i="12"/>
  <c r="R32" i="12"/>
  <c r="S32" i="12"/>
  <c r="L32" i="12"/>
  <c r="L26" i="12"/>
  <c r="S25" i="12"/>
  <c r="M25" i="12"/>
  <c r="L19" i="12"/>
  <c r="L20" i="12"/>
  <c r="L21" i="12"/>
  <c r="L17" i="12"/>
  <c r="L16" i="12"/>
  <c r="L15" i="12"/>
  <c r="Q14" i="12"/>
  <c r="R14" i="12"/>
  <c r="S14" i="12"/>
  <c r="O14" i="12"/>
  <c r="N14" i="12"/>
  <c r="M14" i="12"/>
  <c r="B41" i="17"/>
  <c r="B51" i="17"/>
  <c r="H340" i="11"/>
  <c r="AT98" i="23"/>
  <c r="BN94" i="23"/>
  <c r="BM94" i="23"/>
  <c r="BL94" i="23"/>
  <c r="BK94" i="23"/>
  <c r="BJ94" i="23"/>
  <c r="BI94" i="23"/>
  <c r="BH94" i="23"/>
  <c r="BG94" i="23"/>
  <c r="BF94" i="23"/>
  <c r="BE94" i="23"/>
  <c r="BD94" i="23"/>
  <c r="BC94" i="23"/>
  <c r="BB94" i="23"/>
  <c r="BA94" i="23"/>
  <c r="AZ94" i="23"/>
  <c r="AY94" i="23"/>
  <c r="AX94" i="23"/>
  <c r="AW94" i="23"/>
  <c r="AV94" i="23"/>
  <c r="AU94" i="23"/>
  <c r="BS93" i="23"/>
  <c r="BR93" i="23"/>
  <c r="BS92" i="23"/>
  <c r="BR92" i="23"/>
  <c r="BS91" i="23"/>
  <c r="BR91" i="23"/>
  <c r="BS90" i="23"/>
  <c r="BR90" i="23"/>
  <c r="BS89" i="23"/>
  <c r="BR89" i="23"/>
  <c r="BS88" i="23"/>
  <c r="BR88" i="23"/>
  <c r="BS87" i="23"/>
  <c r="BR87" i="23"/>
  <c r="BS86" i="23"/>
  <c r="BR86" i="23"/>
  <c r="BS85" i="23"/>
  <c r="BR85" i="23"/>
  <c r="BS84" i="23"/>
  <c r="BR84" i="23"/>
  <c r="BS83" i="23"/>
  <c r="BR83" i="23"/>
  <c r="BS82" i="23"/>
  <c r="BR82" i="23"/>
  <c r="BS81" i="23"/>
  <c r="BR81" i="23"/>
  <c r="BS80" i="23"/>
  <c r="BR80" i="23"/>
  <c r="BS79" i="23"/>
  <c r="BR79" i="23"/>
  <c r="BS78" i="23"/>
  <c r="BR78" i="23"/>
  <c r="BS77" i="23"/>
  <c r="BR77" i="23"/>
  <c r="BS76" i="23"/>
  <c r="BR76" i="23"/>
  <c r="BS75" i="23"/>
  <c r="BR75" i="23"/>
  <c r="BS74" i="23"/>
  <c r="BR74" i="23"/>
  <c r="BS73" i="23"/>
  <c r="BR73" i="23"/>
  <c r="BS72" i="23"/>
  <c r="BR72" i="23"/>
  <c r="BS71" i="23"/>
  <c r="BR71" i="23"/>
  <c r="BS70" i="23"/>
  <c r="BR70" i="23"/>
  <c r="BS69" i="23"/>
  <c r="BR69" i="23"/>
  <c r="BS68" i="23"/>
  <c r="BR68" i="23"/>
  <c r="BS67" i="23"/>
  <c r="BR67" i="23"/>
  <c r="BS66" i="23"/>
  <c r="BR66" i="23"/>
  <c r="BS65" i="23"/>
  <c r="BR65" i="23"/>
  <c r="BS64" i="23"/>
  <c r="BR64" i="23"/>
  <c r="BS63" i="23"/>
  <c r="BR63" i="23"/>
  <c r="BS62" i="23"/>
  <c r="BR62" i="23"/>
  <c r="BS61" i="23"/>
  <c r="BR61" i="23"/>
  <c r="BS60" i="23"/>
  <c r="BR60" i="23"/>
  <c r="BS59" i="23"/>
  <c r="BR59" i="23"/>
  <c r="BS58" i="23"/>
  <c r="BR58" i="23"/>
  <c r="BS57" i="23"/>
  <c r="BR57" i="23"/>
  <c r="BS56" i="23"/>
  <c r="BR56" i="23"/>
  <c r="BS55" i="23"/>
  <c r="BR55" i="23"/>
  <c r="BS54" i="23"/>
  <c r="BR54" i="23"/>
  <c r="BS53" i="23"/>
  <c r="BR53" i="23"/>
  <c r="BS52" i="23"/>
  <c r="BR52" i="23"/>
  <c r="BS51" i="23"/>
  <c r="BR51" i="23"/>
  <c r="BS50" i="23"/>
  <c r="BR50" i="23"/>
  <c r="BS49" i="23"/>
  <c r="BR49" i="23"/>
  <c r="BS48" i="23"/>
  <c r="BR48" i="23"/>
  <c r="BS47" i="23"/>
  <c r="BR47" i="23"/>
  <c r="BS46" i="23"/>
  <c r="BR46" i="23"/>
  <c r="BS45" i="23"/>
  <c r="BR45" i="23"/>
  <c r="BS44" i="23"/>
  <c r="BR44" i="23"/>
  <c r="BS43" i="23"/>
  <c r="BR43" i="23"/>
  <c r="BS42" i="23"/>
  <c r="BR42" i="23"/>
  <c r="BS41" i="23"/>
  <c r="BR41" i="23"/>
  <c r="BS40" i="23"/>
  <c r="BR40" i="23"/>
  <c r="BS39" i="23"/>
  <c r="BR39" i="23"/>
  <c r="BS38" i="23"/>
  <c r="BR38" i="23"/>
  <c r="BS37" i="23"/>
  <c r="BR37" i="23"/>
  <c r="BS36" i="23"/>
  <c r="BR36" i="23"/>
  <c r="BS35" i="23"/>
  <c r="BR35" i="23"/>
  <c r="BS34" i="23"/>
  <c r="BR34" i="23"/>
  <c r="BS33" i="23"/>
  <c r="BR33" i="23"/>
  <c r="BS32" i="23"/>
  <c r="BR32" i="23"/>
  <c r="BS31" i="23"/>
  <c r="BR31" i="23"/>
  <c r="BS30" i="23"/>
  <c r="BR30" i="23"/>
  <c r="BS29" i="23"/>
  <c r="BR29" i="23"/>
  <c r="BS28" i="23"/>
  <c r="BR28" i="23"/>
  <c r="BS27" i="23"/>
  <c r="BR27" i="23"/>
  <c r="BS26" i="23"/>
  <c r="BR26" i="23"/>
  <c r="BS25" i="23"/>
  <c r="BR25" i="23"/>
  <c r="BS24" i="23"/>
  <c r="BR24" i="23"/>
  <c r="BS23" i="23"/>
  <c r="BR23" i="23"/>
  <c r="BS22" i="23"/>
  <c r="BR22" i="23"/>
  <c r="BS21" i="23"/>
  <c r="BR21" i="23"/>
  <c r="BS20" i="23"/>
  <c r="BR20" i="23"/>
  <c r="BS19" i="23"/>
  <c r="BR19" i="23"/>
  <c r="BS18" i="23"/>
  <c r="BR18" i="23"/>
  <c r="BS17" i="23"/>
  <c r="BR17" i="23"/>
  <c r="BS16" i="23"/>
  <c r="BR16" i="23"/>
  <c r="BS15" i="23"/>
  <c r="BR15" i="23"/>
  <c r="BS14" i="23"/>
  <c r="BR14" i="23"/>
  <c r="BS13" i="23"/>
  <c r="BR13" i="23"/>
  <c r="BS12" i="23"/>
  <c r="BR12" i="23"/>
  <c r="BS11" i="23"/>
  <c r="BR11" i="23"/>
  <c r="BS10" i="23"/>
  <c r="BR10" i="23"/>
  <c r="BS9" i="23"/>
  <c r="BR9" i="23"/>
  <c r="BS8" i="23"/>
  <c r="BR8" i="23"/>
  <c r="BS7" i="23"/>
  <c r="BR7" i="23"/>
  <c r="BS6" i="23"/>
  <c r="BR6" i="23"/>
  <c r="BS5" i="23"/>
  <c r="BR5" i="23"/>
  <c r="U21" i="5"/>
  <c r="AF356" i="20"/>
  <c r="AG356" i="20" s="1"/>
  <c r="AH356" i="20" s="1"/>
  <c r="AI356" i="20" s="1"/>
  <c r="AJ356" i="20" s="1"/>
  <c r="AK356" i="20" s="1"/>
  <c r="AL356" i="20" s="1"/>
  <c r="AM356" i="20" s="1"/>
  <c r="AN356" i="20" s="1"/>
  <c r="AO356" i="20" s="1"/>
  <c r="AP356" i="20" s="1"/>
  <c r="AQ356" i="20" s="1"/>
  <c r="AR356" i="20" s="1"/>
  <c r="AS356" i="20" s="1"/>
  <c r="AT356" i="20" s="1"/>
  <c r="AU356" i="20" s="1"/>
  <c r="AV356" i="20" s="1"/>
  <c r="AW356" i="20" s="1"/>
  <c r="AB206" i="1"/>
  <c r="AB197" i="1"/>
  <c r="AB211" i="1"/>
  <c r="AG337" i="20"/>
  <c r="AH337" i="20"/>
  <c r="AI337" i="20"/>
  <c r="AJ337" i="20"/>
  <c r="AK337" i="20"/>
  <c r="AL337" i="20"/>
  <c r="AM337" i="20"/>
  <c r="AN337" i="20"/>
  <c r="AO337" i="20"/>
  <c r="AP337" i="20"/>
  <c r="AQ337" i="20"/>
  <c r="AR337" i="20"/>
  <c r="AS337" i="20"/>
  <c r="AT337" i="20"/>
  <c r="AU337" i="20"/>
  <c r="AV337" i="20"/>
  <c r="AW337" i="20"/>
  <c r="AF256" i="20"/>
  <c r="AG256" i="20" s="1"/>
  <c r="AH256" i="20" s="1"/>
  <c r="AI256" i="20" s="1"/>
  <c r="AJ256" i="20" s="1"/>
  <c r="AK256" i="20" s="1"/>
  <c r="AL256" i="20" s="1"/>
  <c r="AM256" i="20" s="1"/>
  <c r="AN256" i="20" s="1"/>
  <c r="AO256" i="20" s="1"/>
  <c r="AP256" i="20" s="1"/>
  <c r="AQ256" i="20" s="1"/>
  <c r="AR256" i="20" s="1"/>
  <c r="AS256" i="20" s="1"/>
  <c r="AT256" i="20" s="1"/>
  <c r="AU256" i="20" s="1"/>
  <c r="AV256" i="20" s="1"/>
  <c r="AW256" i="20" s="1"/>
  <c r="AF252" i="20"/>
  <c r="AG252" i="20" s="1"/>
  <c r="AH252" i="20" s="1"/>
  <c r="AI252" i="20" s="1"/>
  <c r="AJ252" i="20" s="1"/>
  <c r="AK252" i="20" s="1"/>
  <c r="AL252" i="20" s="1"/>
  <c r="AM252" i="20" s="1"/>
  <c r="AN252" i="20" s="1"/>
  <c r="AO252" i="20" s="1"/>
  <c r="AP252" i="20" s="1"/>
  <c r="AQ252" i="20" s="1"/>
  <c r="AR252" i="20" s="1"/>
  <c r="AS252" i="20" s="1"/>
  <c r="AT252" i="20" s="1"/>
  <c r="AU252" i="20" s="1"/>
  <c r="AV252" i="20" s="1"/>
  <c r="AW252" i="20" s="1"/>
  <c r="AG251" i="20"/>
  <c r="AH251" i="20"/>
  <c r="AI251" i="20"/>
  <c r="AJ251" i="20"/>
  <c r="AK251" i="20"/>
  <c r="AL251" i="20"/>
  <c r="AM251" i="20"/>
  <c r="AN251" i="20"/>
  <c r="AO251" i="20"/>
  <c r="AP251" i="20"/>
  <c r="AQ251" i="20"/>
  <c r="AR251" i="20"/>
  <c r="AS251" i="20"/>
  <c r="AT251" i="20"/>
  <c r="AU251" i="20"/>
  <c r="AV251" i="20"/>
  <c r="AW251" i="20"/>
  <c r="AG246" i="20"/>
  <c r="AF246" i="20"/>
  <c r="AG248" i="20"/>
  <c r="AH248" i="20"/>
  <c r="AI248" i="20"/>
  <c r="AJ248" i="20"/>
  <c r="AK248" i="20"/>
  <c r="AL248" i="20"/>
  <c r="AM248" i="20"/>
  <c r="AN248" i="20"/>
  <c r="AO248" i="20"/>
  <c r="AP248" i="20"/>
  <c r="AQ248" i="20"/>
  <c r="AR248" i="20"/>
  <c r="AS248" i="20"/>
  <c r="AT248" i="20"/>
  <c r="AU248" i="20"/>
  <c r="AV248" i="20"/>
  <c r="AW248" i="20"/>
  <c r="AG247" i="20"/>
  <c r="AH247" i="20"/>
  <c r="AI247" i="20"/>
  <c r="AJ247" i="20"/>
  <c r="AK247" i="20"/>
  <c r="AL247" i="20"/>
  <c r="AM247" i="20"/>
  <c r="AN247" i="20"/>
  <c r="AO247" i="20"/>
  <c r="AP247" i="20"/>
  <c r="AQ247" i="20"/>
  <c r="AR247" i="20"/>
  <c r="AS247" i="20"/>
  <c r="AT247" i="20"/>
  <c r="AU247" i="20"/>
  <c r="AV247" i="20"/>
  <c r="AW247" i="20"/>
  <c r="AG243" i="20"/>
  <c r="AH243" i="20"/>
  <c r="AI243" i="20"/>
  <c r="AJ243" i="20"/>
  <c r="AK243" i="20"/>
  <c r="AL243" i="20"/>
  <c r="AM243" i="20"/>
  <c r="AN243" i="20"/>
  <c r="AO243" i="20"/>
  <c r="AP243" i="20"/>
  <c r="AQ243" i="20"/>
  <c r="AR243" i="20"/>
  <c r="AS243" i="20"/>
  <c r="AT243" i="20"/>
  <c r="AU243" i="20"/>
  <c r="AV243" i="20"/>
  <c r="AW243" i="20"/>
  <c r="AG242" i="20"/>
  <c r="AH242" i="20"/>
  <c r="AI242" i="20"/>
  <c r="AJ242" i="20"/>
  <c r="AK242" i="20"/>
  <c r="AL242" i="20"/>
  <c r="AM242" i="20"/>
  <c r="AN242" i="20"/>
  <c r="AO242" i="20"/>
  <c r="AP242" i="20"/>
  <c r="AQ242" i="20"/>
  <c r="AR242" i="20"/>
  <c r="AS242" i="20"/>
  <c r="AT242" i="20"/>
  <c r="AU242" i="20"/>
  <c r="AV242" i="20"/>
  <c r="AW242" i="20"/>
  <c r="AG236" i="20"/>
  <c r="AH236" i="20"/>
  <c r="AI236" i="20"/>
  <c r="AJ236" i="20"/>
  <c r="AF236" i="20"/>
  <c r="AG238" i="20"/>
  <c r="AH238" i="20"/>
  <c r="AI238" i="20"/>
  <c r="AJ238" i="20"/>
  <c r="AK238" i="20"/>
  <c r="AL238" i="20"/>
  <c r="AM238" i="20"/>
  <c r="AN238" i="20"/>
  <c r="AO238" i="20"/>
  <c r="AP238" i="20"/>
  <c r="AQ238" i="20"/>
  <c r="AR238" i="20"/>
  <c r="AS238" i="20"/>
  <c r="AT238" i="20"/>
  <c r="AU238" i="20"/>
  <c r="AV238" i="20"/>
  <c r="AW238" i="20"/>
  <c r="AG237" i="20"/>
  <c r="AH237" i="20"/>
  <c r="AI237" i="20"/>
  <c r="AJ237" i="20"/>
  <c r="AK237" i="20"/>
  <c r="AL237" i="20"/>
  <c r="AM237" i="20"/>
  <c r="AN237" i="20"/>
  <c r="AO237" i="20"/>
  <c r="AP237" i="20"/>
  <c r="AQ237" i="20"/>
  <c r="AR237" i="20"/>
  <c r="AS237" i="20"/>
  <c r="AT237" i="20"/>
  <c r="AU237" i="20"/>
  <c r="AV237" i="20"/>
  <c r="AW237" i="20"/>
  <c r="A228" i="20"/>
  <c r="B228" i="20"/>
  <c r="C228" i="20"/>
  <c r="D228" i="20"/>
  <c r="E228" i="20"/>
  <c r="F228" i="20"/>
  <c r="G228" i="20"/>
  <c r="H228" i="20"/>
  <c r="I228" i="20"/>
  <c r="J228" i="20"/>
  <c r="K228" i="20"/>
  <c r="L228" i="20"/>
  <c r="M228" i="20"/>
  <c r="N228" i="20"/>
  <c r="O228" i="20"/>
  <c r="P228" i="20"/>
  <c r="Q228" i="20"/>
  <c r="R228" i="20"/>
  <c r="S228" i="20"/>
  <c r="T228" i="20"/>
  <c r="U228" i="20"/>
  <c r="V228" i="20"/>
  <c r="W228" i="20"/>
  <c r="X228" i="20"/>
  <c r="Y228" i="20"/>
  <c r="Z228" i="20"/>
  <c r="AA228" i="20"/>
  <c r="AB228" i="20"/>
  <c r="AC228" i="20"/>
  <c r="AD228" i="20"/>
  <c r="AE228" i="20"/>
  <c r="AF228" i="20"/>
  <c r="AG228" i="20"/>
  <c r="AH228" i="20"/>
  <c r="AI228" i="20"/>
  <c r="AJ228" i="20"/>
  <c r="AK228" i="20"/>
  <c r="AL228" i="20"/>
  <c r="AM228" i="20"/>
  <c r="AN228" i="20"/>
  <c r="AO228" i="20"/>
  <c r="AP228" i="20"/>
  <c r="AQ228" i="20"/>
  <c r="AR228" i="20"/>
  <c r="AS228" i="20"/>
  <c r="AT228" i="20"/>
  <c r="AU228" i="20"/>
  <c r="AV228" i="20"/>
  <c r="AW228" i="20"/>
  <c r="A229" i="20"/>
  <c r="B229" i="20"/>
  <c r="C229" i="20"/>
  <c r="D229" i="20"/>
  <c r="E229" i="20"/>
  <c r="F229" i="20"/>
  <c r="G229" i="20"/>
  <c r="H229" i="20"/>
  <c r="I229" i="20"/>
  <c r="J229" i="20"/>
  <c r="K229" i="20"/>
  <c r="L229" i="20"/>
  <c r="M229" i="20"/>
  <c r="N229" i="20"/>
  <c r="O229" i="20"/>
  <c r="P229" i="20"/>
  <c r="Q229" i="20"/>
  <c r="R229" i="20"/>
  <c r="S229" i="20"/>
  <c r="T229" i="20"/>
  <c r="U229" i="20"/>
  <c r="V229" i="20"/>
  <c r="W229" i="20"/>
  <c r="X229" i="20"/>
  <c r="Y229" i="20"/>
  <c r="Z229" i="20"/>
  <c r="AA229" i="20"/>
  <c r="AB229" i="20"/>
  <c r="AC229" i="20"/>
  <c r="AD229" i="20"/>
  <c r="AE229" i="20"/>
  <c r="AF229" i="20"/>
  <c r="AG229" i="20"/>
  <c r="AH229" i="20"/>
  <c r="AI229" i="20"/>
  <c r="AJ229" i="20"/>
  <c r="AK229" i="20"/>
  <c r="AL229" i="20"/>
  <c r="AM229" i="20"/>
  <c r="AN229" i="20"/>
  <c r="AO229" i="20"/>
  <c r="AP229" i="20"/>
  <c r="AQ229" i="20"/>
  <c r="AR229" i="20"/>
  <c r="AS229" i="20"/>
  <c r="AT229" i="20"/>
  <c r="AU229" i="20"/>
  <c r="AV229" i="20"/>
  <c r="AW229" i="20"/>
  <c r="A230" i="20"/>
  <c r="B230" i="20"/>
  <c r="C230" i="20"/>
  <c r="D230" i="20"/>
  <c r="E230" i="20"/>
  <c r="F230" i="20"/>
  <c r="G230" i="20"/>
  <c r="H230" i="20"/>
  <c r="I230" i="20"/>
  <c r="J230" i="20"/>
  <c r="K230" i="20"/>
  <c r="L230" i="20"/>
  <c r="M230" i="20"/>
  <c r="N230" i="20"/>
  <c r="O230" i="20"/>
  <c r="P230" i="20"/>
  <c r="Q230" i="20"/>
  <c r="R230" i="20"/>
  <c r="S230" i="20"/>
  <c r="T230" i="20"/>
  <c r="U230" i="20"/>
  <c r="V230" i="20"/>
  <c r="W230" i="20"/>
  <c r="X230" i="20"/>
  <c r="Y230" i="20"/>
  <c r="Z230" i="20"/>
  <c r="AA230" i="20"/>
  <c r="AB230" i="20"/>
  <c r="AC230" i="20"/>
  <c r="AD230" i="20"/>
  <c r="AE230" i="20"/>
  <c r="AF230" i="20"/>
  <c r="AG230" i="20"/>
  <c r="AH230" i="20"/>
  <c r="AI230" i="20"/>
  <c r="AJ230" i="20"/>
  <c r="AK230" i="20"/>
  <c r="AL230" i="20"/>
  <c r="AM230" i="20"/>
  <c r="AN230" i="20"/>
  <c r="AO230" i="20"/>
  <c r="AP230" i="20"/>
  <c r="AQ230" i="20"/>
  <c r="AR230" i="20"/>
  <c r="AS230" i="20"/>
  <c r="AT230" i="20"/>
  <c r="AU230" i="20"/>
  <c r="AV230" i="20"/>
  <c r="AW230" i="20"/>
  <c r="A231" i="20"/>
  <c r="B231" i="20"/>
  <c r="C231" i="20"/>
  <c r="D231" i="20"/>
  <c r="E231" i="20"/>
  <c r="F231" i="20"/>
  <c r="G231" i="20"/>
  <c r="H231" i="20"/>
  <c r="I231" i="20"/>
  <c r="J231" i="20"/>
  <c r="K231" i="20"/>
  <c r="L231" i="20"/>
  <c r="M231" i="20"/>
  <c r="N231" i="20"/>
  <c r="O231" i="20"/>
  <c r="P231" i="20"/>
  <c r="Q231" i="20"/>
  <c r="R231" i="20"/>
  <c r="S231" i="20"/>
  <c r="T231" i="20"/>
  <c r="U231" i="20"/>
  <c r="V231" i="20"/>
  <c r="W231" i="20"/>
  <c r="X231" i="20"/>
  <c r="Y231" i="20"/>
  <c r="Z231" i="20"/>
  <c r="AA231" i="20"/>
  <c r="AB231" i="20"/>
  <c r="AC231" i="20"/>
  <c r="AD231" i="20"/>
  <c r="AE231" i="20"/>
  <c r="AF231" i="20"/>
  <c r="AG231" i="20"/>
  <c r="AH231" i="20"/>
  <c r="AI231" i="20"/>
  <c r="AJ231" i="20"/>
  <c r="AK231" i="20"/>
  <c r="AL231" i="20"/>
  <c r="AM231" i="20"/>
  <c r="AN231" i="20"/>
  <c r="AO231" i="20"/>
  <c r="AP231" i="20"/>
  <c r="AQ231" i="20"/>
  <c r="AR231" i="20"/>
  <c r="AS231" i="20"/>
  <c r="AT231" i="20"/>
  <c r="AU231" i="20"/>
  <c r="AV231" i="20"/>
  <c r="AW231" i="20"/>
  <c r="A232" i="20"/>
  <c r="B232" i="20"/>
  <c r="C232" i="20"/>
  <c r="D232" i="20"/>
  <c r="E232" i="20"/>
  <c r="F232" i="20"/>
  <c r="G232" i="20"/>
  <c r="H232" i="20"/>
  <c r="I232" i="20"/>
  <c r="J232" i="20"/>
  <c r="K232" i="20"/>
  <c r="L232" i="20"/>
  <c r="M232" i="20"/>
  <c r="N232" i="20"/>
  <c r="O232" i="20"/>
  <c r="P232" i="20"/>
  <c r="Q232" i="20"/>
  <c r="R232" i="20"/>
  <c r="S232" i="20"/>
  <c r="T232" i="20"/>
  <c r="U232" i="20"/>
  <c r="V232" i="20"/>
  <c r="W232" i="20"/>
  <c r="X232" i="20"/>
  <c r="Y232" i="20"/>
  <c r="Z232" i="20"/>
  <c r="AA232" i="20"/>
  <c r="AB232" i="20"/>
  <c r="AC232" i="20"/>
  <c r="AD232" i="20"/>
  <c r="AE232" i="20"/>
  <c r="AF232" i="20"/>
  <c r="AG232" i="20"/>
  <c r="AH232" i="20"/>
  <c r="AI232" i="20"/>
  <c r="AJ232" i="20"/>
  <c r="AK232" i="20"/>
  <c r="AL232" i="20"/>
  <c r="AM232" i="20"/>
  <c r="AN232" i="20"/>
  <c r="AO232" i="20"/>
  <c r="AP232" i="20"/>
  <c r="AQ232" i="20"/>
  <c r="AR232" i="20"/>
  <c r="AS232" i="20"/>
  <c r="AT232" i="20"/>
  <c r="AU232" i="20"/>
  <c r="AV232" i="20"/>
  <c r="AW232" i="20"/>
  <c r="E40" i="11"/>
  <c r="F40" i="11"/>
  <c r="G40" i="11"/>
  <c r="H40" i="11"/>
  <c r="I40" i="11"/>
  <c r="AB521" i="1"/>
  <c r="AB522" i="1"/>
  <c r="AC521" i="1"/>
  <c r="AC522" i="1"/>
  <c r="AD521" i="1"/>
  <c r="AD522" i="1"/>
  <c r="AE521" i="1"/>
  <c r="AE522" i="1"/>
  <c r="AF521" i="1"/>
  <c r="AF522" i="1"/>
  <c r="AC416" i="1"/>
  <c r="AD416" i="1"/>
  <c r="AE416" i="1"/>
  <c r="AF416" i="1"/>
  <c r="AG416" i="1"/>
  <c r="Z33" i="1"/>
  <c r="AA33" i="1"/>
  <c r="AB13" i="1"/>
  <c r="AB21" i="1"/>
  <c r="AB23" i="1"/>
  <c r="AB26" i="1"/>
  <c r="AB28" i="1"/>
  <c r="AB33" i="1"/>
  <c r="AC13" i="1"/>
  <c r="AC21" i="1"/>
  <c r="AC23" i="1"/>
  <c r="AC26" i="1"/>
  <c r="AC28" i="1"/>
  <c r="AC33" i="1"/>
  <c r="AB481" i="1"/>
  <c r="AB486" i="1"/>
  <c r="AD13" i="1"/>
  <c r="AD21" i="1"/>
  <c r="AD23" i="1"/>
  <c r="AD26" i="1"/>
  <c r="AD28" i="1"/>
  <c r="AD33" i="1"/>
  <c r="AE13" i="1"/>
  <c r="AE21" i="1"/>
  <c r="AE23" i="1"/>
  <c r="AE26" i="1"/>
  <c r="AE28" i="1"/>
  <c r="AE33" i="1"/>
  <c r="AF13" i="1"/>
  <c r="AF21" i="1"/>
  <c r="AF23" i="1"/>
  <c r="AF26" i="1"/>
  <c r="AF28" i="1"/>
  <c r="AF33" i="1"/>
  <c r="AG136" i="1"/>
  <c r="AH136" i="1"/>
  <c r="AI136" i="1"/>
  <c r="AJ136" i="1"/>
  <c r="AK136" i="1"/>
  <c r="AL136" i="1"/>
  <c r="AM136" i="1"/>
  <c r="AN136" i="1"/>
  <c r="AO136" i="1"/>
  <c r="AP136" i="1"/>
  <c r="AQ136" i="1"/>
  <c r="AR136" i="1"/>
  <c r="AS136" i="1"/>
  <c r="W6" i="19"/>
  <c r="W41" i="19" s="1"/>
  <c r="AT14" i="1"/>
  <c r="AU14" i="1"/>
  <c r="AV14" i="1"/>
  <c r="AW14" i="1"/>
  <c r="W14" i="19"/>
  <c r="AQ182" i="1"/>
  <c r="AR182" i="1"/>
  <c r="AS182" i="1"/>
  <c r="AT182" i="1"/>
  <c r="AU182" i="1"/>
  <c r="AV182" i="1"/>
  <c r="AW182" i="1"/>
  <c r="AM183" i="1"/>
  <c r="AN183" i="1"/>
  <c r="AO183" i="1"/>
  <c r="AP183" i="1"/>
  <c r="AQ183" i="1"/>
  <c r="AR183" i="1"/>
  <c r="AS183" i="1"/>
  <c r="AT183" i="1"/>
  <c r="AU183" i="1"/>
  <c r="AV183" i="1"/>
  <c r="AW183" i="1"/>
  <c r="AG74" i="1"/>
  <c r="AH74" i="1"/>
  <c r="AI74" i="1"/>
  <c r="AJ74" i="1"/>
  <c r="AK74" i="1"/>
  <c r="AL74" i="1"/>
  <c r="AM74" i="1"/>
  <c r="AN74" i="1"/>
  <c r="AO74" i="1"/>
  <c r="AP74" i="1"/>
  <c r="AQ74" i="1"/>
  <c r="AR74" i="1"/>
  <c r="AS74" i="1"/>
  <c r="AT74" i="1"/>
  <c r="AU74" i="1" s="1"/>
  <c r="AV74" i="1" s="1"/>
  <c r="AW74" i="1" s="1"/>
  <c r="AG75" i="1"/>
  <c r="AH75" i="1"/>
  <c r="AI75" i="1"/>
  <c r="AJ75" i="1"/>
  <c r="AK75" i="1"/>
  <c r="AL75" i="1"/>
  <c r="AM75" i="1"/>
  <c r="AN75" i="1"/>
  <c r="AO75" i="1"/>
  <c r="AP75" i="1"/>
  <c r="AQ75" i="1"/>
  <c r="AR75" i="1"/>
  <c r="AS75" i="1"/>
  <c r="AT75" i="1"/>
  <c r="AU75" i="1" s="1"/>
  <c r="AV75" i="1" s="1"/>
  <c r="AG76" i="1"/>
  <c r="AH76" i="1"/>
  <c r="AI76" i="1"/>
  <c r="AJ76" i="1"/>
  <c r="AK76" i="1"/>
  <c r="AL76" i="1"/>
  <c r="AM76" i="1"/>
  <c r="AN76" i="1"/>
  <c r="AO76" i="1"/>
  <c r="AP76" i="1"/>
  <c r="AQ76" i="1"/>
  <c r="AR76" i="1"/>
  <c r="AS76" i="1"/>
  <c r="AT76" i="1"/>
  <c r="AU76" i="1" s="1"/>
  <c r="AG78" i="1"/>
  <c r="AH78" i="1"/>
  <c r="AI78" i="1"/>
  <c r="AJ78" i="1"/>
  <c r="AK78" i="1"/>
  <c r="AL78" i="1"/>
  <c r="AM78" i="1"/>
  <c r="AN78" i="1"/>
  <c r="AO78" i="1"/>
  <c r="AP78" i="1"/>
  <c r="AQ78" i="1"/>
  <c r="AR78" i="1"/>
  <c r="AS78" i="1"/>
  <c r="AT78" i="1"/>
  <c r="AU78" i="1" s="1"/>
  <c r="AV78" i="1" s="1"/>
  <c r="AW78" i="1" s="1"/>
  <c r="AG79" i="1"/>
  <c r="AH79" i="1"/>
  <c r="AI79" i="1"/>
  <c r="AJ79" i="1"/>
  <c r="AK79" i="1"/>
  <c r="AL79" i="1"/>
  <c r="AM79" i="1"/>
  <c r="AN79" i="1"/>
  <c r="AO79" i="1"/>
  <c r="AP79" i="1"/>
  <c r="AQ79" i="1"/>
  <c r="AR79" i="1"/>
  <c r="AS79" i="1"/>
  <c r="AT79" i="1"/>
  <c r="AU79" i="1" s="1"/>
  <c r="AV79" i="1" s="1"/>
  <c r="AW79" i="1" s="1"/>
  <c r="AG81" i="1"/>
  <c r="AH81" i="1"/>
  <c r="AI81" i="1"/>
  <c r="AJ81" i="1"/>
  <c r="AK81" i="1"/>
  <c r="AL81" i="1"/>
  <c r="AM81" i="1"/>
  <c r="AN81" i="1"/>
  <c r="AO81" i="1"/>
  <c r="AP81" i="1"/>
  <c r="AQ81" i="1"/>
  <c r="AR81" i="1"/>
  <c r="AS81" i="1"/>
  <c r="AT81" i="1"/>
  <c r="AU81" i="1" s="1"/>
  <c r="AV81" i="1" s="1"/>
  <c r="AW81" i="1" s="1"/>
  <c r="AG82" i="1"/>
  <c r="AH82" i="1"/>
  <c r="AI82" i="1"/>
  <c r="AJ82" i="1"/>
  <c r="AK82" i="1"/>
  <c r="AL82" i="1"/>
  <c r="AM82" i="1"/>
  <c r="AN82" i="1"/>
  <c r="AO82" i="1"/>
  <c r="AP82" i="1"/>
  <c r="AQ82" i="1"/>
  <c r="AR82" i="1"/>
  <c r="AS82" i="1"/>
  <c r="AT82" i="1"/>
  <c r="AU82" i="1" s="1"/>
  <c r="AV82" i="1" s="1"/>
  <c r="AW82" i="1" s="1"/>
  <c r="AG83" i="1"/>
  <c r="AH83" i="1"/>
  <c r="AI83" i="1"/>
  <c r="AJ83" i="1"/>
  <c r="AK83" i="1"/>
  <c r="AL83" i="1"/>
  <c r="AM83" i="1"/>
  <c r="AN83" i="1"/>
  <c r="AO83" i="1"/>
  <c r="AP83" i="1"/>
  <c r="AQ83" i="1"/>
  <c r="AR83" i="1"/>
  <c r="AS83" i="1"/>
  <c r="AT83" i="1"/>
  <c r="AU83" i="1" s="1"/>
  <c r="AV83" i="1" s="1"/>
  <c r="AW83" i="1" s="1"/>
  <c r="AG84" i="1"/>
  <c r="AH84" i="1"/>
  <c r="AI84" i="1"/>
  <c r="AJ84" i="1"/>
  <c r="AK84" i="1"/>
  <c r="AL84" i="1"/>
  <c r="AM84" i="1"/>
  <c r="AN84" i="1"/>
  <c r="AO84" i="1"/>
  <c r="AP84" i="1"/>
  <c r="AQ84" i="1"/>
  <c r="AR84" i="1"/>
  <c r="AS84" i="1"/>
  <c r="AT84" i="1"/>
  <c r="AU84" i="1" s="1"/>
  <c r="AV84" i="1" s="1"/>
  <c r="AW84" i="1" s="1"/>
  <c r="AH85" i="1"/>
  <c r="AG86" i="1"/>
  <c r="AH86" i="1"/>
  <c r="AI86" i="1"/>
  <c r="AJ86" i="1"/>
  <c r="AK86" i="1"/>
  <c r="AL86" i="1"/>
  <c r="AM86" i="1"/>
  <c r="AN86" i="1"/>
  <c r="AO86" i="1"/>
  <c r="AP86" i="1"/>
  <c r="AQ86" i="1"/>
  <c r="AR86" i="1"/>
  <c r="AS86" i="1"/>
  <c r="AT86" i="1"/>
  <c r="AU86" i="1"/>
  <c r="AV86" i="1" s="1"/>
  <c r="AW86" i="1" s="1"/>
  <c r="AG90" i="1"/>
  <c r="AH90" i="1"/>
  <c r="AI90" i="1"/>
  <c r="AJ90" i="1"/>
  <c r="AK90" i="1"/>
  <c r="AL90" i="1"/>
  <c r="AM90" i="1"/>
  <c r="AN90" i="1"/>
  <c r="AO90" i="1"/>
  <c r="AP90" i="1"/>
  <c r="AQ90" i="1"/>
  <c r="AR90" i="1"/>
  <c r="AS90" i="1"/>
  <c r="AT90" i="1"/>
  <c r="AU90" i="1"/>
  <c r="AV90" i="1"/>
  <c r="AW90" i="1"/>
  <c r="AG95" i="1"/>
  <c r="AH95" i="1"/>
  <c r="AI95" i="1"/>
  <c r="AJ95" i="1"/>
  <c r="AK95" i="1"/>
  <c r="AL95" i="1"/>
  <c r="AM95" i="1"/>
  <c r="AN95" i="1"/>
  <c r="AO95" i="1"/>
  <c r="AP95" i="1"/>
  <c r="AQ95" i="1"/>
  <c r="AR95" i="1"/>
  <c r="AS95" i="1"/>
  <c r="AT95" i="1"/>
  <c r="AU95" i="1" s="1"/>
  <c r="AV95" i="1" s="1"/>
  <c r="AW95" i="1" s="1"/>
  <c r="AG96" i="1"/>
  <c r="AH96" i="1"/>
  <c r="AI96" i="1"/>
  <c r="AJ96" i="1"/>
  <c r="AK96" i="1"/>
  <c r="AL96" i="1"/>
  <c r="AM96" i="1"/>
  <c r="AN96" i="1"/>
  <c r="AO96" i="1"/>
  <c r="AP96" i="1"/>
  <c r="AQ96" i="1"/>
  <c r="AR96" i="1"/>
  <c r="AS96" i="1"/>
  <c r="AT96" i="1"/>
  <c r="AU96" i="1" s="1"/>
  <c r="AV96" i="1"/>
  <c r="AW96" i="1" s="1"/>
  <c r="AG97" i="1"/>
  <c r="AH97" i="1"/>
  <c r="AI97" i="1"/>
  <c r="AJ97" i="1"/>
  <c r="AK97" i="1"/>
  <c r="AL97" i="1"/>
  <c r="AM97" i="1"/>
  <c r="AN97" i="1"/>
  <c r="AO97" i="1"/>
  <c r="AP97" i="1"/>
  <c r="AQ97" i="1"/>
  <c r="AR97" i="1"/>
  <c r="AS97" i="1"/>
  <c r="AT97" i="1"/>
  <c r="AU97" i="1" s="1"/>
  <c r="AV97" i="1" s="1"/>
  <c r="AW97" i="1" s="1"/>
  <c r="AG98" i="1"/>
  <c r="AH98" i="1"/>
  <c r="AI98" i="1"/>
  <c r="AJ98" i="1"/>
  <c r="AK98" i="1"/>
  <c r="AL98" i="1"/>
  <c r="AM98" i="1"/>
  <c r="AN98" i="1"/>
  <c r="AO98" i="1"/>
  <c r="AP98" i="1"/>
  <c r="AQ98" i="1"/>
  <c r="AR98" i="1"/>
  <c r="AS98" i="1"/>
  <c r="AT98" i="1"/>
  <c r="AU98" i="1" s="1"/>
  <c r="AV98" i="1" s="1"/>
  <c r="AW98" i="1" s="1"/>
  <c r="AC99" i="1"/>
  <c r="AD99" i="1"/>
  <c r="AE99" i="1"/>
  <c r="AF99" i="1"/>
  <c r="AG99" i="1"/>
  <c r="AH99" i="1"/>
  <c r="AI99" i="1"/>
  <c r="AJ99" i="1"/>
  <c r="AK99" i="1"/>
  <c r="AL99" i="1"/>
  <c r="AM99" i="1"/>
  <c r="AN99" i="1"/>
  <c r="AO99" i="1"/>
  <c r="AP99" i="1"/>
  <c r="AQ99" i="1"/>
  <c r="AR99" i="1"/>
  <c r="AS99" i="1"/>
  <c r="AT99" i="1"/>
  <c r="AU99" i="1" s="1"/>
  <c r="AV99" i="1" s="1"/>
  <c r="AW99" i="1" s="1"/>
  <c r="AG107" i="1"/>
  <c r="AH107" i="1"/>
  <c r="AI107" i="1"/>
  <c r="AJ107" i="1"/>
  <c r="AK107" i="1"/>
  <c r="AL107" i="1"/>
  <c r="AM107" i="1"/>
  <c r="AN107" i="1"/>
  <c r="AO107" i="1"/>
  <c r="AP107" i="1"/>
  <c r="AQ107" i="1"/>
  <c r="AR107" i="1"/>
  <c r="AS107" i="1"/>
  <c r="AT107" i="1"/>
  <c r="AU107" i="1"/>
  <c r="AV107" i="1"/>
  <c r="AW107" i="1"/>
  <c r="B9" i="17"/>
  <c r="B11" i="17" s="1"/>
  <c r="A31" i="20"/>
  <c r="B327" i="20"/>
  <c r="B31" i="20"/>
  <c r="C327" i="20"/>
  <c r="C31" i="20"/>
  <c r="D327" i="20"/>
  <c r="D31" i="20"/>
  <c r="E327" i="20"/>
  <c r="E31" i="20"/>
  <c r="F327" i="20"/>
  <c r="F31" i="20"/>
  <c r="G327" i="20"/>
  <c r="G31" i="20"/>
  <c r="H327" i="20"/>
  <c r="H31" i="20"/>
  <c r="I327" i="20"/>
  <c r="I31" i="20"/>
  <c r="J327" i="20"/>
  <c r="J31" i="20"/>
  <c r="K327" i="20"/>
  <c r="K31" i="20"/>
  <c r="L327" i="20"/>
  <c r="L31" i="20"/>
  <c r="M327" i="20"/>
  <c r="M31" i="20"/>
  <c r="N327" i="20"/>
  <c r="N31" i="20"/>
  <c r="O327" i="20"/>
  <c r="O31" i="20"/>
  <c r="P327" i="20"/>
  <c r="P31" i="20"/>
  <c r="Q327" i="20"/>
  <c r="Q31" i="20"/>
  <c r="R327" i="20"/>
  <c r="R31" i="20"/>
  <c r="S327" i="20"/>
  <c r="S31" i="20"/>
  <c r="T327" i="20"/>
  <c r="T31" i="20"/>
  <c r="U327" i="20"/>
  <c r="U31" i="20"/>
  <c r="V327" i="20"/>
  <c r="V31" i="20"/>
  <c r="W327" i="20"/>
  <c r="W31" i="20"/>
  <c r="X327" i="20"/>
  <c r="X31" i="20"/>
  <c r="Y327" i="20"/>
  <c r="Y31" i="20"/>
  <c r="Z327" i="20"/>
  <c r="Z31" i="20"/>
  <c r="AA327" i="20"/>
  <c r="AA31" i="20"/>
  <c r="AB327" i="20"/>
  <c r="AB31" i="20"/>
  <c r="AC327" i="20"/>
  <c r="AC31" i="20"/>
  <c r="AD327" i="20"/>
  <c r="AD31" i="20"/>
  <c r="AE327" i="20"/>
  <c r="AE31" i="20"/>
  <c r="AF327" i="20"/>
  <c r="AF31" i="20"/>
  <c r="AG327" i="20"/>
  <c r="AG31" i="20"/>
  <c r="AH327" i="20"/>
  <c r="AH31" i="20"/>
  <c r="AI327" i="20"/>
  <c r="AI31" i="20"/>
  <c r="AJ327" i="20"/>
  <c r="AJ31" i="20"/>
  <c r="AK327" i="20"/>
  <c r="AK31" i="20"/>
  <c r="AL327" i="20"/>
  <c r="AL31" i="20"/>
  <c r="AM327" i="20"/>
  <c r="AM31" i="20"/>
  <c r="AN327" i="20"/>
  <c r="AN31" i="20"/>
  <c r="AO327" i="20"/>
  <c r="AO31" i="20"/>
  <c r="AP327" i="20"/>
  <c r="AP31" i="20"/>
  <c r="AQ327" i="20"/>
  <c r="AQ31" i="20"/>
  <c r="AR327" i="20"/>
  <c r="AR31" i="20"/>
  <c r="AS327" i="20"/>
  <c r="AS31" i="20"/>
  <c r="AT327" i="20"/>
  <c r="AT31" i="20"/>
  <c r="AU327" i="20"/>
  <c r="AU31" i="20"/>
  <c r="AV327" i="20"/>
  <c r="AV31" i="20"/>
  <c r="AW327" i="20"/>
  <c r="AW31" i="20"/>
  <c r="A32" i="20"/>
  <c r="B328" i="20"/>
  <c r="B32" i="20"/>
  <c r="C328" i="20"/>
  <c r="C32" i="20"/>
  <c r="D328" i="20"/>
  <c r="D32" i="20"/>
  <c r="E328" i="20"/>
  <c r="E32" i="20"/>
  <c r="F328" i="20"/>
  <c r="F32" i="20"/>
  <c r="G328" i="20"/>
  <c r="G32" i="20"/>
  <c r="H328" i="20"/>
  <c r="H32" i="20"/>
  <c r="I328" i="20"/>
  <c r="I32" i="20"/>
  <c r="J328" i="20"/>
  <c r="J32" i="20"/>
  <c r="K328" i="20"/>
  <c r="K32" i="20"/>
  <c r="L328" i="20"/>
  <c r="L32" i="20"/>
  <c r="M328" i="20"/>
  <c r="M32" i="20"/>
  <c r="N328" i="20"/>
  <c r="N32" i="20"/>
  <c r="O328" i="20"/>
  <c r="O32" i="20"/>
  <c r="P328" i="20"/>
  <c r="P32" i="20"/>
  <c r="Q328" i="20"/>
  <c r="Q32" i="20"/>
  <c r="R328" i="20"/>
  <c r="R32" i="20"/>
  <c r="S328" i="20"/>
  <c r="S32" i="20"/>
  <c r="T328" i="20"/>
  <c r="T32" i="20"/>
  <c r="U328" i="20"/>
  <c r="U32" i="20"/>
  <c r="V328" i="20"/>
  <c r="V32" i="20"/>
  <c r="W328" i="20"/>
  <c r="W32" i="20"/>
  <c r="X328" i="20"/>
  <c r="X32" i="20"/>
  <c r="Y328" i="20"/>
  <c r="Y32" i="20"/>
  <c r="Z328" i="20"/>
  <c r="Z32" i="20"/>
  <c r="AA328" i="20"/>
  <c r="AA32" i="20"/>
  <c r="AB328" i="20"/>
  <c r="AB32" i="20"/>
  <c r="AC328" i="20"/>
  <c r="AC32" i="20"/>
  <c r="AD328" i="20"/>
  <c r="AD32" i="20"/>
  <c r="AE328" i="20"/>
  <c r="AE32" i="20"/>
  <c r="AF328" i="20"/>
  <c r="AF32" i="20"/>
  <c r="AG328" i="20"/>
  <c r="AG32" i="20"/>
  <c r="AH328" i="20"/>
  <c r="AH32" i="20"/>
  <c r="AI328" i="20"/>
  <c r="AI32" i="20"/>
  <c r="AJ328" i="20"/>
  <c r="AJ32" i="20"/>
  <c r="AK328" i="20"/>
  <c r="AK32" i="20"/>
  <c r="AL328" i="20"/>
  <c r="AL32" i="20"/>
  <c r="AM328" i="20"/>
  <c r="AM32" i="20"/>
  <c r="AN328" i="20"/>
  <c r="AN32" i="20"/>
  <c r="AO328" i="20"/>
  <c r="AO32" i="20"/>
  <c r="AP328" i="20"/>
  <c r="AP32" i="20"/>
  <c r="AQ328" i="20"/>
  <c r="AQ32" i="20"/>
  <c r="AR328" i="20"/>
  <c r="AR32" i="20"/>
  <c r="AS328" i="20"/>
  <c r="AS32" i="20"/>
  <c r="AT328" i="20"/>
  <c r="AT32" i="20"/>
  <c r="AU328" i="20"/>
  <c r="AU32" i="20"/>
  <c r="AV328" i="20"/>
  <c r="AV32" i="20"/>
  <c r="AW328" i="20"/>
  <c r="AW32" i="20"/>
  <c r="B329" i="20"/>
  <c r="C329" i="20"/>
  <c r="D329" i="20"/>
  <c r="E329" i="20"/>
  <c r="F329" i="20"/>
  <c r="G329" i="20"/>
  <c r="H329" i="20"/>
  <c r="I329" i="20"/>
  <c r="J329" i="20"/>
  <c r="K329" i="20"/>
  <c r="L329" i="20"/>
  <c r="M329" i="20"/>
  <c r="N329" i="20"/>
  <c r="O329" i="20"/>
  <c r="P329" i="20"/>
  <c r="Q329" i="20"/>
  <c r="R329" i="20"/>
  <c r="S329" i="20"/>
  <c r="T329" i="20"/>
  <c r="U329" i="20"/>
  <c r="V329" i="20"/>
  <c r="W329" i="20"/>
  <c r="X329" i="20"/>
  <c r="Y329" i="20"/>
  <c r="Z329" i="20"/>
  <c r="AA329" i="20"/>
  <c r="AB329" i="20"/>
  <c r="AC329" i="20"/>
  <c r="AD329" i="20"/>
  <c r="AE329" i="20"/>
  <c r="AF329" i="20"/>
  <c r="AG329" i="20"/>
  <c r="AH329" i="20"/>
  <c r="AI329" i="20"/>
  <c r="AJ329" i="20"/>
  <c r="AK329" i="20"/>
  <c r="AL329" i="20"/>
  <c r="AM329" i="20"/>
  <c r="AN329" i="20"/>
  <c r="AO329" i="20"/>
  <c r="AP329" i="20"/>
  <c r="AQ329" i="20"/>
  <c r="AR329" i="20"/>
  <c r="AS329" i="20"/>
  <c r="AT329" i="20"/>
  <c r="AU329" i="20"/>
  <c r="AV329" i="20"/>
  <c r="AW329" i="20"/>
  <c r="B330" i="20"/>
  <c r="C330" i="20"/>
  <c r="D330" i="20"/>
  <c r="E330" i="20"/>
  <c r="F330" i="20"/>
  <c r="G330" i="20"/>
  <c r="H330" i="20"/>
  <c r="I330" i="20"/>
  <c r="J330" i="20"/>
  <c r="K330" i="20"/>
  <c r="L330" i="20"/>
  <c r="M330" i="20"/>
  <c r="N330" i="20"/>
  <c r="O330" i="20"/>
  <c r="P330" i="20"/>
  <c r="Q330" i="20"/>
  <c r="R330" i="20"/>
  <c r="S330" i="20"/>
  <c r="T330" i="20"/>
  <c r="U330" i="20"/>
  <c r="V330" i="20"/>
  <c r="W330" i="20"/>
  <c r="X330" i="20"/>
  <c r="Y330" i="20"/>
  <c r="Z330" i="20"/>
  <c r="AA330" i="20"/>
  <c r="AB330" i="20"/>
  <c r="AC330" i="20"/>
  <c r="AD330" i="20"/>
  <c r="AE330" i="20"/>
  <c r="AF330" i="20"/>
  <c r="AG330" i="20"/>
  <c r="AH330" i="20"/>
  <c r="AI330" i="20"/>
  <c r="AJ330" i="20"/>
  <c r="AK330" i="20"/>
  <c r="AL330" i="20"/>
  <c r="AM330" i="20"/>
  <c r="AN330" i="20"/>
  <c r="AO330" i="20"/>
  <c r="AP330" i="20"/>
  <c r="AQ330" i="20"/>
  <c r="AR330" i="20"/>
  <c r="AS330" i="20"/>
  <c r="AT330" i="20"/>
  <c r="AU330" i="20"/>
  <c r="AV330" i="20"/>
  <c r="AW330" i="20"/>
  <c r="B331" i="20"/>
  <c r="C331" i="20"/>
  <c r="D331" i="20"/>
  <c r="E331" i="20"/>
  <c r="F331" i="20"/>
  <c r="G331" i="20"/>
  <c r="H331" i="20"/>
  <c r="I331" i="20"/>
  <c r="J331" i="20"/>
  <c r="K331" i="20"/>
  <c r="L331" i="20"/>
  <c r="M331" i="20"/>
  <c r="N331" i="20"/>
  <c r="O331" i="20"/>
  <c r="P331" i="20"/>
  <c r="Q331" i="20"/>
  <c r="R331" i="20"/>
  <c r="S331" i="20"/>
  <c r="T331" i="20"/>
  <c r="U331" i="20"/>
  <c r="V331" i="20"/>
  <c r="W331" i="20"/>
  <c r="X331" i="20"/>
  <c r="Y331" i="20"/>
  <c r="Z331" i="20"/>
  <c r="AA331" i="20"/>
  <c r="AB331" i="20"/>
  <c r="AC331" i="20"/>
  <c r="AD331" i="20"/>
  <c r="AE331" i="20"/>
  <c r="AF331" i="20"/>
  <c r="AG331" i="20"/>
  <c r="AH331" i="20"/>
  <c r="AI331" i="20"/>
  <c r="AJ331" i="20"/>
  <c r="AK331" i="20"/>
  <c r="AL331" i="20"/>
  <c r="AM331" i="20"/>
  <c r="AN331" i="20"/>
  <c r="AO331" i="20"/>
  <c r="AP331" i="20"/>
  <c r="AQ331" i="20"/>
  <c r="AR331" i="20"/>
  <c r="AS331" i="20"/>
  <c r="AT331" i="20"/>
  <c r="AU331" i="20"/>
  <c r="AV331" i="20"/>
  <c r="AW331" i="20"/>
  <c r="B332" i="20"/>
  <c r="C332" i="20"/>
  <c r="D332" i="20"/>
  <c r="E332" i="20"/>
  <c r="F332" i="20"/>
  <c r="G332" i="20"/>
  <c r="H332" i="20"/>
  <c r="I332" i="20"/>
  <c r="J332" i="20"/>
  <c r="K332" i="20"/>
  <c r="L332" i="20"/>
  <c r="M332" i="20"/>
  <c r="N332" i="20"/>
  <c r="O332" i="20"/>
  <c r="P332" i="20"/>
  <c r="Q332" i="20"/>
  <c r="R332" i="20"/>
  <c r="S332" i="20"/>
  <c r="T332" i="20"/>
  <c r="U332" i="20"/>
  <c r="V332" i="20"/>
  <c r="W332" i="20"/>
  <c r="X332" i="20"/>
  <c r="Y332" i="20"/>
  <c r="Z332" i="20"/>
  <c r="AA332" i="20"/>
  <c r="AB332" i="20"/>
  <c r="AC332" i="20"/>
  <c r="AD332" i="20"/>
  <c r="AE332" i="20"/>
  <c r="AF332" i="20"/>
  <c r="AG332" i="20"/>
  <c r="AH332" i="20"/>
  <c r="AI332" i="20"/>
  <c r="AJ332" i="20"/>
  <c r="AK332" i="20"/>
  <c r="AL332" i="20"/>
  <c r="AM332" i="20"/>
  <c r="AN332" i="20"/>
  <c r="AO332" i="20"/>
  <c r="AP332" i="20"/>
  <c r="AQ332" i="20"/>
  <c r="AR332" i="20"/>
  <c r="AS332" i="20"/>
  <c r="AT332" i="20"/>
  <c r="AU332" i="20"/>
  <c r="AV332" i="20"/>
  <c r="AW332" i="20"/>
  <c r="AT305" i="20"/>
  <c r="AU305" i="20"/>
  <c r="AV305" i="20"/>
  <c r="AW305" i="20"/>
  <c r="AT306" i="20"/>
  <c r="AU306" i="20"/>
  <c r="AV306" i="20"/>
  <c r="AW306" i="20"/>
  <c r="AT310" i="20"/>
  <c r="AU310" i="20"/>
  <c r="AV310" i="20"/>
  <c r="AW310" i="20"/>
  <c r="AT311" i="20"/>
  <c r="AU311" i="20"/>
  <c r="AV311" i="20"/>
  <c r="AW311" i="20"/>
  <c r="AT315" i="20"/>
  <c r="AU315" i="20"/>
  <c r="AV315" i="20"/>
  <c r="AW315" i="20"/>
  <c r="AT316" i="20"/>
  <c r="AU316" i="20"/>
  <c r="AV316" i="20"/>
  <c r="AW316" i="20"/>
  <c r="AT320" i="20"/>
  <c r="AU320" i="20"/>
  <c r="AV320" i="20"/>
  <c r="AW320" i="20"/>
  <c r="AT321" i="20"/>
  <c r="AU321" i="20"/>
  <c r="AV321" i="20"/>
  <c r="AW321" i="20"/>
  <c r="AT323" i="20"/>
  <c r="AU323" i="20"/>
  <c r="AV323" i="20"/>
  <c r="AW323" i="20"/>
  <c r="AT333" i="20"/>
  <c r="AU333" i="20"/>
  <c r="AV333" i="20"/>
  <c r="AW333" i="20"/>
  <c r="AT12" i="20"/>
  <c r="AU12" i="20"/>
  <c r="AV12" i="20"/>
  <c r="AW12" i="20"/>
  <c r="AT13" i="20"/>
  <c r="AU13" i="20"/>
  <c r="AV13" i="20"/>
  <c r="AW13" i="20"/>
  <c r="AT17" i="20"/>
  <c r="AU17" i="20"/>
  <c r="AV17" i="20"/>
  <c r="AW17" i="20"/>
  <c r="AT18" i="20"/>
  <c r="AU18" i="20"/>
  <c r="AV18" i="20"/>
  <c r="AW18" i="20"/>
  <c r="AT22" i="20"/>
  <c r="AU22" i="20"/>
  <c r="AV22" i="20"/>
  <c r="AW22" i="20"/>
  <c r="AT23" i="20"/>
  <c r="AU23" i="20"/>
  <c r="AV23" i="20"/>
  <c r="AW23" i="20"/>
  <c r="AT26" i="20"/>
  <c r="AU26" i="20"/>
  <c r="AV26" i="20"/>
  <c r="AW26" i="20"/>
  <c r="AT27" i="20"/>
  <c r="AU27" i="20"/>
  <c r="AV27" i="20"/>
  <c r="AW27" i="20"/>
  <c r="AT28" i="20"/>
  <c r="AU28" i="20"/>
  <c r="AV28" i="20"/>
  <c r="AW28" i="20"/>
  <c r="AT30" i="20"/>
  <c r="AU30" i="20"/>
  <c r="AV30" i="20"/>
  <c r="AW30" i="20"/>
  <c r="B47" i="18"/>
  <c r="C47" i="18" s="1"/>
  <c r="AD24" i="1"/>
  <c r="AE24" i="1"/>
  <c r="AF24" i="1"/>
  <c r="AT4" i="1"/>
  <c r="P1" i="18"/>
  <c r="AU4" i="1"/>
  <c r="Q1" i="18" s="1"/>
  <c r="AV4" i="1"/>
  <c r="R1" i="18"/>
  <c r="AW4" i="1"/>
  <c r="S1" i="18" s="1"/>
  <c r="P72" i="18"/>
  <c r="Q72" i="18"/>
  <c r="R72" i="18"/>
  <c r="S72" i="18"/>
  <c r="P73" i="18"/>
  <c r="Q73" i="18"/>
  <c r="R73" i="18"/>
  <c r="S73" i="18"/>
  <c r="P75" i="18"/>
  <c r="Q75" i="18"/>
  <c r="R75" i="18"/>
  <c r="AX155" i="1"/>
  <c r="S75" i="18"/>
  <c r="E31" i="12"/>
  <c r="E30" i="12"/>
  <c r="E29" i="12"/>
  <c r="E33" i="12"/>
  <c r="E34" i="12"/>
  <c r="E35" i="12"/>
  <c r="B31" i="12"/>
  <c r="B30" i="12"/>
  <c r="B29" i="12"/>
  <c r="B33" i="12"/>
  <c r="B34" i="12"/>
  <c r="B35" i="12"/>
  <c r="V8" i="5"/>
  <c r="V16" i="5"/>
  <c r="V17" i="5"/>
  <c r="V21" i="5"/>
  <c r="AY155" i="1"/>
  <c r="AY154" i="1"/>
  <c r="N33" i="1"/>
  <c r="O33" i="1"/>
  <c r="P33" i="1"/>
  <c r="Q33" i="1"/>
  <c r="N106" i="1"/>
  <c r="O106" i="1"/>
  <c r="P106" i="1"/>
  <c r="Q106" i="1"/>
  <c r="Q148" i="1"/>
  <c r="S13" i="5"/>
  <c r="R33" i="1"/>
  <c r="S33" i="1"/>
  <c r="T33" i="1"/>
  <c r="U33" i="1"/>
  <c r="R106" i="1"/>
  <c r="S106" i="1"/>
  <c r="T106" i="1"/>
  <c r="U106" i="1"/>
  <c r="U148" i="1"/>
  <c r="S14" i="5"/>
  <c r="V33" i="1"/>
  <c r="W33" i="1"/>
  <c r="X33" i="1"/>
  <c r="Y33" i="1"/>
  <c r="V106" i="1"/>
  <c r="W106" i="1"/>
  <c r="X106" i="1"/>
  <c r="Y106" i="1"/>
  <c r="Y148" i="1"/>
  <c r="S15" i="5"/>
  <c r="AC148" i="1"/>
  <c r="S16" i="5"/>
  <c r="T25" i="5"/>
  <c r="T24" i="5"/>
  <c r="S25" i="5"/>
  <c r="S24" i="5"/>
  <c r="I30" i="5"/>
  <c r="I40" i="5"/>
  <c r="I41" i="5"/>
  <c r="I42" i="5"/>
  <c r="I43" i="5"/>
  <c r="I44" i="5"/>
  <c r="AT4" i="20"/>
  <c r="AU4" i="20"/>
  <c r="AV4" i="20"/>
  <c r="AW4" i="20"/>
  <c r="AT8" i="20"/>
  <c r="AU8" i="20"/>
  <c r="AV8" i="20"/>
  <c r="AW8" i="20"/>
  <c r="AT201" i="20"/>
  <c r="AU201" i="20"/>
  <c r="AV201" i="20"/>
  <c r="AW201" i="20"/>
  <c r="AT203" i="20"/>
  <c r="AU203" i="20"/>
  <c r="AV203" i="20"/>
  <c r="AW203" i="20"/>
  <c r="AT204" i="20"/>
  <c r="AU204" i="20"/>
  <c r="AV204" i="20"/>
  <c r="AW204" i="20"/>
  <c r="AT205" i="20"/>
  <c r="AU205" i="20"/>
  <c r="AV205" i="20"/>
  <c r="AW205" i="20"/>
  <c r="AT206" i="20"/>
  <c r="AU206" i="20"/>
  <c r="AV206" i="20"/>
  <c r="AW206" i="20"/>
  <c r="AT210" i="20"/>
  <c r="AU210" i="20"/>
  <c r="AV210" i="20"/>
  <c r="AW210" i="20"/>
  <c r="AT211" i="20"/>
  <c r="AU211" i="20"/>
  <c r="AV211" i="20"/>
  <c r="AW211" i="20"/>
  <c r="AT215" i="20"/>
  <c r="AU215" i="20"/>
  <c r="AV215" i="20"/>
  <c r="AW215" i="20"/>
  <c r="AT216" i="20"/>
  <c r="AU216" i="20"/>
  <c r="AV216" i="20"/>
  <c r="AW216" i="20"/>
  <c r="AT220" i="20"/>
  <c r="AU220" i="20"/>
  <c r="AV220" i="20"/>
  <c r="AW220" i="20"/>
  <c r="AT221" i="20"/>
  <c r="AU221" i="20"/>
  <c r="AV221" i="20"/>
  <c r="AW221" i="20"/>
  <c r="AT223" i="20"/>
  <c r="AU223" i="20"/>
  <c r="AV223" i="20"/>
  <c r="AW223" i="20"/>
  <c r="AT224" i="20"/>
  <c r="AU224" i="20"/>
  <c r="AV224" i="20"/>
  <c r="AW224" i="20"/>
  <c r="AT233" i="20"/>
  <c r="AU233" i="20"/>
  <c r="AV233" i="20"/>
  <c r="AW233" i="20"/>
  <c r="AA559" i="1"/>
  <c r="AB559" i="1"/>
  <c r="AC559" i="1"/>
  <c r="AD559" i="1"/>
  <c r="AE559" i="1"/>
  <c r="AF559" i="1"/>
  <c r="AG559" i="1"/>
  <c r="AH559" i="1"/>
  <c r="AI559" i="1"/>
  <c r="AJ559" i="1"/>
  <c r="AK559" i="1"/>
  <c r="AL559" i="1"/>
  <c r="AM559" i="1"/>
  <c r="AN559" i="1"/>
  <c r="AO559" i="1"/>
  <c r="AP559" i="1"/>
  <c r="AQ559" i="1"/>
  <c r="AR559" i="1"/>
  <c r="AS559" i="1"/>
  <c r="AT559" i="1"/>
  <c r="AT544" i="1"/>
  <c r="AU559" i="1"/>
  <c r="AU544" i="1"/>
  <c r="AV559" i="1"/>
  <c r="AV544" i="1"/>
  <c r="AW559" i="1"/>
  <c r="AW544" i="1"/>
  <c r="AT554" i="1"/>
  <c r="AU554" i="1"/>
  <c r="AV554" i="1"/>
  <c r="AW554" i="1"/>
  <c r="AF121" i="1"/>
  <c r="AF122" i="1"/>
  <c r="AF123" i="1"/>
  <c r="AF124" i="1"/>
  <c r="AG124" i="1"/>
  <c r="AH124" i="1"/>
  <c r="AI124" i="1"/>
  <c r="AJ124" i="1"/>
  <c r="AK124" i="1"/>
  <c r="AL124" i="1"/>
  <c r="AM124" i="1"/>
  <c r="AN124" i="1"/>
  <c r="AO124" i="1"/>
  <c r="AP124" i="1"/>
  <c r="AQ124" i="1"/>
  <c r="AR124" i="1"/>
  <c r="AS124" i="1"/>
  <c r="AT124" i="1"/>
  <c r="AT92" i="1"/>
  <c r="AT93" i="1"/>
  <c r="AU124" i="1"/>
  <c r="AU92" i="1"/>
  <c r="AV124" i="1"/>
  <c r="AW124" i="1"/>
  <c r="AT137" i="1"/>
  <c r="AU137" i="1"/>
  <c r="AV137" i="1"/>
  <c r="AF168" i="1"/>
  <c r="AF169" i="1"/>
  <c r="R168" i="1"/>
  <c r="R169" i="1"/>
  <c r="S168" i="1"/>
  <c r="S169" i="1"/>
  <c r="T168" i="1"/>
  <c r="T169" i="1"/>
  <c r="U168" i="1"/>
  <c r="U169" i="1"/>
  <c r="V168" i="1"/>
  <c r="V169" i="1"/>
  <c r="W168" i="1"/>
  <c r="W169" i="1"/>
  <c r="X168" i="1"/>
  <c r="X169" i="1"/>
  <c r="Y168" i="1"/>
  <c r="Y169" i="1"/>
  <c r="Z168" i="1"/>
  <c r="Z169" i="1"/>
  <c r="AA168" i="1"/>
  <c r="AA169" i="1"/>
  <c r="AB168" i="1"/>
  <c r="AB169" i="1"/>
  <c r="AC168" i="1"/>
  <c r="AC169" i="1"/>
  <c r="AD168" i="1"/>
  <c r="AD169" i="1"/>
  <c r="AE168" i="1"/>
  <c r="AE169" i="1"/>
  <c r="AG169" i="1"/>
  <c r="AH169" i="1"/>
  <c r="AI169" i="1"/>
  <c r="AJ169" i="1"/>
  <c r="AK169" i="1"/>
  <c r="AL169" i="1"/>
  <c r="AM169" i="1"/>
  <c r="AN169" i="1"/>
  <c r="AO169" i="1"/>
  <c r="AP169" i="1"/>
  <c r="AQ169" i="1"/>
  <c r="AR169" i="1"/>
  <c r="AS169" i="1"/>
  <c r="AT169" i="1"/>
  <c r="AU169" i="1"/>
  <c r="AV169" i="1"/>
  <c r="AW169" i="1"/>
  <c r="O180" i="1"/>
  <c r="O181" i="1"/>
  <c r="P180" i="1"/>
  <c r="P181" i="1"/>
  <c r="Q180" i="1"/>
  <c r="Q181" i="1"/>
  <c r="R179" i="1"/>
  <c r="R180" i="1"/>
  <c r="R181" i="1"/>
  <c r="S179" i="1"/>
  <c r="S180" i="1"/>
  <c r="S181" i="1"/>
  <c r="T179" i="1"/>
  <c r="T180" i="1"/>
  <c r="T181" i="1"/>
  <c r="U179" i="1"/>
  <c r="U180" i="1"/>
  <c r="U181" i="1"/>
  <c r="V179" i="1"/>
  <c r="V180" i="1"/>
  <c r="V181" i="1"/>
  <c r="W179" i="1"/>
  <c r="W180" i="1"/>
  <c r="W181" i="1"/>
  <c r="X179" i="1"/>
  <c r="X180" i="1"/>
  <c r="X181" i="1"/>
  <c r="Y179" i="1"/>
  <c r="Y180" i="1"/>
  <c r="Y181" i="1"/>
  <c r="Z179" i="1"/>
  <c r="Z180" i="1"/>
  <c r="Z181" i="1"/>
  <c r="AA179" i="1"/>
  <c r="AA180" i="1"/>
  <c r="AA181" i="1"/>
  <c r="AB180" i="1"/>
  <c r="AB181" i="1"/>
  <c r="AC181" i="1"/>
  <c r="AD181" i="1"/>
  <c r="AE181" i="1"/>
  <c r="AF181" i="1"/>
  <c r="AG181" i="1"/>
  <c r="AH181" i="1"/>
  <c r="AI181" i="1"/>
  <c r="AJ181" i="1"/>
  <c r="AK181" i="1"/>
  <c r="AL181" i="1"/>
  <c r="AM181" i="1"/>
  <c r="AN181" i="1"/>
  <c r="AO181" i="1"/>
  <c r="AP181" i="1"/>
  <c r="AQ181" i="1"/>
  <c r="AR181" i="1"/>
  <c r="AS181" i="1"/>
  <c r="AT181" i="1"/>
  <c r="AU181" i="1"/>
  <c r="AV181" i="1"/>
  <c r="AW181" i="1"/>
  <c r="AC219" i="1"/>
  <c r="AD219" i="1"/>
  <c r="AE219" i="1"/>
  <c r="AF219" i="1"/>
  <c r="AG219" i="1"/>
  <c r="AH219" i="1"/>
  <c r="AI219" i="1"/>
  <c r="AJ219" i="1"/>
  <c r="AK219" i="1"/>
  <c r="AL219" i="1"/>
  <c r="AM219" i="1"/>
  <c r="AN219" i="1"/>
  <c r="AO219" i="1"/>
  <c r="AP219" i="1"/>
  <c r="AQ219" i="1"/>
  <c r="AR219" i="1"/>
  <c r="AS219" i="1"/>
  <c r="AT219" i="1"/>
  <c r="AU219" i="1"/>
  <c r="AV219" i="1"/>
  <c r="AW219" i="1"/>
  <c r="AC306" i="1"/>
  <c r="AD306" i="1"/>
  <c r="AE306" i="1"/>
  <c r="AF306" i="1"/>
  <c r="AG306" i="1"/>
  <c r="AH306" i="1"/>
  <c r="AI306" i="1"/>
  <c r="AJ306" i="1"/>
  <c r="AK306" i="1"/>
  <c r="AL306" i="1"/>
  <c r="AM306" i="1"/>
  <c r="AN306" i="1"/>
  <c r="AO306" i="1"/>
  <c r="AP306" i="1"/>
  <c r="AQ306" i="1"/>
  <c r="AR306" i="1"/>
  <c r="AS306" i="1"/>
  <c r="AT306" i="1"/>
  <c r="AU306" i="1"/>
  <c r="AV306" i="1"/>
  <c r="AW306" i="1"/>
  <c r="AH416" i="1"/>
  <c r="AI416" i="1"/>
  <c r="AJ416" i="1"/>
  <c r="AK416" i="1"/>
  <c r="AL416" i="1"/>
  <c r="AM416" i="1"/>
  <c r="AN416" i="1"/>
  <c r="AO416" i="1"/>
  <c r="AP416" i="1"/>
  <c r="AQ416" i="1"/>
  <c r="AR416" i="1"/>
  <c r="AS416" i="1"/>
  <c r="AT416" i="1"/>
  <c r="AU416" i="1"/>
  <c r="AV416" i="1"/>
  <c r="AW416" i="1"/>
  <c r="AC504" i="1"/>
  <c r="N504" i="1"/>
  <c r="O504" i="1"/>
  <c r="P504" i="1"/>
  <c r="Q504" i="1"/>
  <c r="R504" i="1"/>
  <c r="S504" i="1"/>
  <c r="T504" i="1"/>
  <c r="U504" i="1"/>
  <c r="V504" i="1"/>
  <c r="W504" i="1"/>
  <c r="X504" i="1"/>
  <c r="Y504" i="1"/>
  <c r="Z504" i="1"/>
  <c r="AA504" i="1"/>
  <c r="AB504" i="1"/>
  <c r="AD504" i="1"/>
  <c r="AE504" i="1"/>
  <c r="AF504" i="1"/>
  <c r="AG504" i="1"/>
  <c r="AH504" i="1"/>
  <c r="AI504" i="1"/>
  <c r="AJ504" i="1"/>
  <c r="AK504" i="1"/>
  <c r="AL504" i="1"/>
  <c r="AM504" i="1"/>
  <c r="AN504" i="1"/>
  <c r="AO504" i="1"/>
  <c r="AP504" i="1"/>
  <c r="AQ504" i="1"/>
  <c r="AR504" i="1"/>
  <c r="AS504" i="1"/>
  <c r="AT504" i="1"/>
  <c r="AU504" i="1"/>
  <c r="AV504" i="1"/>
  <c r="AW504" i="1"/>
  <c r="AC505" i="1"/>
  <c r="N505" i="1"/>
  <c r="O505" i="1"/>
  <c r="P505" i="1"/>
  <c r="Q505" i="1"/>
  <c r="R505" i="1"/>
  <c r="S505" i="1"/>
  <c r="T505" i="1"/>
  <c r="U505" i="1"/>
  <c r="V505" i="1"/>
  <c r="W505" i="1"/>
  <c r="X505" i="1"/>
  <c r="Y505" i="1"/>
  <c r="Z505" i="1"/>
  <c r="AA505" i="1"/>
  <c r="AB505" i="1"/>
  <c r="AD505" i="1"/>
  <c r="AE505" i="1"/>
  <c r="AF505" i="1"/>
  <c r="AG505" i="1"/>
  <c r="AH505" i="1"/>
  <c r="AI505" i="1"/>
  <c r="AJ505" i="1"/>
  <c r="AK505" i="1"/>
  <c r="AL505" i="1"/>
  <c r="AM505" i="1"/>
  <c r="AN505" i="1"/>
  <c r="AO505" i="1"/>
  <c r="AP505" i="1"/>
  <c r="AQ505" i="1"/>
  <c r="AR505" i="1"/>
  <c r="AS505" i="1"/>
  <c r="AT505" i="1"/>
  <c r="AU505" i="1"/>
  <c r="AV505" i="1"/>
  <c r="AW505" i="1"/>
  <c r="AC506" i="1"/>
  <c r="N506" i="1"/>
  <c r="O506" i="1"/>
  <c r="P506" i="1"/>
  <c r="Q506" i="1"/>
  <c r="R506" i="1"/>
  <c r="S506" i="1"/>
  <c r="T506" i="1"/>
  <c r="U506" i="1"/>
  <c r="V506" i="1"/>
  <c r="W506" i="1"/>
  <c r="X506" i="1"/>
  <c r="Y506" i="1"/>
  <c r="Z506" i="1"/>
  <c r="AA506" i="1"/>
  <c r="AB506" i="1"/>
  <c r="AD506" i="1"/>
  <c r="AE506" i="1"/>
  <c r="AF506" i="1"/>
  <c r="AG506" i="1"/>
  <c r="AH506" i="1"/>
  <c r="AI506" i="1"/>
  <c r="AJ506" i="1"/>
  <c r="AK506" i="1"/>
  <c r="AL506" i="1"/>
  <c r="AM506" i="1"/>
  <c r="AN506" i="1"/>
  <c r="AO506" i="1"/>
  <c r="AP506" i="1"/>
  <c r="AQ506" i="1"/>
  <c r="AR506" i="1"/>
  <c r="AS506" i="1"/>
  <c r="AT506" i="1"/>
  <c r="AU506" i="1"/>
  <c r="AV506" i="1"/>
  <c r="AW506" i="1"/>
  <c r="AC507" i="1"/>
  <c r="N507" i="1"/>
  <c r="O507" i="1"/>
  <c r="P507" i="1"/>
  <c r="Q507" i="1"/>
  <c r="R507" i="1"/>
  <c r="S507" i="1"/>
  <c r="T507" i="1"/>
  <c r="U507" i="1"/>
  <c r="V507" i="1"/>
  <c r="W507" i="1"/>
  <c r="X507" i="1"/>
  <c r="Y507" i="1"/>
  <c r="Z507" i="1"/>
  <c r="AA507" i="1"/>
  <c r="AB507" i="1"/>
  <c r="AD507" i="1"/>
  <c r="AE507" i="1"/>
  <c r="AF507" i="1"/>
  <c r="AG507" i="1"/>
  <c r="AH507" i="1"/>
  <c r="AI507" i="1"/>
  <c r="AJ507" i="1"/>
  <c r="AK507" i="1"/>
  <c r="AL507" i="1"/>
  <c r="AM507" i="1"/>
  <c r="AN507" i="1"/>
  <c r="AO507" i="1"/>
  <c r="AP507" i="1"/>
  <c r="AQ507" i="1"/>
  <c r="AR507" i="1"/>
  <c r="AS507" i="1"/>
  <c r="AT507" i="1"/>
  <c r="AU507" i="1"/>
  <c r="AV507" i="1"/>
  <c r="AW507" i="1"/>
  <c r="Y191" i="1"/>
  <c r="Z191" i="1"/>
  <c r="AA191" i="1"/>
  <c r="AB191" i="1"/>
  <c r="Z279" i="1"/>
  <c r="V314" i="1"/>
  <c r="V279" i="1"/>
  <c r="R314" i="1"/>
  <c r="R279" i="1"/>
  <c r="N314" i="1"/>
  <c r="N279" i="1"/>
  <c r="AA279" i="1"/>
  <c r="W314" i="1"/>
  <c r="W279" i="1"/>
  <c r="S314" i="1"/>
  <c r="S279" i="1"/>
  <c r="O314" i="1"/>
  <c r="O279" i="1"/>
  <c r="AB279" i="1"/>
  <c r="X314" i="1"/>
  <c r="X279" i="1"/>
  <c r="T314" i="1"/>
  <c r="T279" i="1"/>
  <c r="P314" i="1"/>
  <c r="P279" i="1"/>
  <c r="Y279" i="1"/>
  <c r="U314" i="1"/>
  <c r="U279" i="1"/>
  <c r="Q314" i="1"/>
  <c r="Q279" i="1"/>
  <c r="Y526" i="1"/>
  <c r="AB526" i="1"/>
  <c r="V24" i="1"/>
  <c r="W24" i="1"/>
  <c r="X24" i="1"/>
  <c r="Y24" i="1"/>
  <c r="Z24" i="1"/>
  <c r="AA24" i="1"/>
  <c r="AB24" i="1"/>
  <c r="AC24" i="1"/>
  <c r="AB299" i="1"/>
  <c r="Y486" i="1"/>
  <c r="AS92" i="1"/>
  <c r="AS93" i="1"/>
  <c r="AR92" i="1"/>
  <c r="AR93" i="1"/>
  <c r="AQ92" i="1"/>
  <c r="AQ93" i="1"/>
  <c r="AP92" i="1"/>
  <c r="AP93" i="1"/>
  <c r="AO92" i="1"/>
  <c r="AO93" i="1"/>
  <c r="AN92" i="1"/>
  <c r="AN93" i="1"/>
  <c r="AM92" i="1"/>
  <c r="AM93" i="1"/>
  <c r="AL92" i="1"/>
  <c r="AL93" i="1"/>
  <c r="AK92" i="1"/>
  <c r="AK93" i="1"/>
  <c r="AJ92" i="1"/>
  <c r="AJ93" i="1"/>
  <c r="AI92" i="1"/>
  <c r="AI93" i="1"/>
  <c r="AH92" i="1"/>
  <c r="AH93" i="1"/>
  <c r="AG92" i="1"/>
  <c r="AG93" i="1"/>
  <c r="AF100" i="1"/>
  <c r="AF108" i="1"/>
  <c r="AE147" i="1"/>
  <c r="AF147" i="1"/>
  <c r="W147" i="1"/>
  <c r="X147" i="1"/>
  <c r="Y147" i="1"/>
  <c r="Z147" i="1"/>
  <c r="AA147" i="1"/>
  <c r="AB147" i="1"/>
  <c r="AC147" i="1"/>
  <c r="AD147" i="1"/>
  <c r="AB125" i="1"/>
  <c r="AC125" i="1"/>
  <c r="AD125" i="1"/>
  <c r="AE125" i="1"/>
  <c r="AF125" i="1"/>
  <c r="O147" i="1"/>
  <c r="P147" i="1"/>
  <c r="Q147" i="1"/>
  <c r="R147" i="1"/>
  <c r="S147" i="1"/>
  <c r="T147" i="1"/>
  <c r="U147" i="1"/>
  <c r="V147" i="1"/>
  <c r="J215" i="25"/>
  <c r="J216" i="25"/>
  <c r="J217" i="25"/>
  <c r="J218" i="25"/>
  <c r="H215" i="25"/>
  <c r="H216" i="25"/>
  <c r="H217" i="25"/>
  <c r="H218" i="25"/>
  <c r="H219" i="25"/>
  <c r="H220" i="25"/>
  <c r="H221" i="25"/>
  <c r="H222" i="25"/>
  <c r="H223" i="25"/>
  <c r="H224" i="25"/>
  <c r="H225" i="25"/>
  <c r="H226" i="25"/>
  <c r="H227" i="25"/>
  <c r="H228" i="25"/>
  <c r="H229" i="25"/>
  <c r="H230" i="25"/>
  <c r="H231" i="25"/>
  <c r="H232" i="25"/>
  <c r="H233" i="25"/>
  <c r="H234" i="25"/>
  <c r="H235" i="25"/>
  <c r="H236" i="25"/>
  <c r="H237" i="25"/>
  <c r="H238" i="25"/>
  <c r="H239" i="25"/>
  <c r="H240" i="25"/>
  <c r="H241" i="25"/>
  <c r="H242" i="25"/>
  <c r="H243" i="25"/>
  <c r="H244" i="25"/>
  <c r="H245" i="25"/>
  <c r="H246" i="25"/>
  <c r="H247" i="25"/>
  <c r="H248" i="25"/>
  <c r="H249" i="25"/>
  <c r="H250" i="25"/>
  <c r="H251" i="25"/>
  <c r="H252" i="25"/>
  <c r="H253" i="25"/>
  <c r="H254" i="25"/>
  <c r="H255" i="25"/>
  <c r="H256" i="25"/>
  <c r="H257" i="25"/>
  <c r="H258" i="25"/>
  <c r="H259" i="25"/>
  <c r="H260" i="25"/>
  <c r="H261" i="25"/>
  <c r="H262" i="25"/>
  <c r="H263" i="25"/>
  <c r="H264" i="25"/>
  <c r="H265" i="25"/>
  <c r="H266" i="25"/>
  <c r="H267" i="25"/>
  <c r="H268" i="25"/>
  <c r="H269" i="25"/>
  <c r="H270" i="25"/>
  <c r="H271" i="25"/>
  <c r="H272" i="25"/>
  <c r="H273" i="25"/>
  <c r="H274" i="25"/>
  <c r="H275" i="25"/>
  <c r="J219" i="25"/>
  <c r="J220" i="25"/>
  <c r="J221" i="25"/>
  <c r="J222" i="25"/>
  <c r="J223" i="25"/>
  <c r="J224" i="25"/>
  <c r="J225" i="25"/>
  <c r="J226" i="25"/>
  <c r="J227" i="25"/>
  <c r="J228" i="25"/>
  <c r="J229" i="25"/>
  <c r="J230" i="25"/>
  <c r="J231" i="25"/>
  <c r="J232" i="25"/>
  <c r="J233" i="25"/>
  <c r="J234" i="25"/>
  <c r="J235" i="25"/>
  <c r="J236" i="25"/>
  <c r="J237" i="25"/>
  <c r="J238" i="25"/>
  <c r="J239" i="25"/>
  <c r="J240" i="25"/>
  <c r="J241" i="25"/>
  <c r="J242" i="25"/>
  <c r="J243" i="25"/>
  <c r="J244" i="25"/>
  <c r="J245" i="25"/>
  <c r="J246" i="25"/>
  <c r="J247" i="25"/>
  <c r="J248" i="25"/>
  <c r="J249" i="25"/>
  <c r="J250" i="25"/>
  <c r="J251" i="25"/>
  <c r="J252" i="25"/>
  <c r="J253" i="25"/>
  <c r="J254" i="25"/>
  <c r="J255" i="25"/>
  <c r="J256" i="25"/>
  <c r="J257" i="25"/>
  <c r="J258" i="25"/>
  <c r="J259" i="25"/>
  <c r="J260" i="25"/>
  <c r="J261" i="25"/>
  <c r="J262" i="25"/>
  <c r="J263" i="25"/>
  <c r="J264" i="25"/>
  <c r="J265" i="25"/>
  <c r="J266" i="25"/>
  <c r="J267" i="25"/>
  <c r="J268" i="25"/>
  <c r="J269" i="25"/>
  <c r="J270" i="25"/>
  <c r="J271" i="25"/>
  <c r="J272" i="25"/>
  <c r="J273" i="25"/>
  <c r="J274" i="25"/>
  <c r="J275" i="25"/>
  <c r="M4" i="25" a="1"/>
  <c r="M8" i="25"/>
  <c r="N7" i="25"/>
  <c r="M7" i="25"/>
  <c r="N6" i="25"/>
  <c r="M6" i="25"/>
  <c r="N5" i="25"/>
  <c r="M5" i="25"/>
  <c r="N4" i="25"/>
  <c r="M4" i="25"/>
  <c r="N8" i="25"/>
  <c r="J5" i="25"/>
  <c r="J6" i="25"/>
  <c r="J7" i="25"/>
  <c r="J8" i="25"/>
  <c r="J9" i="25"/>
  <c r="J10" i="25"/>
  <c r="J11" i="25"/>
  <c r="J12" i="25"/>
  <c r="J13" i="25"/>
  <c r="J14" i="25"/>
  <c r="J15" i="25"/>
  <c r="J16" i="25"/>
  <c r="J17" i="25"/>
  <c r="J18" i="25"/>
  <c r="J19" i="25"/>
  <c r="J20" i="25"/>
  <c r="J21" i="25"/>
  <c r="J22" i="25"/>
  <c r="J23" i="25"/>
  <c r="J24" i="25"/>
  <c r="J25" i="25"/>
  <c r="J26" i="25"/>
  <c r="J27" i="25"/>
  <c r="J28" i="25"/>
  <c r="J29" i="25"/>
  <c r="J30" i="25"/>
  <c r="J31" i="25"/>
  <c r="J32" i="25"/>
  <c r="J33" i="25"/>
  <c r="J34" i="25"/>
  <c r="J35" i="25"/>
  <c r="J36" i="25"/>
  <c r="J37" i="25"/>
  <c r="J38" i="25"/>
  <c r="J39" i="25"/>
  <c r="J40" i="25"/>
  <c r="J41" i="25"/>
  <c r="J42" i="25"/>
  <c r="J43" i="25"/>
  <c r="J44" i="25"/>
  <c r="J45" i="25"/>
  <c r="J46" i="25"/>
  <c r="J47" i="25"/>
  <c r="J48" i="25"/>
  <c r="J49" i="25"/>
  <c r="J50" i="25"/>
  <c r="J51" i="25"/>
  <c r="J52" i="25"/>
  <c r="J53" i="25"/>
  <c r="J54" i="25"/>
  <c r="J55" i="25"/>
  <c r="J56" i="25"/>
  <c r="J57" i="25"/>
  <c r="J58" i="25"/>
  <c r="J59" i="25"/>
  <c r="J60" i="25"/>
  <c r="J61" i="25"/>
  <c r="J62" i="25"/>
  <c r="J63" i="25"/>
  <c r="J64" i="25"/>
  <c r="J65" i="25"/>
  <c r="J66" i="25"/>
  <c r="J67" i="25"/>
  <c r="J68" i="25"/>
  <c r="J69" i="25"/>
  <c r="J70" i="25"/>
  <c r="J71" i="25"/>
  <c r="J72" i="25"/>
  <c r="J73" i="25"/>
  <c r="J74" i="25"/>
  <c r="J75" i="25"/>
  <c r="J76" i="25"/>
  <c r="J77" i="25"/>
  <c r="J78" i="25"/>
  <c r="J79" i="25"/>
  <c r="J80" i="25"/>
  <c r="J81" i="25"/>
  <c r="J82" i="25"/>
  <c r="J83" i="25"/>
  <c r="J84" i="25"/>
  <c r="J85" i="25"/>
  <c r="J86" i="25"/>
  <c r="J87" i="25"/>
  <c r="J88" i="25"/>
  <c r="J89" i="25"/>
  <c r="J90" i="25"/>
  <c r="J91" i="25"/>
  <c r="J92" i="25"/>
  <c r="J93" i="25"/>
  <c r="J94" i="25"/>
  <c r="J95" i="25"/>
  <c r="J96" i="25"/>
  <c r="J97" i="25"/>
  <c r="J98" i="25"/>
  <c r="J99" i="25"/>
  <c r="J100" i="25"/>
  <c r="J101" i="25"/>
  <c r="J102" i="25"/>
  <c r="J103" i="25"/>
  <c r="J104" i="25"/>
  <c r="J105" i="25"/>
  <c r="J106" i="25"/>
  <c r="J107" i="25"/>
  <c r="J108" i="25"/>
  <c r="J109" i="25"/>
  <c r="J110" i="25"/>
  <c r="J111" i="25"/>
  <c r="J112" i="25"/>
  <c r="J113" i="25"/>
  <c r="J114" i="25"/>
  <c r="J115" i="25"/>
  <c r="J116" i="25"/>
  <c r="J117" i="25"/>
  <c r="J118" i="25"/>
  <c r="J119" i="25"/>
  <c r="J120" i="25"/>
  <c r="J121" i="25"/>
  <c r="J122" i="25"/>
  <c r="J123" i="25"/>
  <c r="J124" i="25"/>
  <c r="J125" i="25"/>
  <c r="J126" i="25"/>
  <c r="J127" i="25"/>
  <c r="J128" i="25"/>
  <c r="J129" i="25"/>
  <c r="J130" i="25"/>
  <c r="J131" i="25"/>
  <c r="J132" i="25"/>
  <c r="J133" i="25"/>
  <c r="J134" i="25"/>
  <c r="J135" i="25"/>
  <c r="J136" i="25"/>
  <c r="J137" i="25"/>
  <c r="J138" i="25"/>
  <c r="J139" i="25"/>
  <c r="J140" i="25"/>
  <c r="J141" i="25"/>
  <c r="J142" i="25"/>
  <c r="J143" i="25"/>
  <c r="J144" i="25"/>
  <c r="J145" i="25"/>
  <c r="J146" i="25"/>
  <c r="J147" i="25"/>
  <c r="J148" i="25"/>
  <c r="J149" i="25"/>
  <c r="J150" i="25"/>
  <c r="J151" i="25"/>
  <c r="J152" i="25"/>
  <c r="J153" i="25"/>
  <c r="J154" i="25"/>
  <c r="J155" i="25"/>
  <c r="J156" i="25"/>
  <c r="J157" i="25"/>
  <c r="J158" i="25"/>
  <c r="J159" i="25"/>
  <c r="J160" i="25"/>
  <c r="J161" i="25"/>
  <c r="J162" i="25"/>
  <c r="J163" i="25"/>
  <c r="J164" i="25"/>
  <c r="J165" i="25"/>
  <c r="J166" i="25"/>
  <c r="J167" i="25"/>
  <c r="J168" i="25"/>
  <c r="J169" i="25"/>
  <c r="J170" i="25"/>
  <c r="J171" i="25"/>
  <c r="J172" i="25"/>
  <c r="J173" i="25"/>
  <c r="J174" i="25"/>
  <c r="J175" i="25"/>
  <c r="J176" i="25"/>
  <c r="J177" i="25"/>
  <c r="J178" i="25"/>
  <c r="J179" i="25"/>
  <c r="J180" i="25"/>
  <c r="J181" i="25"/>
  <c r="J182" i="25"/>
  <c r="J183" i="25"/>
  <c r="J184" i="25"/>
  <c r="J185" i="25"/>
  <c r="J186" i="25"/>
  <c r="J187" i="25"/>
  <c r="J188" i="25"/>
  <c r="J189" i="25"/>
  <c r="J190" i="25"/>
  <c r="J191" i="25"/>
  <c r="J192" i="25"/>
  <c r="J193" i="25"/>
  <c r="J194" i="25"/>
  <c r="J195" i="25"/>
  <c r="J196" i="25"/>
  <c r="J197" i="25"/>
  <c r="J198" i="25"/>
  <c r="J199" i="25"/>
  <c r="J200" i="25"/>
  <c r="J201" i="25"/>
  <c r="J202" i="25"/>
  <c r="J203" i="25"/>
  <c r="J204" i="25"/>
  <c r="J205" i="25"/>
  <c r="J206" i="25"/>
  <c r="J207" i="25"/>
  <c r="J208" i="25"/>
  <c r="J209" i="25"/>
  <c r="J210" i="25"/>
  <c r="J211" i="25"/>
  <c r="J212" i="25"/>
  <c r="J213" i="25"/>
  <c r="J214" i="25"/>
  <c r="J4" i="25"/>
  <c r="I18" i="5"/>
  <c r="J15" i="5"/>
  <c r="J16" i="5"/>
  <c r="J17" i="5"/>
  <c r="J18" i="5"/>
  <c r="J14" i="5"/>
  <c r="M10" i="25"/>
  <c r="H5" i="25"/>
  <c r="H6" i="25"/>
  <c r="H7" i="25"/>
  <c r="H8" i="25"/>
  <c r="H9" i="25"/>
  <c r="H10" i="25"/>
  <c r="H11" i="25"/>
  <c r="H12" i="25"/>
  <c r="H13" i="25"/>
  <c r="H14" i="25"/>
  <c r="H15" i="25"/>
  <c r="H16" i="25"/>
  <c r="H17" i="25"/>
  <c r="H18" i="25"/>
  <c r="H19" i="25"/>
  <c r="H20" i="25"/>
  <c r="H21" i="25"/>
  <c r="H22" i="25"/>
  <c r="H23" i="25"/>
  <c r="H24" i="25"/>
  <c r="H25" i="25"/>
  <c r="H26" i="25"/>
  <c r="H27" i="25"/>
  <c r="H28" i="25"/>
  <c r="H29" i="25"/>
  <c r="H30" i="25"/>
  <c r="H31" i="25"/>
  <c r="H32" i="25"/>
  <c r="H33" i="25"/>
  <c r="H34" i="25"/>
  <c r="H35" i="25"/>
  <c r="H36" i="25"/>
  <c r="H37" i="25"/>
  <c r="H38" i="25"/>
  <c r="H39" i="25"/>
  <c r="H40" i="25"/>
  <c r="H41" i="25"/>
  <c r="H42" i="25"/>
  <c r="H43" i="25"/>
  <c r="H44" i="25"/>
  <c r="H45" i="25"/>
  <c r="H46" i="25"/>
  <c r="H47" i="25"/>
  <c r="H48" i="25"/>
  <c r="H49" i="25"/>
  <c r="H50" i="25"/>
  <c r="H51" i="25"/>
  <c r="H52" i="25"/>
  <c r="H53" i="25"/>
  <c r="H54" i="25"/>
  <c r="H55" i="25"/>
  <c r="H56" i="25"/>
  <c r="H57" i="25"/>
  <c r="H58" i="25"/>
  <c r="H59" i="25"/>
  <c r="H60" i="25"/>
  <c r="H61" i="25"/>
  <c r="H62" i="25"/>
  <c r="H63" i="25"/>
  <c r="H64" i="25"/>
  <c r="H65" i="25"/>
  <c r="H66" i="25"/>
  <c r="H67" i="25"/>
  <c r="H68" i="25"/>
  <c r="H69" i="25"/>
  <c r="H70" i="25"/>
  <c r="H71" i="25"/>
  <c r="H72" i="25"/>
  <c r="H73" i="25"/>
  <c r="H74" i="25"/>
  <c r="H75" i="25"/>
  <c r="H76" i="25"/>
  <c r="H77" i="25"/>
  <c r="H78" i="25"/>
  <c r="H79" i="25"/>
  <c r="H80" i="25"/>
  <c r="H81" i="25"/>
  <c r="H82" i="25"/>
  <c r="H83" i="25"/>
  <c r="H84" i="25"/>
  <c r="H85" i="25"/>
  <c r="H86" i="25"/>
  <c r="H87" i="25"/>
  <c r="H88" i="25"/>
  <c r="H89" i="25"/>
  <c r="H90" i="25"/>
  <c r="H91" i="25"/>
  <c r="H92" i="25"/>
  <c r="H93" i="25"/>
  <c r="H94" i="25"/>
  <c r="H95" i="25"/>
  <c r="H96" i="25"/>
  <c r="H97" i="25"/>
  <c r="H98" i="25"/>
  <c r="H99" i="25"/>
  <c r="H100" i="25"/>
  <c r="H101" i="25"/>
  <c r="H102" i="25"/>
  <c r="H103" i="25"/>
  <c r="H104" i="25"/>
  <c r="H105" i="25"/>
  <c r="H106" i="25"/>
  <c r="H107" i="25"/>
  <c r="H108" i="25"/>
  <c r="H109" i="25"/>
  <c r="H110" i="25"/>
  <c r="H111" i="25"/>
  <c r="H112" i="25"/>
  <c r="H113" i="25"/>
  <c r="H114" i="25"/>
  <c r="H115" i="25"/>
  <c r="H116" i="25"/>
  <c r="H117" i="25"/>
  <c r="H118" i="25"/>
  <c r="H119" i="25"/>
  <c r="H120" i="25"/>
  <c r="H121" i="25"/>
  <c r="H122" i="25"/>
  <c r="H123" i="25"/>
  <c r="H124" i="25"/>
  <c r="H125" i="25"/>
  <c r="H126" i="25"/>
  <c r="H127" i="25"/>
  <c r="H128" i="25"/>
  <c r="H129" i="25"/>
  <c r="H130" i="25"/>
  <c r="H131" i="25"/>
  <c r="H132" i="25"/>
  <c r="H133" i="25"/>
  <c r="H134" i="25"/>
  <c r="H135" i="25"/>
  <c r="H136" i="25"/>
  <c r="H137" i="25"/>
  <c r="H138" i="25"/>
  <c r="H139" i="25"/>
  <c r="H140" i="25"/>
  <c r="H141" i="25"/>
  <c r="H142" i="25"/>
  <c r="H143" i="25"/>
  <c r="H144" i="25"/>
  <c r="H145" i="25"/>
  <c r="H146" i="25"/>
  <c r="H147" i="25"/>
  <c r="H148" i="25"/>
  <c r="H149" i="25"/>
  <c r="H150" i="25"/>
  <c r="H151" i="25"/>
  <c r="H152" i="25"/>
  <c r="H153" i="25"/>
  <c r="H154" i="25"/>
  <c r="H155" i="25"/>
  <c r="H156" i="25"/>
  <c r="H157" i="25"/>
  <c r="H158" i="25"/>
  <c r="H159" i="25"/>
  <c r="H160" i="25"/>
  <c r="H161" i="25"/>
  <c r="H162" i="25"/>
  <c r="H163" i="25"/>
  <c r="H164" i="25"/>
  <c r="H165" i="25"/>
  <c r="H166" i="25"/>
  <c r="H167" i="25"/>
  <c r="H168" i="25"/>
  <c r="H169" i="25"/>
  <c r="H170" i="25"/>
  <c r="H171" i="25"/>
  <c r="H172" i="25"/>
  <c r="H173" i="25"/>
  <c r="H174" i="25"/>
  <c r="H175" i="25"/>
  <c r="H176" i="25"/>
  <c r="H177" i="25"/>
  <c r="H178" i="25"/>
  <c r="H179" i="25"/>
  <c r="H180" i="25"/>
  <c r="H181" i="25"/>
  <c r="H182" i="25"/>
  <c r="H183" i="25"/>
  <c r="H184" i="25"/>
  <c r="H185" i="25"/>
  <c r="H186" i="25"/>
  <c r="H187" i="25"/>
  <c r="H188" i="25"/>
  <c r="H189" i="25"/>
  <c r="H190" i="25"/>
  <c r="H191" i="25"/>
  <c r="H192" i="25"/>
  <c r="H193" i="25"/>
  <c r="H194" i="25"/>
  <c r="H195" i="25"/>
  <c r="H196" i="25"/>
  <c r="H197" i="25"/>
  <c r="H198" i="25"/>
  <c r="H199" i="25"/>
  <c r="H200" i="25"/>
  <c r="H201" i="25"/>
  <c r="H202" i="25"/>
  <c r="H203" i="25"/>
  <c r="H204" i="25"/>
  <c r="H205" i="25"/>
  <c r="H206" i="25"/>
  <c r="H207" i="25"/>
  <c r="H208" i="25"/>
  <c r="H209" i="25"/>
  <c r="H210" i="25"/>
  <c r="H211" i="25"/>
  <c r="H212" i="25"/>
  <c r="H213" i="25"/>
  <c r="H214" i="25"/>
  <c r="H4" i="25"/>
  <c r="AC122" i="1"/>
  <c r="AC121" i="1"/>
  <c r="AC123" i="1"/>
  <c r="AC124" i="1"/>
  <c r="AD122" i="1"/>
  <c r="AD121" i="1"/>
  <c r="AD123" i="1"/>
  <c r="AD124" i="1"/>
  <c r="AE122" i="1"/>
  <c r="AE121" i="1"/>
  <c r="AE123" i="1"/>
  <c r="AE124" i="1"/>
  <c r="X2" i="8"/>
  <c r="X3" i="8"/>
  <c r="X4" i="8"/>
  <c r="X5" i="8"/>
  <c r="X6" i="8"/>
  <c r="X7" i="8"/>
  <c r="X8" i="8"/>
  <c r="X9" i="8"/>
  <c r="X10" i="8"/>
  <c r="X11" i="8"/>
  <c r="X12" i="8"/>
  <c r="X13" i="8"/>
  <c r="X14" i="8"/>
  <c r="X15" i="8"/>
  <c r="X16" i="8"/>
  <c r="X17" i="8"/>
  <c r="X18" i="8"/>
  <c r="X19" i="8"/>
  <c r="X20" i="8"/>
  <c r="X21" i="8"/>
  <c r="X22" i="8"/>
  <c r="X23" i="8"/>
  <c r="X24" i="8"/>
  <c r="X25" i="8"/>
  <c r="X26" i="8"/>
  <c r="X27" i="8"/>
  <c r="X28" i="8"/>
  <c r="X29" i="8"/>
  <c r="X30" i="8"/>
  <c r="X31" i="8"/>
  <c r="X32" i="8"/>
  <c r="X33" i="8"/>
  <c r="X34" i="8"/>
  <c r="X35" i="8"/>
  <c r="X36" i="8"/>
  <c r="X37" i="8"/>
  <c r="X38" i="8"/>
  <c r="X39" i="8"/>
  <c r="X40" i="8"/>
  <c r="X41" i="8"/>
  <c r="X42" i="8"/>
  <c r="X43" i="8"/>
  <c r="X44" i="8"/>
  <c r="X45" i="8"/>
  <c r="X46" i="8"/>
  <c r="X47" i="8"/>
  <c r="X48" i="8"/>
  <c r="X49" i="8"/>
  <c r="X50" i="8"/>
  <c r="X51" i="8"/>
  <c r="X52" i="8"/>
  <c r="X53" i="8"/>
  <c r="X54" i="8"/>
  <c r="X55" i="8"/>
  <c r="X56" i="8"/>
  <c r="X57" i="8"/>
  <c r="X58" i="8"/>
  <c r="X59" i="8"/>
  <c r="X60" i="8"/>
  <c r="X61" i="8"/>
  <c r="X62" i="8"/>
  <c r="X63" i="8"/>
  <c r="X64" i="8"/>
  <c r="X65" i="8"/>
  <c r="X66" i="8"/>
  <c r="X67" i="8"/>
  <c r="X68" i="8"/>
  <c r="X69" i="8"/>
  <c r="X70" i="8"/>
  <c r="X71" i="8"/>
  <c r="X72" i="8"/>
  <c r="X73" i="8"/>
  <c r="X74" i="8"/>
  <c r="X75" i="8"/>
  <c r="X76" i="8"/>
  <c r="X77" i="8"/>
  <c r="X78" i="8"/>
  <c r="X79" i="8"/>
  <c r="X80" i="8"/>
  <c r="X81" i="8"/>
  <c r="X82" i="8"/>
  <c r="X83" i="8"/>
  <c r="X84" i="8"/>
  <c r="X85" i="8"/>
  <c r="X86" i="8"/>
  <c r="X87" i="8"/>
  <c r="X88" i="8"/>
  <c r="X89" i="8"/>
  <c r="X90" i="8"/>
  <c r="X91" i="8"/>
  <c r="X92" i="8"/>
  <c r="X93" i="8"/>
  <c r="X94" i="8"/>
  <c r="X95" i="8"/>
  <c r="X96" i="8"/>
  <c r="X97" i="8"/>
  <c r="X98" i="8"/>
  <c r="X99" i="8"/>
  <c r="X100" i="8"/>
  <c r="X101" i="8"/>
  <c r="X102" i="8"/>
  <c r="X103" i="8"/>
  <c r="X104" i="8"/>
  <c r="X105" i="8"/>
  <c r="X106" i="8"/>
  <c r="X107" i="8"/>
  <c r="X108" i="8"/>
  <c r="X109" i="8"/>
  <c r="X110" i="8"/>
  <c r="X111" i="8"/>
  <c r="X112" i="8"/>
  <c r="X113" i="8"/>
  <c r="X114" i="8"/>
  <c r="X115" i="8"/>
  <c r="X116" i="8"/>
  <c r="X117" i="8"/>
  <c r="X118" i="8"/>
  <c r="X119" i="8"/>
  <c r="X120" i="8"/>
  <c r="X121" i="8"/>
  <c r="X122" i="8"/>
  <c r="X123" i="8"/>
  <c r="X124" i="8"/>
  <c r="X125" i="8"/>
  <c r="X126" i="8"/>
  <c r="X127" i="8"/>
  <c r="X128" i="8"/>
  <c r="X129" i="8"/>
  <c r="X130" i="8"/>
  <c r="X131" i="8"/>
  <c r="X132" i="8"/>
  <c r="X133" i="8"/>
  <c r="X134" i="8"/>
  <c r="X135" i="8"/>
  <c r="X136" i="8"/>
  <c r="X137" i="8"/>
  <c r="X138" i="8"/>
  <c r="X139" i="8"/>
  <c r="X140" i="8"/>
  <c r="X141" i="8"/>
  <c r="X142" i="8"/>
  <c r="X143" i="8"/>
  <c r="X144" i="8"/>
  <c r="X145" i="8"/>
  <c r="X146" i="8"/>
  <c r="X147" i="8"/>
  <c r="X148" i="8"/>
  <c r="X149" i="8"/>
  <c r="X150" i="8"/>
  <c r="X151" i="8"/>
  <c r="X152" i="8"/>
  <c r="X153" i="8"/>
  <c r="X154" i="8"/>
  <c r="X155" i="8"/>
  <c r="X156" i="8"/>
  <c r="X157" i="8"/>
  <c r="X158" i="8"/>
  <c r="X159" i="8"/>
  <c r="X160" i="8"/>
  <c r="X161" i="8"/>
  <c r="X162" i="8"/>
  <c r="X163" i="8"/>
  <c r="X164" i="8"/>
  <c r="X165" i="8"/>
  <c r="X166" i="8"/>
  <c r="X167" i="8"/>
  <c r="X168" i="8"/>
  <c r="X169" i="8"/>
  <c r="X170" i="8"/>
  <c r="X171" i="8"/>
  <c r="X172" i="8"/>
  <c r="X173" i="8"/>
  <c r="X174" i="8"/>
  <c r="X175" i="8"/>
  <c r="X176" i="8"/>
  <c r="X177" i="8"/>
  <c r="X178" i="8"/>
  <c r="X179" i="8"/>
  <c r="X180" i="8"/>
  <c r="X181" i="8"/>
  <c r="X182" i="8"/>
  <c r="X183" i="8"/>
  <c r="X184" i="8"/>
  <c r="X185" i="8"/>
  <c r="X186" i="8"/>
  <c r="X187" i="8"/>
  <c r="X188" i="8"/>
  <c r="X189" i="8"/>
  <c r="X190" i="8"/>
  <c r="X191" i="8"/>
  <c r="X192" i="8"/>
  <c r="Y2" i="9"/>
  <c r="Y3" i="9"/>
  <c r="Y4" i="9"/>
  <c r="Y5" i="9"/>
  <c r="Y6" i="9"/>
  <c r="Y7" i="9"/>
  <c r="Y8" i="9"/>
  <c r="Y9" i="9"/>
  <c r="Y10" i="9"/>
  <c r="Y11" i="9"/>
  <c r="Y12" i="9"/>
  <c r="Y13" i="9"/>
  <c r="Y14" i="9"/>
  <c r="Y15" i="9"/>
  <c r="Y16" i="9"/>
  <c r="Y17" i="9"/>
  <c r="Y18" i="9"/>
  <c r="Y19" i="9"/>
  <c r="Y20" i="9"/>
  <c r="Y21" i="9"/>
  <c r="Y22" i="9"/>
  <c r="Y23" i="9"/>
  <c r="Y24" i="9"/>
  <c r="Y25" i="9"/>
  <c r="Y26" i="9"/>
  <c r="Y27" i="9"/>
  <c r="Y28" i="9"/>
  <c r="Y29" i="9"/>
  <c r="Y30" i="9"/>
  <c r="Y31" i="9"/>
  <c r="Y32" i="9"/>
  <c r="Y33" i="9"/>
  <c r="Y34" i="9"/>
  <c r="Y35" i="9"/>
  <c r="Y36" i="9"/>
  <c r="Y37" i="9"/>
  <c r="Y38" i="9"/>
  <c r="Y39" i="9"/>
  <c r="Y40" i="9"/>
  <c r="Y41" i="9"/>
  <c r="Y42" i="9"/>
  <c r="Y43" i="9"/>
  <c r="Y44" i="9"/>
  <c r="Y45" i="9"/>
  <c r="Y46" i="9"/>
  <c r="Y47" i="9"/>
  <c r="Y48" i="9"/>
  <c r="Y49" i="9"/>
  <c r="Y50" i="9"/>
  <c r="Y51" i="9"/>
  <c r="Y52" i="9"/>
  <c r="Y53" i="9"/>
  <c r="Y54" i="9"/>
  <c r="Y55" i="9"/>
  <c r="Y56" i="9"/>
  <c r="Y57" i="9"/>
  <c r="Y58" i="9"/>
  <c r="Y59" i="9"/>
  <c r="Y60" i="9"/>
  <c r="Y61" i="9"/>
  <c r="Y62" i="9"/>
  <c r="Y63" i="9"/>
  <c r="Y64" i="9"/>
  <c r="Y65" i="9"/>
  <c r="Y66" i="9"/>
  <c r="Y67" i="9"/>
  <c r="Y68" i="9"/>
  <c r="Y69" i="9"/>
  <c r="Y70" i="9"/>
  <c r="Y71" i="9"/>
  <c r="Y72" i="9"/>
  <c r="Y73" i="9"/>
  <c r="Y74" i="9"/>
  <c r="Y75" i="9"/>
  <c r="Y76" i="9"/>
  <c r="Y77" i="9"/>
  <c r="Y78" i="9"/>
  <c r="Y79" i="9"/>
  <c r="Y80" i="9"/>
  <c r="Y81" i="9"/>
  <c r="Y82" i="9"/>
  <c r="Y83" i="9"/>
  <c r="Y84" i="9"/>
  <c r="Y85" i="9"/>
  <c r="Y86" i="9"/>
  <c r="Y87" i="9"/>
  <c r="Y88" i="9"/>
  <c r="Y89" i="9"/>
  <c r="Y90" i="9"/>
  <c r="Y91" i="9"/>
  <c r="Y92" i="9"/>
  <c r="Y93" i="9"/>
  <c r="Y94" i="9"/>
  <c r="Y95" i="9"/>
  <c r="Y96" i="9"/>
  <c r="Y97" i="9"/>
  <c r="Y98" i="9"/>
  <c r="Y99" i="9"/>
  <c r="Y100" i="9"/>
  <c r="Y101" i="9"/>
  <c r="Y102" i="9"/>
  <c r="Y103" i="9"/>
  <c r="Y104" i="9"/>
  <c r="Y105" i="9"/>
  <c r="Y106" i="9"/>
  <c r="Y107" i="9"/>
  <c r="Y108" i="9"/>
  <c r="Y109" i="9"/>
  <c r="Y110" i="9"/>
  <c r="Y111" i="9"/>
  <c r="Y112" i="9"/>
  <c r="Y113" i="9"/>
  <c r="Y114" i="9"/>
  <c r="Y115" i="9"/>
  <c r="Y116" i="9"/>
  <c r="Y117" i="9"/>
  <c r="Y118" i="9"/>
  <c r="Y119" i="9"/>
  <c r="Y120" i="9"/>
  <c r="Y121" i="9"/>
  <c r="Y122" i="9"/>
  <c r="Y123" i="9"/>
  <c r="Y124" i="9"/>
  <c r="Y125" i="9"/>
  <c r="Y126" i="9"/>
  <c r="Y127" i="9"/>
  <c r="Y128" i="9"/>
  <c r="Y129" i="9"/>
  <c r="Y130" i="9"/>
  <c r="Y131" i="9"/>
  <c r="Y132" i="9"/>
  <c r="Y133" i="9"/>
  <c r="Y134" i="9"/>
  <c r="Y135" i="9"/>
  <c r="Y136" i="9"/>
  <c r="Y137" i="9"/>
  <c r="Y138" i="9"/>
  <c r="Y139" i="9"/>
  <c r="Y140" i="9"/>
  <c r="Y141" i="9"/>
  <c r="Y142" i="9"/>
  <c r="Y143" i="9"/>
  <c r="Y144" i="9"/>
  <c r="Y145" i="9"/>
  <c r="Y146" i="9"/>
  <c r="Y147" i="9"/>
  <c r="Y148" i="9"/>
  <c r="Y149" i="9"/>
  <c r="Y150" i="9"/>
  <c r="Y151" i="9"/>
  <c r="Y152" i="9"/>
  <c r="Y153" i="9"/>
  <c r="Y154" i="9"/>
  <c r="Y155" i="9"/>
  <c r="Y156" i="9"/>
  <c r="Y157" i="9"/>
  <c r="Y158" i="9"/>
  <c r="Y159" i="9"/>
  <c r="Y160" i="9"/>
  <c r="Y161" i="9"/>
  <c r="Y162" i="9"/>
  <c r="Y163" i="9"/>
  <c r="Y164" i="9"/>
  <c r="Y165" i="9"/>
  <c r="Y166" i="9"/>
  <c r="Y167" i="9"/>
  <c r="Y168" i="9"/>
  <c r="Y169" i="9"/>
  <c r="Y170" i="9"/>
  <c r="Y171" i="9"/>
  <c r="Y172" i="9"/>
  <c r="Y173" i="9"/>
  <c r="Y174" i="9"/>
  <c r="Y175" i="9"/>
  <c r="Y176" i="9"/>
  <c r="Y177" i="9"/>
  <c r="Y178" i="9"/>
  <c r="Y179" i="9"/>
  <c r="Y180" i="9"/>
  <c r="Y181" i="9"/>
  <c r="Y182" i="9"/>
  <c r="Y183" i="9"/>
  <c r="Y184" i="9"/>
  <c r="Y185" i="9"/>
  <c r="Y186" i="9"/>
  <c r="Y187" i="9"/>
  <c r="Y188" i="9"/>
  <c r="Y189" i="9"/>
  <c r="Y190" i="9"/>
  <c r="I10" i="5"/>
  <c r="I9" i="5"/>
  <c r="I8" i="5"/>
  <c r="I7" i="5"/>
  <c r="AF393" i="1"/>
  <c r="I6" i="5"/>
  <c r="I5" i="5"/>
  <c r="I4" i="5"/>
  <c r="AH544" i="1"/>
  <c r="AH554" i="1"/>
  <c r="AI544" i="1"/>
  <c r="AI554" i="1"/>
  <c r="AJ544" i="1"/>
  <c r="AJ554" i="1"/>
  <c r="AK544" i="1"/>
  <c r="AK554" i="1"/>
  <c r="AL544" i="1"/>
  <c r="AL554" i="1"/>
  <c r="AM544" i="1"/>
  <c r="AM554" i="1"/>
  <c r="AN544" i="1"/>
  <c r="AN554" i="1"/>
  <c r="AO544" i="1"/>
  <c r="AO554" i="1"/>
  <c r="AP544" i="1"/>
  <c r="AP554" i="1"/>
  <c r="AQ544" i="1"/>
  <c r="AQ554" i="1"/>
  <c r="AR544" i="1"/>
  <c r="AR554" i="1"/>
  <c r="AS544" i="1"/>
  <c r="AS554" i="1"/>
  <c r="AD508" i="1"/>
  <c r="AE508" i="1"/>
  <c r="AF508" i="1"/>
  <c r="AC464" i="1"/>
  <c r="AD464" i="1"/>
  <c r="AE464" i="1"/>
  <c r="AF464" i="1"/>
  <c r="AC465" i="1"/>
  <c r="AD465" i="1"/>
  <c r="AE465" i="1"/>
  <c r="AF465" i="1"/>
  <c r="AC466" i="1"/>
  <c r="AD466" i="1"/>
  <c r="AE466" i="1"/>
  <c r="AF466" i="1"/>
  <c r="AC467" i="1"/>
  <c r="AD467" i="1"/>
  <c r="AE467" i="1"/>
  <c r="AF467" i="1"/>
  <c r="AC468" i="1"/>
  <c r="AD468" i="1"/>
  <c r="AE468" i="1"/>
  <c r="AF468" i="1"/>
  <c r="AB192" i="1"/>
  <c r="AC102" i="20"/>
  <c r="AC302" i="20" s="1"/>
  <c r="AD102" i="20"/>
  <c r="AD9" i="20" s="1"/>
  <c r="AE102" i="20"/>
  <c r="AE202" i="20" s="1"/>
  <c r="AF2" i="20"/>
  <c r="S166" i="8"/>
  <c r="AF103" i="20"/>
  <c r="AC2" i="20"/>
  <c r="R166" i="8"/>
  <c r="D40" i="11"/>
  <c r="D41" i="11"/>
  <c r="AC103" i="20"/>
  <c r="AD2" i="20"/>
  <c r="AD103" i="20"/>
  <c r="AE2" i="20"/>
  <c r="AE103" i="20"/>
  <c r="AC104" i="20"/>
  <c r="AD104" i="20"/>
  <c r="AE104" i="20"/>
  <c r="AC107" i="20"/>
  <c r="AD107" i="20"/>
  <c r="AE107" i="20"/>
  <c r="AA421" i="1"/>
  <c r="AB403" i="1"/>
  <c r="AB393" i="1"/>
  <c r="AB421" i="1"/>
  <c r="AC113" i="20"/>
  <c r="AD113" i="20"/>
  <c r="AE113" i="20"/>
  <c r="O468" i="1"/>
  <c r="P468" i="1"/>
  <c r="Q468" i="1"/>
  <c r="R468" i="1"/>
  <c r="S468" i="1"/>
  <c r="T468" i="1"/>
  <c r="U468" i="1"/>
  <c r="V468" i="1"/>
  <c r="W468" i="1"/>
  <c r="X468" i="1"/>
  <c r="Y468" i="1"/>
  <c r="Z468" i="1"/>
  <c r="AA468" i="1"/>
  <c r="AC118" i="20"/>
  <c r="AC317" i="20" s="1"/>
  <c r="AD118" i="20"/>
  <c r="AE118" i="20"/>
  <c r="AC120" i="20"/>
  <c r="AD120" i="20"/>
  <c r="AE120" i="20"/>
  <c r="AC126" i="20"/>
  <c r="AD126" i="20"/>
  <c r="AE126" i="20"/>
  <c r="AE322" i="20" s="1"/>
  <c r="T166" i="8"/>
  <c r="U166" i="8"/>
  <c r="V166" i="8"/>
  <c r="AE22" i="1"/>
  <c r="AF22" i="1"/>
  <c r="AD22" i="1"/>
  <c r="AC393" i="1"/>
  <c r="AC6" i="21"/>
  <c r="AC22" i="1" s="1"/>
  <c r="AC52" i="1" s="1"/>
  <c r="X122" i="1"/>
  <c r="X121" i="1"/>
  <c r="X123" i="1"/>
  <c r="X124" i="1"/>
  <c r="Y122" i="1"/>
  <c r="Y121" i="1"/>
  <c r="Y123" i="1"/>
  <c r="Y124" i="1"/>
  <c r="Z122" i="1"/>
  <c r="Z121" i="1"/>
  <c r="Z123" i="1"/>
  <c r="Z124" i="1"/>
  <c r="AA122" i="1"/>
  <c r="AA121" i="1"/>
  <c r="AA123" i="1"/>
  <c r="AA124" i="1"/>
  <c r="AB122" i="1"/>
  <c r="AB121" i="1"/>
  <c r="AB123" i="1"/>
  <c r="AB124" i="1"/>
  <c r="W122" i="1"/>
  <c r="W121" i="1"/>
  <c r="W123" i="1"/>
  <c r="W124" i="1"/>
  <c r="AC597" i="1"/>
  <c r="AD597" i="1"/>
  <c r="AE597" i="1"/>
  <c r="AF597" i="1"/>
  <c r="AB597" i="1"/>
  <c r="AA597" i="1"/>
  <c r="AG597" i="1"/>
  <c r="AC508" i="1"/>
  <c r="AD481" i="1"/>
  <c r="AE481" i="1"/>
  <c r="AF481" i="1"/>
  <c r="AD482" i="1"/>
  <c r="AE482" i="1"/>
  <c r="AF482" i="1"/>
  <c r="AC481" i="1"/>
  <c r="AD393" i="1"/>
  <c r="AE393" i="1"/>
  <c r="AD396" i="1"/>
  <c r="AE396" i="1"/>
  <c r="AF396" i="1"/>
  <c r="AD404" i="1"/>
  <c r="AE404" i="1"/>
  <c r="AF404" i="1"/>
  <c r="AD415" i="1"/>
  <c r="AE415" i="1"/>
  <c r="AF415" i="1"/>
  <c r="AB415" i="1"/>
  <c r="AC415" i="1"/>
  <c r="AB416" i="1"/>
  <c r="AB280" i="1"/>
  <c r="Y280" i="1"/>
  <c r="Z280" i="1"/>
  <c r="AA280" i="1"/>
  <c r="AD305" i="1"/>
  <c r="AE305" i="1"/>
  <c r="AF305" i="1"/>
  <c r="AC305" i="1"/>
  <c r="X222" i="1"/>
  <c r="X190" i="1"/>
  <c r="V222" i="1"/>
  <c r="V191" i="1"/>
  <c r="R222" i="1"/>
  <c r="R191" i="1"/>
  <c r="W222" i="1"/>
  <c r="W191" i="1"/>
  <c r="S222" i="1"/>
  <c r="S191" i="1"/>
  <c r="X191" i="1"/>
  <c r="T222" i="1"/>
  <c r="T191" i="1"/>
  <c r="P222" i="1"/>
  <c r="P191" i="1"/>
  <c r="AD200" i="1"/>
  <c r="AE200" i="1"/>
  <c r="AF200" i="1"/>
  <c r="AD207" i="1"/>
  <c r="AE207" i="1"/>
  <c r="AF207" i="1"/>
  <c r="AF302" i="20"/>
  <c r="AF9" i="20"/>
  <c r="AD216" i="1"/>
  <c r="AE216" i="1"/>
  <c r="AF216" i="1"/>
  <c r="AD218" i="1"/>
  <c r="AE218" i="1"/>
  <c r="AF218" i="1"/>
  <c r="Q222" i="1"/>
  <c r="U222" i="1"/>
  <c r="AD223" i="1"/>
  <c r="AE223" i="1"/>
  <c r="AF223" i="1"/>
  <c r="Y381" i="1"/>
  <c r="Z381" i="1"/>
  <c r="AA381" i="1"/>
  <c r="AB381" i="1"/>
  <c r="AD4" i="1"/>
  <c r="AE4" i="1"/>
  <c r="AH4" i="1"/>
  <c r="AI4" i="1"/>
  <c r="E1" i="18" s="1"/>
  <c r="AB183" i="1"/>
  <c r="AF183" i="1"/>
  <c r="U191" i="1"/>
  <c r="Q191" i="1"/>
  <c r="AB107" i="20"/>
  <c r="Y382" i="1"/>
  <c r="Z382" i="1"/>
  <c r="AA382" i="1"/>
  <c r="AB382" i="1"/>
  <c r="Q383" i="1"/>
  <c r="Y384" i="1"/>
  <c r="Z384" i="1"/>
  <c r="AA384" i="1"/>
  <c r="AB384" i="1"/>
  <c r="AB113" i="20"/>
  <c r="AB120" i="20"/>
  <c r="AB126" i="20"/>
  <c r="S383" i="1"/>
  <c r="R383" i="1"/>
  <c r="AH322" i="20"/>
  <c r="AH29" i="20"/>
  <c r="AG322" i="20"/>
  <c r="AG29" i="20"/>
  <c r="AC63" i="1"/>
  <c r="AB63" i="1"/>
  <c r="AA13" i="1"/>
  <c r="AA63" i="1"/>
  <c r="Z13" i="1"/>
  <c r="Z63" i="1"/>
  <c r="Y13" i="1"/>
  <c r="Y63" i="1"/>
  <c r="X13" i="1"/>
  <c r="X63" i="1"/>
  <c r="W13" i="1"/>
  <c r="W63" i="1"/>
  <c r="V13" i="1"/>
  <c r="V63" i="1"/>
  <c r="U13" i="1"/>
  <c r="U63" i="1"/>
  <c r="T13" i="1"/>
  <c r="T63" i="1"/>
  <c r="S13" i="1"/>
  <c r="S63" i="1"/>
  <c r="R13" i="1"/>
  <c r="R63" i="1"/>
  <c r="Q13" i="1"/>
  <c r="Q63" i="1"/>
  <c r="P13" i="1"/>
  <c r="P63" i="1"/>
  <c r="O13" i="1"/>
  <c r="O63" i="1"/>
  <c r="N13" i="1"/>
  <c r="N63" i="1"/>
  <c r="M33" i="1"/>
  <c r="M63" i="1"/>
  <c r="AC62" i="1"/>
  <c r="AB62" i="1"/>
  <c r="AA62" i="1"/>
  <c r="Z62" i="1"/>
  <c r="Y62" i="1"/>
  <c r="X62" i="1"/>
  <c r="W62" i="1"/>
  <c r="V62" i="1"/>
  <c r="U62" i="1"/>
  <c r="T62" i="1"/>
  <c r="S62" i="1"/>
  <c r="R62" i="1"/>
  <c r="Q62" i="1"/>
  <c r="P62" i="1"/>
  <c r="O62" i="1"/>
  <c r="N62" i="1"/>
  <c r="M62" i="1"/>
  <c r="L62" i="1"/>
  <c r="K62" i="1"/>
  <c r="J62" i="1"/>
  <c r="I62" i="1"/>
  <c r="H62" i="1"/>
  <c r="G62" i="1"/>
  <c r="F62" i="1"/>
  <c r="E62" i="1"/>
  <c r="D62" i="1"/>
  <c r="C62" i="1"/>
  <c r="B62" i="1"/>
  <c r="AC61" i="1"/>
  <c r="AB61" i="1"/>
  <c r="AA61" i="1"/>
  <c r="Z61" i="1"/>
  <c r="Y61" i="1"/>
  <c r="X61" i="1"/>
  <c r="W61" i="1"/>
  <c r="V61" i="1"/>
  <c r="U61" i="1"/>
  <c r="T61" i="1"/>
  <c r="S61" i="1"/>
  <c r="R61" i="1"/>
  <c r="Q61" i="1"/>
  <c r="P61" i="1"/>
  <c r="O61" i="1"/>
  <c r="N61" i="1"/>
  <c r="M61" i="1"/>
  <c r="L61" i="1"/>
  <c r="K61" i="1"/>
  <c r="J61" i="1"/>
  <c r="I61" i="1"/>
  <c r="H61" i="1"/>
  <c r="G61" i="1"/>
  <c r="F61" i="1"/>
  <c r="E61" i="1"/>
  <c r="D61" i="1"/>
  <c r="C61" i="1"/>
  <c r="B61" i="1"/>
  <c r="AC30" i="1"/>
  <c r="AC60" i="1"/>
  <c r="AB60" i="1"/>
  <c r="AA60" i="1"/>
  <c r="Z60" i="1"/>
  <c r="Y60" i="1"/>
  <c r="X60" i="1"/>
  <c r="W60" i="1"/>
  <c r="V60" i="1"/>
  <c r="U60" i="1"/>
  <c r="T60" i="1"/>
  <c r="S60" i="1"/>
  <c r="R60" i="1"/>
  <c r="Q60" i="1"/>
  <c r="P60" i="1"/>
  <c r="O60" i="1"/>
  <c r="N60" i="1"/>
  <c r="M60" i="1"/>
  <c r="L60" i="1"/>
  <c r="K60" i="1"/>
  <c r="J60" i="1"/>
  <c r="I60" i="1"/>
  <c r="H60" i="1"/>
  <c r="G60" i="1"/>
  <c r="F60" i="1"/>
  <c r="E60" i="1"/>
  <c r="D60" i="1"/>
  <c r="C60" i="1"/>
  <c r="B60" i="1"/>
  <c r="AC59" i="1"/>
  <c r="AB59" i="1"/>
  <c r="AA59" i="1"/>
  <c r="Z59" i="1"/>
  <c r="Y59" i="1"/>
  <c r="X59" i="1"/>
  <c r="W59" i="1"/>
  <c r="V59" i="1"/>
  <c r="U59" i="1"/>
  <c r="T59" i="1"/>
  <c r="S59" i="1"/>
  <c r="R59" i="1"/>
  <c r="Q59" i="1"/>
  <c r="P59" i="1"/>
  <c r="O59" i="1"/>
  <c r="N59" i="1"/>
  <c r="M59" i="1"/>
  <c r="L59" i="1"/>
  <c r="K59" i="1"/>
  <c r="J59" i="1"/>
  <c r="I59" i="1"/>
  <c r="H59" i="1"/>
  <c r="G59" i="1"/>
  <c r="F59" i="1"/>
  <c r="E59" i="1"/>
  <c r="D59" i="1"/>
  <c r="C59" i="1"/>
  <c r="B59" i="1"/>
  <c r="AC58" i="1"/>
  <c r="AB58" i="1"/>
  <c r="AA58" i="1"/>
  <c r="Z58" i="1"/>
  <c r="Y58" i="1"/>
  <c r="X58" i="1"/>
  <c r="W58" i="1"/>
  <c r="V58" i="1"/>
  <c r="U58" i="1"/>
  <c r="T58" i="1"/>
  <c r="S58" i="1"/>
  <c r="R58" i="1"/>
  <c r="Q58" i="1"/>
  <c r="P58" i="1"/>
  <c r="O58" i="1"/>
  <c r="N58" i="1"/>
  <c r="M58" i="1"/>
  <c r="L58" i="1"/>
  <c r="K58" i="1"/>
  <c r="J58" i="1"/>
  <c r="I58" i="1"/>
  <c r="H58" i="1"/>
  <c r="G58" i="1"/>
  <c r="F58" i="1"/>
  <c r="E58" i="1"/>
  <c r="D58" i="1"/>
  <c r="C58" i="1"/>
  <c r="B58" i="1"/>
  <c r="AC57" i="1"/>
  <c r="AB57" i="1"/>
  <c r="AA57" i="1"/>
  <c r="Z57" i="1"/>
  <c r="Y57" i="1"/>
  <c r="X57" i="1"/>
  <c r="W57" i="1"/>
  <c r="V57" i="1"/>
  <c r="U57" i="1"/>
  <c r="T57" i="1"/>
  <c r="S57" i="1"/>
  <c r="R57" i="1"/>
  <c r="Q57" i="1"/>
  <c r="P57" i="1"/>
  <c r="O57" i="1"/>
  <c r="N57" i="1"/>
  <c r="M57" i="1"/>
  <c r="L57" i="1"/>
  <c r="K57" i="1"/>
  <c r="J57" i="1"/>
  <c r="I57" i="1"/>
  <c r="H57" i="1"/>
  <c r="G57" i="1"/>
  <c r="F57" i="1"/>
  <c r="E57" i="1"/>
  <c r="D57" i="1"/>
  <c r="C57" i="1"/>
  <c r="B57" i="1"/>
  <c r="AC56" i="1"/>
  <c r="AB56" i="1"/>
  <c r="AA56" i="1"/>
  <c r="Z56" i="1"/>
  <c r="Y56" i="1"/>
  <c r="X56" i="1"/>
  <c r="W56" i="1"/>
  <c r="V56" i="1"/>
  <c r="U56" i="1"/>
  <c r="T56" i="1"/>
  <c r="S56" i="1"/>
  <c r="R56" i="1"/>
  <c r="Q56" i="1"/>
  <c r="P56" i="1"/>
  <c r="O56" i="1"/>
  <c r="N56" i="1"/>
  <c r="M56" i="1"/>
  <c r="L56" i="1"/>
  <c r="K56" i="1"/>
  <c r="J56" i="1"/>
  <c r="I56" i="1"/>
  <c r="H56" i="1"/>
  <c r="G56" i="1"/>
  <c r="F56" i="1"/>
  <c r="E56" i="1"/>
  <c r="D56" i="1"/>
  <c r="C56" i="1"/>
  <c r="B56" i="1"/>
  <c r="AC55" i="1"/>
  <c r="AB55" i="1"/>
  <c r="AA55" i="1"/>
  <c r="Z55" i="1"/>
  <c r="Y55" i="1"/>
  <c r="X55" i="1"/>
  <c r="W55" i="1"/>
  <c r="V55" i="1"/>
  <c r="U55" i="1"/>
  <c r="T55" i="1"/>
  <c r="S55" i="1"/>
  <c r="R55" i="1"/>
  <c r="Q55" i="1"/>
  <c r="P55" i="1"/>
  <c r="O55" i="1"/>
  <c r="N55" i="1"/>
  <c r="M55" i="1"/>
  <c r="L55" i="1"/>
  <c r="K55" i="1"/>
  <c r="J55" i="1"/>
  <c r="I55" i="1"/>
  <c r="H55" i="1"/>
  <c r="G55" i="1"/>
  <c r="F55" i="1"/>
  <c r="E55" i="1"/>
  <c r="D55" i="1"/>
  <c r="C55" i="1"/>
  <c r="B55" i="1"/>
  <c r="AC54" i="1"/>
  <c r="AB54" i="1"/>
  <c r="AA54" i="1"/>
  <c r="Z54" i="1"/>
  <c r="Y54" i="1"/>
  <c r="X54" i="1"/>
  <c r="W54" i="1"/>
  <c r="V54" i="1"/>
  <c r="U24" i="1"/>
  <c r="U54" i="1"/>
  <c r="T24" i="1"/>
  <c r="T54" i="1"/>
  <c r="S24" i="1"/>
  <c r="S54" i="1"/>
  <c r="R24" i="1"/>
  <c r="R54" i="1"/>
  <c r="Q24" i="1"/>
  <c r="Q54" i="1"/>
  <c r="P24" i="1"/>
  <c r="P54" i="1"/>
  <c r="O24" i="1"/>
  <c r="O54" i="1"/>
  <c r="N24" i="1"/>
  <c r="N54" i="1"/>
  <c r="M24" i="1"/>
  <c r="M54" i="1"/>
  <c r="L24" i="1"/>
  <c r="L54" i="1"/>
  <c r="K24" i="1"/>
  <c r="K54" i="1"/>
  <c r="J24" i="1"/>
  <c r="J54" i="1"/>
  <c r="I24" i="1"/>
  <c r="I54" i="1"/>
  <c r="H24" i="1"/>
  <c r="H54" i="1"/>
  <c r="G24" i="1"/>
  <c r="G54" i="1"/>
  <c r="F24" i="1"/>
  <c r="F54" i="1"/>
  <c r="E24" i="1"/>
  <c r="E54" i="1"/>
  <c r="D24" i="1"/>
  <c r="D54" i="1"/>
  <c r="C24" i="1"/>
  <c r="C54" i="1"/>
  <c r="B24" i="1"/>
  <c r="B54" i="1"/>
  <c r="AC53" i="1"/>
  <c r="AB53" i="1"/>
  <c r="AA53" i="1"/>
  <c r="Z53" i="1"/>
  <c r="Y53" i="1"/>
  <c r="X53" i="1"/>
  <c r="W53" i="1"/>
  <c r="V53" i="1"/>
  <c r="U53" i="1"/>
  <c r="T53" i="1"/>
  <c r="S53" i="1"/>
  <c r="R53" i="1"/>
  <c r="Q53" i="1"/>
  <c r="P53" i="1"/>
  <c r="O53" i="1"/>
  <c r="N53" i="1"/>
  <c r="M53" i="1"/>
  <c r="L53" i="1"/>
  <c r="K53" i="1"/>
  <c r="J53" i="1"/>
  <c r="I53" i="1"/>
  <c r="H53" i="1"/>
  <c r="G53" i="1"/>
  <c r="F53" i="1"/>
  <c r="E53" i="1"/>
  <c r="D53" i="1"/>
  <c r="C53" i="1"/>
  <c r="B53" i="1"/>
  <c r="AB22" i="1"/>
  <c r="AB52" i="1"/>
  <c r="AA21" i="1"/>
  <c r="AA22" i="1"/>
  <c r="AA52" i="1"/>
  <c r="Z21" i="1"/>
  <c r="Z22" i="1"/>
  <c r="Z52" i="1"/>
  <c r="Y21" i="1"/>
  <c r="Y22" i="1"/>
  <c r="Y52" i="1"/>
  <c r="X21" i="1"/>
  <c r="X22" i="1"/>
  <c r="X52" i="1"/>
  <c r="W21" i="1"/>
  <c r="W22" i="1"/>
  <c r="W52" i="1"/>
  <c r="V21" i="1"/>
  <c r="V22" i="1"/>
  <c r="V52" i="1"/>
  <c r="U21" i="1"/>
  <c r="U22" i="1"/>
  <c r="U52" i="1"/>
  <c r="T21" i="1"/>
  <c r="T22" i="1"/>
  <c r="T52" i="1"/>
  <c r="S21" i="1"/>
  <c r="S22" i="1"/>
  <c r="S52" i="1"/>
  <c r="R21" i="1"/>
  <c r="R22" i="1"/>
  <c r="R52" i="1"/>
  <c r="Q21" i="1"/>
  <c r="Q22" i="1"/>
  <c r="Q52" i="1"/>
  <c r="P21" i="1"/>
  <c r="P22" i="1"/>
  <c r="P52" i="1"/>
  <c r="O21" i="1"/>
  <c r="O22" i="1"/>
  <c r="O52" i="1"/>
  <c r="N21" i="1"/>
  <c r="N22" i="1"/>
  <c r="N52" i="1"/>
  <c r="M22" i="1"/>
  <c r="M52" i="1"/>
  <c r="L22" i="1"/>
  <c r="L52" i="1"/>
  <c r="K22" i="1"/>
  <c r="K52" i="1"/>
  <c r="J22" i="1"/>
  <c r="J52" i="1"/>
  <c r="I22" i="1"/>
  <c r="I52" i="1"/>
  <c r="H22" i="1"/>
  <c r="H52" i="1"/>
  <c r="G22" i="1"/>
  <c r="G52" i="1"/>
  <c r="F22" i="1"/>
  <c r="F52" i="1"/>
  <c r="E22" i="1"/>
  <c r="E52" i="1"/>
  <c r="D22" i="1"/>
  <c r="D52" i="1"/>
  <c r="C22" i="1"/>
  <c r="C52" i="1"/>
  <c r="B22" i="1"/>
  <c r="B52" i="1"/>
  <c r="AC51" i="1"/>
  <c r="AB51" i="1"/>
  <c r="AA51" i="1"/>
  <c r="Z51" i="1"/>
  <c r="Y51" i="1"/>
  <c r="X51" i="1"/>
  <c r="W51" i="1"/>
  <c r="V51" i="1"/>
  <c r="U51" i="1"/>
  <c r="T51" i="1"/>
  <c r="S51" i="1"/>
  <c r="R51" i="1"/>
  <c r="Q51" i="1"/>
  <c r="P51" i="1"/>
  <c r="O51" i="1"/>
  <c r="N51" i="1"/>
  <c r="M51" i="1"/>
  <c r="L51" i="1"/>
  <c r="K51" i="1"/>
  <c r="J51" i="1"/>
  <c r="I51" i="1"/>
  <c r="H51" i="1"/>
  <c r="G51" i="1"/>
  <c r="F51" i="1"/>
  <c r="E51" i="1"/>
  <c r="D51" i="1"/>
  <c r="C51" i="1"/>
  <c r="B51" i="1"/>
  <c r="AC50" i="1"/>
  <c r="AB50" i="1"/>
  <c r="AA50" i="1"/>
  <c r="Z50" i="1"/>
  <c r="Y50" i="1"/>
  <c r="X50" i="1"/>
  <c r="W50" i="1"/>
  <c r="V50" i="1"/>
  <c r="U50" i="1"/>
  <c r="T50" i="1"/>
  <c r="S50" i="1"/>
  <c r="R50" i="1"/>
  <c r="Q50" i="1"/>
  <c r="P50" i="1"/>
  <c r="O50" i="1"/>
  <c r="N50" i="1"/>
  <c r="M50" i="1"/>
  <c r="L50" i="1"/>
  <c r="K50" i="1"/>
  <c r="J50" i="1"/>
  <c r="I50" i="1"/>
  <c r="H50" i="1"/>
  <c r="G50" i="1"/>
  <c r="F50" i="1"/>
  <c r="E50" i="1"/>
  <c r="D50" i="1"/>
  <c r="C50" i="1"/>
  <c r="B50" i="1"/>
  <c r="AC49" i="1"/>
  <c r="AB49" i="1"/>
  <c r="AA49" i="1"/>
  <c r="Z49" i="1"/>
  <c r="Y49" i="1"/>
  <c r="X49" i="1"/>
  <c r="W49" i="1"/>
  <c r="V49" i="1"/>
  <c r="U49" i="1"/>
  <c r="T49" i="1"/>
  <c r="S49" i="1"/>
  <c r="R49" i="1"/>
  <c r="Q49" i="1"/>
  <c r="P49" i="1"/>
  <c r="O49" i="1"/>
  <c r="N49" i="1"/>
  <c r="M49" i="1"/>
  <c r="C19" i="1"/>
  <c r="D19" i="1"/>
  <c r="E19" i="1"/>
  <c r="F19" i="1"/>
  <c r="G19" i="1"/>
  <c r="H19" i="1"/>
  <c r="I19" i="1"/>
  <c r="J19" i="1"/>
  <c r="K19" i="1"/>
  <c r="L19" i="1"/>
  <c r="L49" i="1"/>
  <c r="K49" i="1"/>
  <c r="J49" i="1"/>
  <c r="I49" i="1"/>
  <c r="H49" i="1"/>
  <c r="G49" i="1"/>
  <c r="F49" i="1"/>
  <c r="E49" i="1"/>
  <c r="D49" i="1"/>
  <c r="C49" i="1"/>
  <c r="B49" i="1"/>
  <c r="AC48" i="1"/>
  <c r="AB48" i="1"/>
  <c r="AA48" i="1"/>
  <c r="Z48" i="1"/>
  <c r="Y48" i="1"/>
  <c r="X48" i="1"/>
  <c r="W48" i="1"/>
  <c r="V48" i="1"/>
  <c r="U48" i="1"/>
  <c r="T48" i="1"/>
  <c r="S48" i="1"/>
  <c r="R48" i="1"/>
  <c r="Q48" i="1"/>
  <c r="P48" i="1"/>
  <c r="O48" i="1"/>
  <c r="N48" i="1"/>
  <c r="M48" i="1"/>
  <c r="C18" i="1"/>
  <c r="D18" i="1"/>
  <c r="E18" i="1"/>
  <c r="F18" i="1"/>
  <c r="G18" i="1"/>
  <c r="H18" i="1"/>
  <c r="I18" i="1"/>
  <c r="J18" i="1"/>
  <c r="K18" i="1"/>
  <c r="L18" i="1"/>
  <c r="L48" i="1"/>
  <c r="K48" i="1"/>
  <c r="J48" i="1"/>
  <c r="I48" i="1"/>
  <c r="H48" i="1"/>
  <c r="G48" i="1"/>
  <c r="F48" i="1"/>
  <c r="E48" i="1"/>
  <c r="D48" i="1"/>
  <c r="C48" i="1"/>
  <c r="B48" i="1"/>
  <c r="AC47" i="1"/>
  <c r="AB47" i="1"/>
  <c r="AA47" i="1"/>
  <c r="Z47" i="1"/>
  <c r="Y47" i="1"/>
  <c r="X47" i="1"/>
  <c r="W47" i="1"/>
  <c r="V47" i="1"/>
  <c r="U47" i="1"/>
  <c r="T47" i="1"/>
  <c r="S47" i="1"/>
  <c r="R47" i="1"/>
  <c r="Q47" i="1"/>
  <c r="P47" i="1"/>
  <c r="O47" i="1"/>
  <c r="N47" i="1"/>
  <c r="M47" i="1"/>
  <c r="L47" i="1"/>
  <c r="K47" i="1"/>
  <c r="J47" i="1"/>
  <c r="I47" i="1"/>
  <c r="H47" i="1"/>
  <c r="G47" i="1"/>
  <c r="F47" i="1"/>
  <c r="E47" i="1"/>
  <c r="D47" i="1"/>
  <c r="C47" i="1"/>
  <c r="B47" i="1"/>
  <c r="AC46" i="1"/>
  <c r="AB46" i="1"/>
  <c r="AA46" i="1"/>
  <c r="Z46" i="1"/>
  <c r="Y46" i="1"/>
  <c r="X46" i="1"/>
  <c r="W46" i="1"/>
  <c r="V46" i="1"/>
  <c r="U46" i="1"/>
  <c r="T46" i="1"/>
  <c r="S46" i="1"/>
  <c r="R46" i="1"/>
  <c r="Q46" i="1"/>
  <c r="P46" i="1"/>
  <c r="O46" i="1"/>
  <c r="N46" i="1"/>
  <c r="M46" i="1"/>
  <c r="L46" i="1"/>
  <c r="K46" i="1"/>
  <c r="J46" i="1"/>
  <c r="I46" i="1"/>
  <c r="H46" i="1"/>
  <c r="G46" i="1"/>
  <c r="F46" i="1"/>
  <c r="E46" i="1"/>
  <c r="D46" i="1"/>
  <c r="C46" i="1"/>
  <c r="B46" i="1"/>
  <c r="AC45" i="1"/>
  <c r="AB45" i="1"/>
  <c r="AA45" i="1"/>
  <c r="Z45" i="1"/>
  <c r="Y45" i="1"/>
  <c r="X45" i="1"/>
  <c r="W45" i="1"/>
  <c r="V45" i="1"/>
  <c r="U45" i="1"/>
  <c r="T45" i="1"/>
  <c r="S45" i="1"/>
  <c r="R45" i="1"/>
  <c r="Q45" i="1"/>
  <c r="P45" i="1"/>
  <c r="O45" i="1"/>
  <c r="N45" i="1"/>
  <c r="M45" i="1"/>
  <c r="L45" i="1"/>
  <c r="K45" i="1"/>
  <c r="J45" i="1"/>
  <c r="I45" i="1"/>
  <c r="H45" i="1"/>
  <c r="G45" i="1"/>
  <c r="F45" i="1"/>
  <c r="E45" i="1"/>
  <c r="D45" i="1"/>
  <c r="C45" i="1"/>
  <c r="B45" i="1"/>
  <c r="AC44" i="1"/>
  <c r="AB44" i="1"/>
  <c r="AA44" i="1"/>
  <c r="Z44" i="1"/>
  <c r="Y44" i="1"/>
  <c r="X44" i="1"/>
  <c r="W44" i="1"/>
  <c r="V44" i="1"/>
  <c r="U44" i="1"/>
  <c r="T44" i="1"/>
  <c r="S44" i="1"/>
  <c r="R44" i="1"/>
  <c r="Q44" i="1"/>
  <c r="P44" i="1"/>
  <c r="O44" i="1"/>
  <c r="N44" i="1"/>
  <c r="M44" i="1"/>
  <c r="L44" i="1"/>
  <c r="K44" i="1"/>
  <c r="J44" i="1"/>
  <c r="I44" i="1"/>
  <c r="H44" i="1"/>
  <c r="G44" i="1"/>
  <c r="F44" i="1"/>
  <c r="E44" i="1"/>
  <c r="D44" i="1"/>
  <c r="C44" i="1"/>
  <c r="B44" i="1"/>
  <c r="AC43" i="1"/>
  <c r="AB43" i="1"/>
  <c r="AA43" i="1"/>
  <c r="Z43" i="1"/>
  <c r="Y43" i="1"/>
  <c r="X43" i="1"/>
  <c r="W43" i="1"/>
  <c r="V43" i="1"/>
  <c r="U43" i="1"/>
  <c r="T43" i="1"/>
  <c r="S43" i="1"/>
  <c r="R43" i="1"/>
  <c r="Q43" i="1"/>
  <c r="P43" i="1"/>
  <c r="O43" i="1"/>
  <c r="N43" i="1"/>
  <c r="M43" i="1"/>
  <c r="L43" i="1"/>
  <c r="K43" i="1"/>
  <c r="J43" i="1"/>
  <c r="I43" i="1"/>
  <c r="H43" i="1"/>
  <c r="G43" i="1"/>
  <c r="F43" i="1"/>
  <c r="E43" i="1"/>
  <c r="D43" i="1"/>
  <c r="C43" i="1"/>
  <c r="B43" i="1"/>
  <c r="AC41" i="1"/>
  <c r="AB41" i="1"/>
  <c r="AA41" i="1"/>
  <c r="Z41" i="1"/>
  <c r="Y41" i="1"/>
  <c r="X41" i="1"/>
  <c r="W41" i="1"/>
  <c r="V41" i="1"/>
  <c r="U41" i="1"/>
  <c r="T41" i="1"/>
  <c r="S41" i="1"/>
  <c r="R41" i="1"/>
  <c r="Q41" i="1"/>
  <c r="P41" i="1"/>
  <c r="O41" i="1"/>
  <c r="N41" i="1"/>
  <c r="M41" i="1"/>
  <c r="L41" i="1"/>
  <c r="K41" i="1"/>
  <c r="J41" i="1"/>
  <c r="I41" i="1"/>
  <c r="H41" i="1"/>
  <c r="G41" i="1"/>
  <c r="F41" i="1"/>
  <c r="E41" i="1"/>
  <c r="D41" i="1"/>
  <c r="C41" i="1"/>
  <c r="B41" i="1"/>
  <c r="AC40" i="1"/>
  <c r="AB40" i="1"/>
  <c r="AA40" i="1"/>
  <c r="Z40" i="1"/>
  <c r="Y40" i="1"/>
  <c r="X40" i="1"/>
  <c r="W40" i="1"/>
  <c r="V40" i="1"/>
  <c r="U40" i="1"/>
  <c r="T40" i="1"/>
  <c r="S40" i="1"/>
  <c r="R40" i="1"/>
  <c r="Q40" i="1"/>
  <c r="P40" i="1"/>
  <c r="O40" i="1"/>
  <c r="N40" i="1"/>
  <c r="M40" i="1"/>
  <c r="L40" i="1"/>
  <c r="K40" i="1"/>
  <c r="J40" i="1"/>
  <c r="I40" i="1"/>
  <c r="H40" i="1"/>
  <c r="G40" i="1"/>
  <c r="F40" i="1"/>
  <c r="E40" i="1"/>
  <c r="D40" i="1"/>
  <c r="C40" i="1"/>
  <c r="B40" i="1"/>
  <c r="AC39" i="1"/>
  <c r="AB39" i="1"/>
  <c r="AA39" i="1"/>
  <c r="Z39" i="1"/>
  <c r="Y39" i="1"/>
  <c r="X39" i="1"/>
  <c r="W39" i="1"/>
  <c r="V39" i="1"/>
  <c r="U39" i="1"/>
  <c r="T39" i="1"/>
  <c r="S39" i="1"/>
  <c r="R39" i="1"/>
  <c r="Q39" i="1"/>
  <c r="P39" i="1"/>
  <c r="O39" i="1"/>
  <c r="N39" i="1"/>
  <c r="M39" i="1"/>
  <c r="L39" i="1"/>
  <c r="K39" i="1"/>
  <c r="J39" i="1"/>
  <c r="I39" i="1"/>
  <c r="H39" i="1"/>
  <c r="G39" i="1"/>
  <c r="F39" i="1"/>
  <c r="E39" i="1"/>
  <c r="D39" i="1"/>
  <c r="C39" i="1"/>
  <c r="B39" i="1"/>
  <c r="AC38" i="1"/>
  <c r="AB38" i="1"/>
  <c r="AA38" i="1"/>
  <c r="Z38" i="1"/>
  <c r="Y38" i="1"/>
  <c r="X38" i="1"/>
  <c r="W38" i="1"/>
  <c r="V38" i="1"/>
  <c r="U38" i="1"/>
  <c r="T38" i="1"/>
  <c r="S38" i="1"/>
  <c r="R38" i="1"/>
  <c r="Q38" i="1"/>
  <c r="P38" i="1"/>
  <c r="O38" i="1"/>
  <c r="N38" i="1"/>
  <c r="M38" i="1"/>
  <c r="L38" i="1"/>
  <c r="K38" i="1"/>
  <c r="J38" i="1"/>
  <c r="I38" i="1"/>
  <c r="H38" i="1"/>
  <c r="G38" i="1"/>
  <c r="F38" i="1"/>
  <c r="E38" i="1"/>
  <c r="D38" i="1"/>
  <c r="C38" i="1"/>
  <c r="B38" i="1"/>
  <c r="AR4" i="1"/>
  <c r="N1" i="18" s="1"/>
  <c r="AP4" i="1"/>
  <c r="AN4" i="1"/>
  <c r="AL4" i="1"/>
  <c r="H1" i="18" s="1"/>
  <c r="AA4" i="1"/>
  <c r="Z4" i="1"/>
  <c r="Y4" i="1"/>
  <c r="W4" i="1"/>
  <c r="V4" i="1"/>
  <c r="U4" i="1"/>
  <c r="S4" i="1"/>
  <c r="R4" i="1"/>
  <c r="Q4" i="1"/>
  <c r="O4" i="1"/>
  <c r="N4" i="1"/>
  <c r="M4" i="1"/>
  <c r="K4" i="1"/>
  <c r="J4" i="1"/>
  <c r="I4" i="1"/>
  <c r="G4" i="1"/>
  <c r="F4" i="1"/>
  <c r="E4" i="1"/>
  <c r="C4" i="1"/>
  <c r="B4" i="1"/>
  <c r="O222" i="1"/>
  <c r="AB223" i="1"/>
  <c r="AC223" i="1"/>
  <c r="AC218" i="1"/>
  <c r="AC200" i="1"/>
  <c r="AC207" i="1"/>
  <c r="AC184" i="1"/>
  <c r="AD184" i="1"/>
  <c r="AE184" i="1"/>
  <c r="AF184" i="1"/>
  <c r="AC183" i="1"/>
  <c r="AD183" i="1"/>
  <c r="AE183" i="1"/>
  <c r="AD164" i="1"/>
  <c r="AE164" i="1"/>
  <c r="AF164" i="1"/>
  <c r="AD161" i="1"/>
  <c r="AE161" i="1"/>
  <c r="AF161" i="1"/>
  <c r="AG164" i="1"/>
  <c r="AC161" i="1"/>
  <c r="AG161" i="1"/>
  <c r="AC164" i="1"/>
  <c r="AB155" i="1"/>
  <c r="AC140" i="1"/>
  <c r="AC100" i="1"/>
  <c r="AD100" i="1"/>
  <c r="AE100" i="1"/>
  <c r="AD30" i="1"/>
  <c r="AE30" i="1"/>
  <c r="AF30" i="1"/>
  <c r="AC303" i="20"/>
  <c r="AC10" i="20"/>
  <c r="AC304" i="20"/>
  <c r="AC11" i="20"/>
  <c r="AD317" i="20"/>
  <c r="AD24" i="20"/>
  <c r="AE317" i="20"/>
  <c r="AE24" i="20"/>
  <c r="AF317" i="20"/>
  <c r="AF24" i="20"/>
  <c r="AD303" i="20"/>
  <c r="AD10" i="20"/>
  <c r="AE303" i="20"/>
  <c r="AE10" i="20"/>
  <c r="AF303" i="20"/>
  <c r="AF10" i="20"/>
  <c r="AD304" i="20"/>
  <c r="AD11" i="20"/>
  <c r="AE304" i="20"/>
  <c r="AE11" i="20"/>
  <c r="AF11" i="20"/>
  <c r="AC322" i="20"/>
  <c r="AC29" i="20"/>
  <c r="AC307" i="20"/>
  <c r="AC14" i="20"/>
  <c r="AC318" i="20"/>
  <c r="AC25" i="20"/>
  <c r="AC482" i="1"/>
  <c r="AD322" i="20"/>
  <c r="AD29" i="20"/>
  <c r="AD307" i="20"/>
  <c r="AD14" i="20"/>
  <c r="AD312" i="20"/>
  <c r="AD19" i="20"/>
  <c r="AE307" i="20"/>
  <c r="AE14" i="20"/>
  <c r="AE312" i="20"/>
  <c r="AE19" i="20"/>
  <c r="AE318" i="20"/>
  <c r="AE25" i="20"/>
  <c r="AF322" i="20"/>
  <c r="AF29" i="20"/>
  <c r="AF19" i="20"/>
  <c r="AF318" i="20"/>
  <c r="AF25" i="20"/>
  <c r="AB142" i="1"/>
  <c r="AA157" i="1"/>
  <c r="W157" i="1"/>
  <c r="S157" i="1"/>
  <c r="O157" i="1"/>
  <c r="AE154" i="1"/>
  <c r="AS75" i="21"/>
  <c r="AS93" i="21" s="1"/>
  <c r="AR75" i="21"/>
  <c r="AQ75" i="21"/>
  <c r="AQ93" i="21" s="1"/>
  <c r="AP75" i="21"/>
  <c r="AO75" i="21"/>
  <c r="AO93" i="21" s="1"/>
  <c r="AN75" i="21"/>
  <c r="AM75" i="21"/>
  <c r="AM93" i="21" s="1"/>
  <c r="AL75" i="21"/>
  <c r="AK75" i="21"/>
  <c r="AK93" i="21" s="1"/>
  <c r="AJ75" i="21"/>
  <c r="AI75" i="21"/>
  <c r="AI93" i="21" s="1"/>
  <c r="AH75" i="21"/>
  <c r="AG75" i="21"/>
  <c r="AG93" i="21" s="1"/>
  <c r="AF75" i="21"/>
  <c r="AE75" i="21"/>
  <c r="AE93" i="21" s="1"/>
  <c r="AD75" i="21"/>
  <c r="AC75" i="21"/>
  <c r="AC93" i="21" s="1"/>
  <c r="AB75" i="21"/>
  <c r="AA75" i="21"/>
  <c r="AA93" i="21" s="1"/>
  <c r="Z75" i="21"/>
  <c r="Y75" i="21"/>
  <c r="Y93" i="21" s="1"/>
  <c r="X75" i="21"/>
  <c r="W75" i="21"/>
  <c r="W93" i="21" s="1"/>
  <c r="V75" i="21"/>
  <c r="U75" i="21"/>
  <c r="U93" i="21" s="1"/>
  <c r="T75" i="21"/>
  <c r="S75" i="21"/>
  <c r="S93" i="21" s="1"/>
  <c r="R75" i="21"/>
  <c r="R93" i="21" s="1"/>
  <c r="AS74" i="21"/>
  <c r="AS92" i="21" s="1"/>
  <c r="AR74" i="21"/>
  <c r="AQ74" i="21"/>
  <c r="AQ92" i="21" s="1"/>
  <c r="AP74" i="21"/>
  <c r="AO74" i="21"/>
  <c r="AO92" i="21" s="1"/>
  <c r="AN74" i="21"/>
  <c r="AM74" i="21"/>
  <c r="AM92" i="21" s="1"/>
  <c r="AL74" i="21"/>
  <c r="AK74" i="21"/>
  <c r="AK92" i="21" s="1"/>
  <c r="AJ74" i="21"/>
  <c r="AI74" i="21"/>
  <c r="AI92" i="21" s="1"/>
  <c r="AH74" i="21"/>
  <c r="AG74" i="21"/>
  <c r="AG92" i="21" s="1"/>
  <c r="AF74" i="21"/>
  <c r="AE74" i="21"/>
  <c r="AE92" i="21" s="1"/>
  <c r="AD74" i="21"/>
  <c r="AC74" i="21"/>
  <c r="AC92" i="21" s="1"/>
  <c r="AB74" i="21"/>
  <c r="AA74" i="21"/>
  <c r="AA92" i="21" s="1"/>
  <c r="Z74" i="21"/>
  <c r="Y74" i="21"/>
  <c r="X74" i="21"/>
  <c r="W74" i="21"/>
  <c r="W92" i="21" s="1"/>
  <c r="V74" i="21"/>
  <c r="U74" i="21"/>
  <c r="U92" i="21" s="1"/>
  <c r="T74" i="21"/>
  <c r="S74" i="21"/>
  <c r="R74" i="21"/>
  <c r="R92" i="21" s="1"/>
  <c r="AS73" i="21"/>
  <c r="AS91" i="21" s="1"/>
  <c r="AR73" i="21"/>
  <c r="AQ73" i="21"/>
  <c r="AQ91" i="21" s="1"/>
  <c r="AP73" i="21"/>
  <c r="AO73" i="21"/>
  <c r="AO91" i="21" s="1"/>
  <c r="AN73" i="21"/>
  <c r="AM73" i="21"/>
  <c r="AL73" i="21"/>
  <c r="AK73" i="21"/>
  <c r="AK91" i="21" s="1"/>
  <c r="AJ73" i="21"/>
  <c r="AI73" i="21"/>
  <c r="AI91" i="21" s="1"/>
  <c r="AH73" i="21"/>
  <c r="AG73" i="21"/>
  <c r="AG91" i="21" s="1"/>
  <c r="AF73" i="21"/>
  <c r="AE73" i="21"/>
  <c r="AE91" i="21" s="1"/>
  <c r="AD73" i="21"/>
  <c r="AC73" i="21"/>
  <c r="AC91" i="21" s="1"/>
  <c r="AB73" i="21"/>
  <c r="AA73" i="21"/>
  <c r="AA91" i="21" s="1"/>
  <c r="Z73" i="21"/>
  <c r="Y73" i="21"/>
  <c r="Y91" i="21" s="1"/>
  <c r="X73" i="21"/>
  <c r="W73" i="21"/>
  <c r="V73" i="21"/>
  <c r="U73" i="21"/>
  <c r="T73" i="21"/>
  <c r="S73" i="21"/>
  <c r="R73" i="21"/>
  <c r="R91" i="21" s="1"/>
  <c r="AS72" i="21"/>
  <c r="AS90" i="21" s="1"/>
  <c r="AR72" i="21"/>
  <c r="AR90" i="21" s="1"/>
  <c r="AQ72" i="21"/>
  <c r="AQ90" i="21" s="1"/>
  <c r="AP72" i="21"/>
  <c r="AO72" i="21"/>
  <c r="AO90" i="21" s="1"/>
  <c r="AN72" i="21"/>
  <c r="AN90" i="21" s="1"/>
  <c r="AM72" i="21"/>
  <c r="AM90" i="21" s="1"/>
  <c r="AL72" i="21"/>
  <c r="AK72" i="21"/>
  <c r="AK90" i="21" s="1"/>
  <c r="AJ72" i="21"/>
  <c r="AJ90" i="21" s="1"/>
  <c r="AI72" i="21"/>
  <c r="AI90" i="21" s="1"/>
  <c r="AH72" i="21"/>
  <c r="AG72" i="21"/>
  <c r="AG90" i="21" s="1"/>
  <c r="AF72" i="21"/>
  <c r="AE72" i="21"/>
  <c r="AE90" i="21" s="1"/>
  <c r="AD72" i="21"/>
  <c r="AC72" i="21"/>
  <c r="AC90" i="21" s="1"/>
  <c r="AB72" i="21"/>
  <c r="AB90" i="21" s="1"/>
  <c r="AA72" i="21"/>
  <c r="AA90" i="21" s="1"/>
  <c r="Z72" i="21"/>
  <c r="Y72" i="21"/>
  <c r="Y90" i="21" s="1"/>
  <c r="X72" i="21"/>
  <c r="X90" i="21" s="1"/>
  <c r="W72" i="21"/>
  <c r="W90" i="21" s="1"/>
  <c r="V72" i="21"/>
  <c r="U72" i="21"/>
  <c r="U90" i="21" s="1"/>
  <c r="T72" i="21"/>
  <c r="T90" i="21" s="1"/>
  <c r="S72" i="21"/>
  <c r="S90" i="21" s="1"/>
  <c r="R72" i="21"/>
  <c r="R90" i="21"/>
  <c r="AS71" i="21"/>
  <c r="AS89" i="21" s="1"/>
  <c r="AR71" i="21"/>
  <c r="AR89" i="21" s="1"/>
  <c r="AQ71" i="21"/>
  <c r="AP71" i="21"/>
  <c r="AP89" i="21" s="1"/>
  <c r="AO71" i="21"/>
  <c r="AO89" i="21" s="1"/>
  <c r="AN71" i="21"/>
  <c r="AN89" i="21" s="1"/>
  <c r="AM71" i="21"/>
  <c r="AL71" i="21"/>
  <c r="AL89" i="21" s="1"/>
  <c r="AK71" i="21"/>
  <c r="AK89" i="21" s="1"/>
  <c r="AJ71" i="21"/>
  <c r="AJ89" i="21" s="1"/>
  <c r="AI71" i="21"/>
  <c r="AH71" i="21"/>
  <c r="AH89" i="21" s="1"/>
  <c r="AG71" i="21"/>
  <c r="AG89" i="21" s="1"/>
  <c r="AF71" i="21"/>
  <c r="AF89" i="21" s="1"/>
  <c r="AE71" i="21"/>
  <c r="AD71" i="21"/>
  <c r="AD89" i="21" s="1"/>
  <c r="AC71" i="21"/>
  <c r="AC89" i="21" s="1"/>
  <c r="AB71" i="21"/>
  <c r="AB89" i="21" s="1"/>
  <c r="AA71" i="21"/>
  <c r="Z71" i="21"/>
  <c r="Z89" i="21" s="1"/>
  <c r="Y71" i="21"/>
  <c r="X71" i="21"/>
  <c r="X89" i="21" s="1"/>
  <c r="W71" i="21"/>
  <c r="V71" i="21"/>
  <c r="V89" i="21" s="1"/>
  <c r="U71" i="21"/>
  <c r="U89" i="21" s="1"/>
  <c r="T71" i="21"/>
  <c r="T89" i="21" s="1"/>
  <c r="S71" i="21"/>
  <c r="R71" i="21"/>
  <c r="AB70" i="21"/>
  <c r="AB88" i="21" s="1"/>
  <c r="AA70" i="21"/>
  <c r="AA88" i="21" s="1"/>
  <c r="Z70" i="21"/>
  <c r="Y70" i="21"/>
  <c r="Y88" i="21" s="1"/>
  <c r="X70" i="21"/>
  <c r="W70" i="21"/>
  <c r="W88" i="21" s="1"/>
  <c r="V70" i="21"/>
  <c r="U70" i="21"/>
  <c r="U88" i="21" s="1"/>
  <c r="T70" i="21"/>
  <c r="T88" i="21" s="1"/>
  <c r="S70" i="21"/>
  <c r="S88" i="21" s="1"/>
  <c r="R70" i="21"/>
  <c r="R88" i="21" s="1"/>
  <c r="Y219" i="1"/>
  <c r="Z219" i="1"/>
  <c r="AA219" i="1"/>
  <c r="AB219" i="1"/>
  <c r="AF69" i="21"/>
  <c r="AE69" i="21"/>
  <c r="AD69" i="21"/>
  <c r="AC69" i="21"/>
  <c r="AC87" i="21" s="1"/>
  <c r="AB69" i="21"/>
  <c r="AA69" i="21"/>
  <c r="Z69" i="21"/>
  <c r="Y69" i="21"/>
  <c r="Y87" i="21" s="1"/>
  <c r="X69" i="21"/>
  <c r="W69" i="21"/>
  <c r="V69" i="21"/>
  <c r="U69" i="21"/>
  <c r="T69" i="21"/>
  <c r="S69" i="21"/>
  <c r="R69" i="21"/>
  <c r="R87" i="21" s="1"/>
  <c r="AB108" i="1"/>
  <c r="AA68" i="21"/>
  <c r="Z68" i="21"/>
  <c r="Z78" i="21" s="1"/>
  <c r="Y68" i="21"/>
  <c r="X68" i="21"/>
  <c r="W68" i="21"/>
  <c r="V68" i="21"/>
  <c r="V78" i="21" s="1"/>
  <c r="U68" i="21"/>
  <c r="T68" i="21"/>
  <c r="S68" i="21"/>
  <c r="R68" i="21"/>
  <c r="R86" i="21" s="1"/>
  <c r="AB68" i="21"/>
  <c r="AB84" i="21" s="1"/>
  <c r="AB86" i="21"/>
  <c r="AB83" i="21"/>
  <c r="AB82" i="21"/>
  <c r="AB81" i="21"/>
  <c r="AB80" i="21"/>
  <c r="AB79" i="21"/>
  <c r="AB78" i="21"/>
  <c r="AB77" i="21"/>
  <c r="T77" i="21"/>
  <c r="V77" i="21"/>
  <c r="Z77" i="21"/>
  <c r="AA77" i="21"/>
  <c r="Y78" i="21"/>
  <c r="V79" i="21"/>
  <c r="Z79" i="21"/>
  <c r="AA79" i="21"/>
  <c r="S80" i="21"/>
  <c r="U80" i="21"/>
  <c r="W80" i="21"/>
  <c r="Y80" i="21"/>
  <c r="AA80" i="21"/>
  <c r="V81" i="21"/>
  <c r="Z81" i="21"/>
  <c r="AA81" i="21"/>
  <c r="S82" i="21"/>
  <c r="W82" i="21"/>
  <c r="Y82" i="21"/>
  <c r="Z82" i="21"/>
  <c r="AA82" i="21"/>
  <c r="V83" i="21"/>
  <c r="W83" i="21"/>
  <c r="Z83" i="21"/>
  <c r="AA83" i="21"/>
  <c r="S84" i="21"/>
  <c r="U84" i="21"/>
  <c r="V84" i="21"/>
  <c r="W84" i="21"/>
  <c r="Y84" i="21"/>
  <c r="Z84" i="21"/>
  <c r="AA84" i="21"/>
  <c r="R78" i="21"/>
  <c r="R79" i="21"/>
  <c r="R81" i="21"/>
  <c r="R82" i="21"/>
  <c r="R83" i="21"/>
  <c r="R84" i="21"/>
  <c r="R77" i="21"/>
  <c r="AB6" i="21"/>
  <c r="AB12" i="21"/>
  <c r="AB49" i="21" s="1"/>
  <c r="AA6" i="21"/>
  <c r="AA12" i="21"/>
  <c r="AB13" i="21"/>
  <c r="AA13" i="21"/>
  <c r="AA39" i="21" s="1"/>
  <c r="AB7" i="21"/>
  <c r="AA7" i="21"/>
  <c r="R14" i="21"/>
  <c r="R15" i="21" s="1"/>
  <c r="R52" i="21" s="1"/>
  <c r="S14" i="21"/>
  <c r="T14" i="21"/>
  <c r="T15" i="21"/>
  <c r="U14" i="21"/>
  <c r="U15" i="21" s="1"/>
  <c r="V14" i="21"/>
  <c r="V16" i="21" s="1"/>
  <c r="V15" i="21"/>
  <c r="W52" i="21" s="1"/>
  <c r="W14" i="21"/>
  <c r="W15" i="21"/>
  <c r="X14" i="21"/>
  <c r="Y14" i="21"/>
  <c r="Y15" i="21" s="1"/>
  <c r="Z14" i="21"/>
  <c r="AA14" i="21"/>
  <c r="AA15" i="21"/>
  <c r="T16" i="21"/>
  <c r="W16" i="21"/>
  <c r="X16" i="21"/>
  <c r="AA16" i="21"/>
  <c r="T17" i="21"/>
  <c r="W17" i="21"/>
  <c r="AA17" i="21"/>
  <c r="T18" i="21"/>
  <c r="W18" i="21"/>
  <c r="AA18" i="21"/>
  <c r="S19" i="21"/>
  <c r="T56" i="21" s="1"/>
  <c r="T19" i="21"/>
  <c r="W19" i="21"/>
  <c r="AA19" i="21"/>
  <c r="T20" i="21"/>
  <c r="W20" i="21"/>
  <c r="X20" i="21"/>
  <c r="AA20" i="21"/>
  <c r="T21" i="21"/>
  <c r="W21" i="21"/>
  <c r="AA21" i="21"/>
  <c r="AB14" i="21"/>
  <c r="AB15" i="21"/>
  <c r="AB52" i="21" s="1"/>
  <c r="AB16" i="21"/>
  <c r="AB53" i="21" s="1"/>
  <c r="AB17" i="21"/>
  <c r="AB54" i="21"/>
  <c r="AB18" i="21"/>
  <c r="AB55" i="21" s="1"/>
  <c r="AB19" i="21"/>
  <c r="AB56" i="21" s="1"/>
  <c r="AB20" i="21"/>
  <c r="AB57" i="21" s="1"/>
  <c r="AB21" i="21"/>
  <c r="AB58" i="21"/>
  <c r="R51" i="21"/>
  <c r="T51" i="21"/>
  <c r="V51" i="21"/>
  <c r="R22" i="21"/>
  <c r="S22" i="21"/>
  <c r="T22" i="21"/>
  <c r="U22" i="21"/>
  <c r="V22" i="21"/>
  <c r="W22" i="21"/>
  <c r="W59" i="21" s="1"/>
  <c r="X22" i="21"/>
  <c r="Y22" i="21"/>
  <c r="Z22" i="21"/>
  <c r="AA22" i="21"/>
  <c r="AA59" i="21" s="1"/>
  <c r="S23" i="21"/>
  <c r="T23" i="21"/>
  <c r="V23" i="21"/>
  <c r="W23" i="21"/>
  <c r="W60" i="21" s="1"/>
  <c r="X23" i="21"/>
  <c r="Z23" i="21"/>
  <c r="AA23" i="21"/>
  <c r="AA60" i="21" s="1"/>
  <c r="S24" i="21"/>
  <c r="T24" i="21"/>
  <c r="T61" i="21" s="1"/>
  <c r="U24" i="21"/>
  <c r="U61" i="21" s="1"/>
  <c r="V24" i="21"/>
  <c r="V61" i="21" s="1"/>
  <c r="W24" i="21"/>
  <c r="W61" i="21" s="1"/>
  <c r="X24" i="21"/>
  <c r="X61" i="21" s="1"/>
  <c r="Y24" i="21"/>
  <c r="Z24" i="21"/>
  <c r="Z61" i="21" s="1"/>
  <c r="AA24" i="21"/>
  <c r="AA61" i="21" s="1"/>
  <c r="R25" i="21"/>
  <c r="R62" i="21" s="1"/>
  <c r="S25" i="21"/>
  <c r="T25" i="21"/>
  <c r="T62" i="21" s="1"/>
  <c r="U25" i="21"/>
  <c r="U62" i="21" s="1"/>
  <c r="V25" i="21"/>
  <c r="V62" i="21" s="1"/>
  <c r="W25" i="21"/>
  <c r="X25" i="21"/>
  <c r="X62" i="21" s="1"/>
  <c r="Y25" i="21"/>
  <c r="Y62" i="21" s="1"/>
  <c r="Z25" i="21"/>
  <c r="Z62" i="21" s="1"/>
  <c r="AA25" i="21"/>
  <c r="R26" i="21"/>
  <c r="R63" i="21" s="1"/>
  <c r="S26" i="21"/>
  <c r="S63" i="21" s="1"/>
  <c r="T26" i="21"/>
  <c r="T63" i="21" s="1"/>
  <c r="U26" i="21"/>
  <c r="V26" i="21"/>
  <c r="V63" i="21" s="1"/>
  <c r="W26" i="21"/>
  <c r="W63" i="21" s="1"/>
  <c r="X26" i="21"/>
  <c r="X63" i="21" s="1"/>
  <c r="Y26" i="21"/>
  <c r="Z26" i="21"/>
  <c r="Z63" i="21" s="1"/>
  <c r="AA26" i="21"/>
  <c r="AA63" i="21" s="1"/>
  <c r="R27" i="21"/>
  <c r="R64" i="21" s="1"/>
  <c r="S27" i="21"/>
  <c r="T27" i="21"/>
  <c r="T64" i="21" s="1"/>
  <c r="U27" i="21"/>
  <c r="U64" i="21" s="1"/>
  <c r="V27" i="21"/>
  <c r="V64" i="21" s="1"/>
  <c r="W27" i="21"/>
  <c r="X27" i="21"/>
  <c r="X64" i="21" s="1"/>
  <c r="Y27" i="21"/>
  <c r="Y64" i="21" s="1"/>
  <c r="Z27" i="21"/>
  <c r="Z64" i="21" s="1"/>
  <c r="AA27" i="21"/>
  <c r="R28" i="21"/>
  <c r="R65" i="21" s="1"/>
  <c r="S28" i="21"/>
  <c r="S65" i="21" s="1"/>
  <c r="T28" i="21"/>
  <c r="T65" i="21" s="1"/>
  <c r="U28" i="21"/>
  <c r="V28" i="21"/>
  <c r="V65" i="21" s="1"/>
  <c r="W28" i="21"/>
  <c r="W65" i="21" s="1"/>
  <c r="X28" i="21"/>
  <c r="X65" i="21" s="1"/>
  <c r="Y28" i="21"/>
  <c r="Z28" i="21"/>
  <c r="Z65" i="21" s="1"/>
  <c r="AA28" i="21"/>
  <c r="AA65" i="21" s="1"/>
  <c r="R29" i="21"/>
  <c r="R66" i="21" s="1"/>
  <c r="S29" i="21"/>
  <c r="T29" i="21"/>
  <c r="T66" i="21" s="1"/>
  <c r="U29" i="21"/>
  <c r="U66" i="21" s="1"/>
  <c r="V29" i="21"/>
  <c r="V66" i="21" s="1"/>
  <c r="W29" i="21"/>
  <c r="X29" i="21"/>
  <c r="X66" i="21" s="1"/>
  <c r="Y29" i="21"/>
  <c r="Y66" i="21" s="1"/>
  <c r="Z29" i="21"/>
  <c r="Z66" i="21" s="1"/>
  <c r="AA29" i="21"/>
  <c r="AB51" i="21"/>
  <c r="AB22" i="21"/>
  <c r="AB27" i="21" s="1"/>
  <c r="AB59" i="21"/>
  <c r="AB207" i="1"/>
  <c r="AB24" i="21"/>
  <c r="AB61" i="21" s="1"/>
  <c r="AB396" i="1"/>
  <c r="AB404" i="1"/>
  <c r="AB482" i="1"/>
  <c r="AB26" i="21"/>
  <c r="AB63" i="21" s="1"/>
  <c r="AB595" i="1"/>
  <c r="R6" i="21"/>
  <c r="R43" i="21" s="1"/>
  <c r="S6" i="21"/>
  <c r="S7" i="21" s="1"/>
  <c r="T6" i="21"/>
  <c r="T43" i="21" s="1"/>
  <c r="U6" i="21"/>
  <c r="U7" i="21" s="1"/>
  <c r="V6" i="21"/>
  <c r="V43" i="21" s="1"/>
  <c r="W6" i="21"/>
  <c r="W7" i="21" s="1"/>
  <c r="X6" i="21"/>
  <c r="X43" i="21" s="1"/>
  <c r="Y6" i="21"/>
  <c r="Y7" i="21" s="1"/>
  <c r="Z6" i="21"/>
  <c r="Z43" i="21" s="1"/>
  <c r="S8" i="21"/>
  <c r="U8" i="21"/>
  <c r="Y8" i="21"/>
  <c r="AA8" i="21"/>
  <c r="S9" i="21"/>
  <c r="U9" i="21"/>
  <c r="Y9" i="21"/>
  <c r="AA9" i="21"/>
  <c r="U10" i="21"/>
  <c r="W10" i="21"/>
  <c r="Y10" i="21"/>
  <c r="AA10" i="21"/>
  <c r="U11" i="21"/>
  <c r="W11" i="21"/>
  <c r="Y11" i="21"/>
  <c r="AA11" i="21"/>
  <c r="S12" i="21"/>
  <c r="U12" i="21"/>
  <c r="Y12" i="21"/>
  <c r="S13" i="21"/>
  <c r="U13" i="21"/>
  <c r="AB43" i="21"/>
  <c r="AB8" i="21"/>
  <c r="AB9" i="21"/>
  <c r="AB35" i="21" s="1"/>
  <c r="AB46" i="21"/>
  <c r="AB10" i="21"/>
  <c r="AB11" i="21"/>
  <c r="AB48" i="21"/>
  <c r="AA33" i="21"/>
  <c r="AA35" i="21"/>
  <c r="AB36" i="21"/>
  <c r="AB37" i="21"/>
  <c r="AA38" i="21"/>
  <c r="AB39" i="21"/>
  <c r="S32" i="21"/>
  <c r="T32" i="21"/>
  <c r="AA32" i="21"/>
  <c r="AB32" i="21"/>
  <c r="AC396" i="1"/>
  <c r="AS2" i="21"/>
  <c r="AS4" i="21"/>
  <c r="AR2" i="21"/>
  <c r="AR4" i="21"/>
  <c r="AQ2" i="21"/>
  <c r="AQ4" i="21"/>
  <c r="AP2" i="21"/>
  <c r="AP4" i="21"/>
  <c r="AO2" i="21"/>
  <c r="AO4" i="21"/>
  <c r="AN2" i="21"/>
  <c r="AN4" i="21"/>
  <c r="AM2" i="21"/>
  <c r="AM4" i="21"/>
  <c r="AL2" i="21"/>
  <c r="AL4" i="21"/>
  <c r="AK2" i="21"/>
  <c r="AK4" i="21"/>
  <c r="AJ2" i="21"/>
  <c r="AJ4" i="21"/>
  <c r="AI2" i="21"/>
  <c r="AI4" i="21"/>
  <c r="AH2" i="21"/>
  <c r="AH4" i="21"/>
  <c r="AG2" i="21"/>
  <c r="AG4" i="21"/>
  <c r="AF2" i="21"/>
  <c r="AF4" i="21"/>
  <c r="AE2" i="21"/>
  <c r="AE4" i="21"/>
  <c r="AD2" i="21"/>
  <c r="AD4" i="21"/>
  <c r="AC2" i="21"/>
  <c r="AC4" i="21"/>
  <c r="AB2" i="21"/>
  <c r="AB4" i="21"/>
  <c r="AA2" i="21"/>
  <c r="AA4" i="21"/>
  <c r="Z2" i="21"/>
  <c r="Z4" i="21"/>
  <c r="Y2" i="21"/>
  <c r="Y4" i="21"/>
  <c r="X2" i="21"/>
  <c r="X4" i="21"/>
  <c r="W2" i="21"/>
  <c r="W4" i="21"/>
  <c r="V2" i="21"/>
  <c r="V4" i="21"/>
  <c r="U2" i="21"/>
  <c r="U4" i="21"/>
  <c r="T2" i="21"/>
  <c r="T4" i="21"/>
  <c r="S2" i="21"/>
  <c r="S4" i="21"/>
  <c r="R2" i="21"/>
  <c r="R4" i="21"/>
  <c r="Q2" i="21"/>
  <c r="Q4" i="21"/>
  <c r="P2" i="21"/>
  <c r="P4" i="21"/>
  <c r="O2" i="21"/>
  <c r="O4" i="21"/>
  <c r="N2" i="21"/>
  <c r="N4" i="21"/>
  <c r="M2" i="21"/>
  <c r="M4" i="21"/>
  <c r="L2" i="21"/>
  <c r="L4" i="21"/>
  <c r="K2" i="21"/>
  <c r="K4" i="21"/>
  <c r="J2" i="21"/>
  <c r="J4" i="21"/>
  <c r="I2" i="21"/>
  <c r="I4" i="21"/>
  <c r="H2" i="21"/>
  <c r="H4" i="21"/>
  <c r="G2" i="21"/>
  <c r="G4" i="21"/>
  <c r="F2" i="21"/>
  <c r="F4" i="21"/>
  <c r="E2" i="21"/>
  <c r="E4" i="21"/>
  <c r="D2" i="21"/>
  <c r="D4" i="21"/>
  <c r="C2" i="21"/>
  <c r="C4" i="21"/>
  <c r="B2" i="21"/>
  <c r="B4" i="21"/>
  <c r="AB184" i="1"/>
  <c r="AB164" i="1"/>
  <c r="AB161" i="1"/>
  <c r="Y161" i="1"/>
  <c r="Z161" i="1"/>
  <c r="AA161" i="1"/>
  <c r="R6" i="19"/>
  <c r="R84" i="19" s="1"/>
  <c r="Q6" i="19"/>
  <c r="Q84" i="19" s="1"/>
  <c r="W597" i="1"/>
  <c r="X597" i="1"/>
  <c r="Y597" i="1"/>
  <c r="Z597" i="1"/>
  <c r="W559" i="1"/>
  <c r="X559" i="1"/>
  <c r="Y559" i="1"/>
  <c r="Z559" i="1"/>
  <c r="AB508" i="1"/>
  <c r="AB464" i="1"/>
  <c r="AB465" i="1"/>
  <c r="AB466" i="1"/>
  <c r="AB467" i="1"/>
  <c r="AB468" i="1"/>
  <c r="Y416" i="1"/>
  <c r="Z416" i="1"/>
  <c r="AA416" i="1"/>
  <c r="AB315" i="1"/>
  <c r="AA316" i="1"/>
  <c r="AB305" i="1"/>
  <c r="AB224" i="1"/>
  <c r="AB218" i="1"/>
  <c r="S6" i="19"/>
  <c r="S41" i="19" s="1"/>
  <c r="T6" i="19"/>
  <c r="T41" i="19" s="1"/>
  <c r="U6" i="19"/>
  <c r="U41" i="19" s="1"/>
  <c r="V6" i="19"/>
  <c r="V41" i="19" s="1"/>
  <c r="AB118" i="20"/>
  <c r="AB317" i="20" s="1"/>
  <c r="AB2" i="20"/>
  <c r="AB303" i="20"/>
  <c r="AB10" i="20"/>
  <c r="Q44" i="19"/>
  <c r="AB104" i="20"/>
  <c r="AB304" i="20"/>
  <c r="AB11" i="20"/>
  <c r="AB102" i="20"/>
  <c r="AB302" i="20" s="1"/>
  <c r="X277" i="1"/>
  <c r="AA137" i="1"/>
  <c r="AA155" i="1"/>
  <c r="Q13" i="19"/>
  <c r="Y184" i="1"/>
  <c r="AA183" i="1"/>
  <c r="R86" i="19"/>
  <c r="Y183" i="1"/>
  <c r="F1" i="12"/>
  <c r="AB318" i="20"/>
  <c r="AB25" i="20"/>
  <c r="V559" i="1"/>
  <c r="AB307" i="20"/>
  <c r="AB14" i="20"/>
  <c r="X278" i="1"/>
  <c r="X280" i="1"/>
  <c r="X381" i="1"/>
  <c r="T383" i="1"/>
  <c r="P383" i="1"/>
  <c r="AB312" i="20"/>
  <c r="AB19" i="20"/>
  <c r="AB322" i="20"/>
  <c r="AB29" i="20"/>
  <c r="O137" i="1"/>
  <c r="O155" i="1"/>
  <c r="O142" i="1"/>
  <c r="P137" i="1"/>
  <c r="P155" i="1"/>
  <c r="P142" i="1"/>
  <c r="Q137" i="1"/>
  <c r="Q155" i="1"/>
  <c r="Q142" i="1"/>
  <c r="R137" i="1"/>
  <c r="R155" i="1"/>
  <c r="R142" i="1"/>
  <c r="S137" i="1"/>
  <c r="S155" i="1"/>
  <c r="S142" i="1"/>
  <c r="T137" i="1"/>
  <c r="T155" i="1"/>
  <c r="T142" i="1"/>
  <c r="U137" i="1"/>
  <c r="U155" i="1"/>
  <c r="U142" i="1"/>
  <c r="V137" i="1"/>
  <c r="V155" i="1"/>
  <c r="V142" i="1"/>
  <c r="W137" i="1"/>
  <c r="W155" i="1"/>
  <c r="W142" i="1"/>
  <c r="X137" i="1"/>
  <c r="X155" i="1"/>
  <c r="X142" i="1"/>
  <c r="Y137" i="1"/>
  <c r="Y155" i="1"/>
  <c r="Y142" i="1"/>
  <c r="Z137" i="1"/>
  <c r="Z155" i="1"/>
  <c r="Z142" i="1"/>
  <c r="AA142" i="1"/>
  <c r="N137" i="1"/>
  <c r="N155" i="1"/>
  <c r="N142" i="1"/>
  <c r="AB222" i="20"/>
  <c r="AC222" i="20"/>
  <c r="AD222" i="20"/>
  <c r="AE222" i="20"/>
  <c r="AF222" i="20"/>
  <c r="AG222" i="20"/>
  <c r="AH222" i="20"/>
  <c r="AB218" i="20"/>
  <c r="AC218" i="20"/>
  <c r="AD218" i="20"/>
  <c r="AE218" i="20"/>
  <c r="AF218" i="20"/>
  <c r="AG218" i="20"/>
  <c r="AH218" i="20"/>
  <c r="AI218" i="20"/>
  <c r="AJ218" i="20"/>
  <c r="AK218" i="20"/>
  <c r="AL218" i="20"/>
  <c r="AM218" i="20"/>
  <c r="AN218" i="20"/>
  <c r="AO218" i="20"/>
  <c r="AP218" i="20"/>
  <c r="AB212" i="20"/>
  <c r="AC212" i="20"/>
  <c r="AD212" i="20"/>
  <c r="AE212" i="20"/>
  <c r="AF212" i="20"/>
  <c r="AG212" i="20"/>
  <c r="AB207" i="20"/>
  <c r="AC207" i="20"/>
  <c r="AD207" i="20"/>
  <c r="AE207" i="20"/>
  <c r="AB202" i="20"/>
  <c r="AC202" i="20"/>
  <c r="AD202" i="20"/>
  <c r="AF202" i="20"/>
  <c r="AG202" i="20"/>
  <c r="AH202" i="20"/>
  <c r="AI202" i="20"/>
  <c r="AJ202" i="20"/>
  <c r="AB204" i="20"/>
  <c r="AC204" i="20"/>
  <c r="AD204" i="20"/>
  <c r="AE204" i="20"/>
  <c r="AF204" i="20"/>
  <c r="AG204" i="20"/>
  <c r="AH204" i="20"/>
  <c r="AI204" i="20"/>
  <c r="AJ204" i="20"/>
  <c r="AK204" i="20"/>
  <c r="AL204" i="20"/>
  <c r="AM204" i="20"/>
  <c r="AN204" i="20"/>
  <c r="AO204" i="20"/>
  <c r="AP204" i="20"/>
  <c r="AQ204" i="20"/>
  <c r="AR204" i="20"/>
  <c r="AS204" i="20"/>
  <c r="AB205" i="20"/>
  <c r="AC205" i="20"/>
  <c r="AD205" i="20"/>
  <c r="AE205" i="20"/>
  <c r="AF205" i="20"/>
  <c r="AG205" i="20"/>
  <c r="AH205" i="20"/>
  <c r="AI205" i="20"/>
  <c r="AJ205" i="20"/>
  <c r="AK205" i="20"/>
  <c r="AL205" i="20"/>
  <c r="AM205" i="20"/>
  <c r="AN205" i="20"/>
  <c r="AO205" i="20"/>
  <c r="AP205" i="20"/>
  <c r="AQ205" i="20"/>
  <c r="AR205" i="20"/>
  <c r="AS205" i="20"/>
  <c r="AB206" i="20"/>
  <c r="AC206" i="20"/>
  <c r="AD206" i="20"/>
  <c r="AE206" i="20"/>
  <c r="AF206" i="20"/>
  <c r="AG206" i="20"/>
  <c r="AH206" i="20"/>
  <c r="AI206" i="20"/>
  <c r="AJ206" i="20"/>
  <c r="AK206" i="20"/>
  <c r="AL206" i="20"/>
  <c r="AM206" i="20"/>
  <c r="AN206" i="20"/>
  <c r="AO206" i="20"/>
  <c r="AP206" i="20"/>
  <c r="AQ206" i="20"/>
  <c r="AR206" i="20"/>
  <c r="AS206" i="20"/>
  <c r="AB210" i="20"/>
  <c r="AC210" i="20"/>
  <c r="AD210" i="20"/>
  <c r="AE210" i="20"/>
  <c r="AF210" i="20"/>
  <c r="AG210" i="20"/>
  <c r="AH210" i="20"/>
  <c r="AI210" i="20"/>
  <c r="AJ210" i="20"/>
  <c r="AK210" i="20"/>
  <c r="AL210" i="20"/>
  <c r="AM210" i="20"/>
  <c r="AN210" i="20"/>
  <c r="AO210" i="20"/>
  <c r="AP210" i="20"/>
  <c r="AQ210" i="20"/>
  <c r="AR210" i="20"/>
  <c r="AS210" i="20"/>
  <c r="AB211" i="20"/>
  <c r="AC211" i="20"/>
  <c r="AD211" i="20"/>
  <c r="AE211" i="20"/>
  <c r="AF211" i="20"/>
  <c r="AG211" i="20"/>
  <c r="AH211" i="20"/>
  <c r="AI211" i="20"/>
  <c r="AJ211" i="20"/>
  <c r="AK211" i="20"/>
  <c r="AL211" i="20"/>
  <c r="AM211" i="20"/>
  <c r="AN211" i="20"/>
  <c r="AO211" i="20"/>
  <c r="AP211" i="20"/>
  <c r="AQ211" i="20"/>
  <c r="AR211" i="20"/>
  <c r="AS211" i="20"/>
  <c r="AB215" i="20"/>
  <c r="AC215" i="20"/>
  <c r="AD215" i="20"/>
  <c r="AE215" i="20"/>
  <c r="AF215" i="20"/>
  <c r="AG215" i="20"/>
  <c r="AH215" i="20"/>
  <c r="AI215" i="20"/>
  <c r="AJ215" i="20"/>
  <c r="AK215" i="20"/>
  <c r="AL215" i="20"/>
  <c r="AM215" i="20"/>
  <c r="AN215" i="20"/>
  <c r="AO215" i="20"/>
  <c r="AP215" i="20"/>
  <c r="AQ215" i="20"/>
  <c r="AR215" i="20"/>
  <c r="AS215" i="20"/>
  <c r="AB216" i="20"/>
  <c r="AC216" i="20"/>
  <c r="AD216" i="20"/>
  <c r="AE216" i="20"/>
  <c r="AF216" i="20"/>
  <c r="AG216" i="20"/>
  <c r="AH216" i="20"/>
  <c r="AI216" i="20"/>
  <c r="AJ216" i="20"/>
  <c r="AK216" i="20"/>
  <c r="AL216" i="20"/>
  <c r="AM216" i="20"/>
  <c r="AN216" i="20"/>
  <c r="AO216" i="20"/>
  <c r="AP216" i="20"/>
  <c r="AQ216" i="20"/>
  <c r="AR216" i="20"/>
  <c r="AS216" i="20"/>
  <c r="AC217" i="20"/>
  <c r="AD217" i="20"/>
  <c r="AE217" i="20"/>
  <c r="AF217" i="20"/>
  <c r="AG217" i="20"/>
  <c r="AB220" i="20"/>
  <c r="AC220" i="20"/>
  <c r="AD220" i="20"/>
  <c r="AE220" i="20"/>
  <c r="AF220" i="20"/>
  <c r="AG220" i="20"/>
  <c r="AH220" i="20"/>
  <c r="AI220" i="20"/>
  <c r="AJ220" i="20"/>
  <c r="AK220" i="20"/>
  <c r="AL220" i="20"/>
  <c r="AM220" i="20"/>
  <c r="AN220" i="20"/>
  <c r="AO220" i="20"/>
  <c r="AP220" i="20"/>
  <c r="AQ220" i="20"/>
  <c r="AR220" i="20"/>
  <c r="AS220" i="20"/>
  <c r="AB221" i="20"/>
  <c r="AC221" i="20"/>
  <c r="AD221" i="20"/>
  <c r="AE221" i="20"/>
  <c r="AF221" i="20"/>
  <c r="AG221" i="20"/>
  <c r="AH221" i="20"/>
  <c r="AI221" i="20"/>
  <c r="AJ221" i="20"/>
  <c r="AK221" i="20"/>
  <c r="AL221" i="20"/>
  <c r="AM221" i="20"/>
  <c r="AN221" i="20"/>
  <c r="AO221" i="20"/>
  <c r="AP221" i="20"/>
  <c r="AQ221" i="20"/>
  <c r="AR221" i="20"/>
  <c r="AS221" i="20"/>
  <c r="AB203" i="20"/>
  <c r="AC203" i="20"/>
  <c r="AD203" i="20"/>
  <c r="AE203" i="20"/>
  <c r="AF203" i="20"/>
  <c r="AG203" i="20"/>
  <c r="AH203" i="20"/>
  <c r="AI203" i="20"/>
  <c r="AJ203" i="20"/>
  <c r="AK203" i="20"/>
  <c r="AL203" i="20"/>
  <c r="AM203" i="20"/>
  <c r="AN203" i="20"/>
  <c r="AO203" i="20"/>
  <c r="AP203" i="20"/>
  <c r="AQ203" i="20"/>
  <c r="AR203" i="20"/>
  <c r="AS203" i="20"/>
  <c r="X306" i="1"/>
  <c r="Y306" i="1"/>
  <c r="Z306" i="1"/>
  <c r="AA306" i="1"/>
  <c r="A302" i="20"/>
  <c r="A9" i="20"/>
  <c r="B302" i="20"/>
  <c r="B9" i="20"/>
  <c r="C302" i="20"/>
  <c r="C9" i="20"/>
  <c r="D302" i="20"/>
  <c r="D9" i="20"/>
  <c r="E302" i="20"/>
  <c r="E9" i="20"/>
  <c r="F302" i="20"/>
  <c r="F9" i="20"/>
  <c r="G302" i="20"/>
  <c r="G9" i="20"/>
  <c r="H302" i="20"/>
  <c r="H9" i="20"/>
  <c r="I302" i="20"/>
  <c r="I9" i="20"/>
  <c r="J302" i="20"/>
  <c r="J9" i="20"/>
  <c r="K302" i="20"/>
  <c r="K9" i="20"/>
  <c r="L302" i="20"/>
  <c r="L9" i="20"/>
  <c r="M302" i="20"/>
  <c r="M9" i="20"/>
  <c r="N302" i="20"/>
  <c r="N9" i="20"/>
  <c r="O302" i="20"/>
  <c r="O9" i="20"/>
  <c r="P302" i="20"/>
  <c r="P9" i="20"/>
  <c r="Q302" i="20"/>
  <c r="Q9" i="20"/>
  <c r="R302" i="20"/>
  <c r="R9" i="20"/>
  <c r="S302" i="20"/>
  <c r="S9" i="20"/>
  <c r="T302" i="20"/>
  <c r="T9" i="20"/>
  <c r="U302" i="20"/>
  <c r="U9" i="20"/>
  <c r="V302" i="20"/>
  <c r="V9" i="20"/>
  <c r="W302" i="20"/>
  <c r="W9" i="20"/>
  <c r="X302" i="20"/>
  <c r="X9" i="20"/>
  <c r="Y302" i="20"/>
  <c r="Y9" i="20"/>
  <c r="Z302" i="20"/>
  <c r="Z9" i="20"/>
  <c r="AA302" i="20"/>
  <c r="AA9" i="20"/>
  <c r="A307" i="20"/>
  <c r="A14" i="20"/>
  <c r="B307" i="20"/>
  <c r="B14" i="20"/>
  <c r="C307" i="20"/>
  <c r="C14" i="20"/>
  <c r="D307" i="20"/>
  <c r="D14" i="20"/>
  <c r="E307" i="20"/>
  <c r="E14" i="20"/>
  <c r="F307" i="20"/>
  <c r="F14" i="20"/>
  <c r="G307" i="20"/>
  <c r="G14" i="20"/>
  <c r="H307" i="20"/>
  <c r="H14" i="20"/>
  <c r="I307" i="20"/>
  <c r="I14" i="20"/>
  <c r="J307" i="20"/>
  <c r="J14" i="20"/>
  <c r="K307" i="20"/>
  <c r="K14" i="20"/>
  <c r="L307" i="20"/>
  <c r="L14" i="20"/>
  <c r="M307" i="20"/>
  <c r="M14" i="20"/>
  <c r="N307" i="20"/>
  <c r="N14" i="20"/>
  <c r="O307" i="20"/>
  <c r="O14" i="20"/>
  <c r="P307" i="20"/>
  <c r="P14" i="20"/>
  <c r="Q307" i="20"/>
  <c r="Q14" i="20"/>
  <c r="R307" i="20"/>
  <c r="R14" i="20"/>
  <c r="S307" i="20"/>
  <c r="S14" i="20"/>
  <c r="T307" i="20"/>
  <c r="T14" i="20"/>
  <c r="U307" i="20"/>
  <c r="U14" i="20"/>
  <c r="V307" i="20"/>
  <c r="V14" i="20"/>
  <c r="W307" i="20"/>
  <c r="W14" i="20"/>
  <c r="X307" i="20"/>
  <c r="X14" i="20"/>
  <c r="Y307" i="20"/>
  <c r="Y14" i="20"/>
  <c r="Z307" i="20"/>
  <c r="Z14" i="20"/>
  <c r="AA307" i="20"/>
  <c r="AA14" i="20"/>
  <c r="A312" i="20"/>
  <c r="A19" i="20"/>
  <c r="B312" i="20"/>
  <c r="B19" i="20"/>
  <c r="C312" i="20"/>
  <c r="C19" i="20"/>
  <c r="D312" i="20"/>
  <c r="D19" i="20"/>
  <c r="E312" i="20"/>
  <c r="E19" i="20"/>
  <c r="F312" i="20"/>
  <c r="F19" i="20"/>
  <c r="G312" i="20"/>
  <c r="G19" i="20"/>
  <c r="H312" i="20"/>
  <c r="H19" i="20"/>
  <c r="I312" i="20"/>
  <c r="I19" i="20"/>
  <c r="J312" i="20"/>
  <c r="J19" i="20"/>
  <c r="K312" i="20"/>
  <c r="K19" i="20"/>
  <c r="L312" i="20"/>
  <c r="L19" i="20"/>
  <c r="M312" i="20"/>
  <c r="M19" i="20"/>
  <c r="N312" i="20"/>
  <c r="N19" i="20"/>
  <c r="O312" i="20"/>
  <c r="O19" i="20"/>
  <c r="P312" i="20"/>
  <c r="P19" i="20"/>
  <c r="Q312" i="20"/>
  <c r="Q19" i="20"/>
  <c r="R312" i="20"/>
  <c r="R19" i="20"/>
  <c r="S312" i="20"/>
  <c r="S19" i="20"/>
  <c r="T312" i="20"/>
  <c r="T19" i="20"/>
  <c r="U312" i="20"/>
  <c r="U19" i="20"/>
  <c r="V312" i="20"/>
  <c r="V19" i="20"/>
  <c r="W312" i="20"/>
  <c r="W19" i="20"/>
  <c r="X312" i="20"/>
  <c r="X19" i="20"/>
  <c r="Y312" i="20"/>
  <c r="Y19" i="20"/>
  <c r="Z312" i="20"/>
  <c r="Z19" i="20"/>
  <c r="AA312" i="20"/>
  <c r="AA19" i="20"/>
  <c r="A318" i="20"/>
  <c r="A25" i="20"/>
  <c r="B318" i="20"/>
  <c r="B25" i="20"/>
  <c r="C318" i="20"/>
  <c r="C25" i="20"/>
  <c r="D318" i="20"/>
  <c r="D25" i="20"/>
  <c r="E318" i="20"/>
  <c r="E25" i="20"/>
  <c r="F318" i="20"/>
  <c r="F25" i="20"/>
  <c r="G318" i="20"/>
  <c r="G25" i="20"/>
  <c r="H318" i="20"/>
  <c r="H25" i="20"/>
  <c r="I318" i="20"/>
  <c r="I25" i="20"/>
  <c r="J318" i="20"/>
  <c r="J25" i="20"/>
  <c r="K318" i="20"/>
  <c r="K25" i="20"/>
  <c r="L318" i="20"/>
  <c r="L25" i="20"/>
  <c r="M318" i="20"/>
  <c r="M25" i="20"/>
  <c r="N318" i="20"/>
  <c r="N25" i="20"/>
  <c r="O318" i="20"/>
  <c r="O25" i="20"/>
  <c r="P318" i="20"/>
  <c r="P25" i="20"/>
  <c r="Q318" i="20"/>
  <c r="Q25" i="20"/>
  <c r="R318" i="20"/>
  <c r="R25" i="20"/>
  <c r="S318" i="20"/>
  <c r="S25" i="20"/>
  <c r="T318" i="20"/>
  <c r="T25" i="20"/>
  <c r="U318" i="20"/>
  <c r="U25" i="20"/>
  <c r="V318" i="20"/>
  <c r="V25" i="20"/>
  <c r="W318" i="20"/>
  <c r="W25" i="20"/>
  <c r="X318" i="20"/>
  <c r="X25" i="20"/>
  <c r="Y318" i="20"/>
  <c r="Y25" i="20"/>
  <c r="Z318" i="20"/>
  <c r="Z25" i="20"/>
  <c r="AA318" i="20"/>
  <c r="AA25" i="20"/>
  <c r="A322" i="20"/>
  <c r="A29" i="20"/>
  <c r="B322" i="20"/>
  <c r="B29" i="20"/>
  <c r="C322" i="20"/>
  <c r="C29" i="20"/>
  <c r="D322" i="20"/>
  <c r="D29" i="20"/>
  <c r="E322" i="20"/>
  <c r="E29" i="20"/>
  <c r="F322" i="20"/>
  <c r="F29" i="20"/>
  <c r="G322" i="20"/>
  <c r="G29" i="20"/>
  <c r="H322" i="20"/>
  <c r="H29" i="20"/>
  <c r="I322" i="20"/>
  <c r="I29" i="20"/>
  <c r="J322" i="20"/>
  <c r="J29" i="20"/>
  <c r="K322" i="20"/>
  <c r="K29" i="20"/>
  <c r="L322" i="20"/>
  <c r="L29" i="20"/>
  <c r="M322" i="20"/>
  <c r="M29" i="20"/>
  <c r="N322" i="20"/>
  <c r="N29" i="20"/>
  <c r="O322" i="20"/>
  <c r="O29" i="20"/>
  <c r="P322" i="20"/>
  <c r="P29" i="20"/>
  <c r="Q322" i="20"/>
  <c r="Q29" i="20"/>
  <c r="R322" i="20"/>
  <c r="R29" i="20"/>
  <c r="S322" i="20"/>
  <c r="S29" i="20"/>
  <c r="T322" i="20"/>
  <c r="T29" i="20"/>
  <c r="U322" i="20"/>
  <c r="U29" i="20"/>
  <c r="V322" i="20"/>
  <c r="V29" i="20"/>
  <c r="W322" i="20"/>
  <c r="W29" i="20"/>
  <c r="X322" i="20"/>
  <c r="X29" i="20"/>
  <c r="Y322" i="20"/>
  <c r="Y29" i="20"/>
  <c r="Z322" i="20"/>
  <c r="Z29" i="20"/>
  <c r="AA322" i="20"/>
  <c r="AA29" i="20"/>
  <c r="X382" i="1"/>
  <c r="A26" i="20"/>
  <c r="B26" i="20"/>
  <c r="C26" i="20"/>
  <c r="D26" i="20"/>
  <c r="E26" i="20"/>
  <c r="F26" i="20"/>
  <c r="G26" i="20"/>
  <c r="H26" i="20"/>
  <c r="I26" i="20"/>
  <c r="J26" i="20"/>
  <c r="K26" i="20"/>
  <c r="L26" i="20"/>
  <c r="M26" i="20"/>
  <c r="N26" i="20"/>
  <c r="O26" i="20"/>
  <c r="P26" i="20"/>
  <c r="Q26" i="20"/>
  <c r="R26" i="20"/>
  <c r="S26" i="20"/>
  <c r="T26" i="20"/>
  <c r="U26" i="20"/>
  <c r="V26" i="20"/>
  <c r="W26" i="20"/>
  <c r="X26" i="20"/>
  <c r="Y26" i="20"/>
  <c r="Z26" i="20"/>
  <c r="AA26" i="20"/>
  <c r="AC26" i="20"/>
  <c r="AD26" i="20"/>
  <c r="AE26" i="20"/>
  <c r="AF26" i="20"/>
  <c r="AG26" i="20"/>
  <c r="AH26" i="20"/>
  <c r="AI26" i="20"/>
  <c r="AJ26" i="20"/>
  <c r="AK26" i="20"/>
  <c r="AL26" i="20"/>
  <c r="AM26" i="20"/>
  <c r="AN26" i="20"/>
  <c r="AO26" i="20"/>
  <c r="AP26" i="20"/>
  <c r="AQ26" i="20"/>
  <c r="AR26" i="20"/>
  <c r="AS26" i="20"/>
  <c r="AB26" i="20"/>
  <c r="AA314" i="20"/>
  <c r="AA21" i="20"/>
  <c r="AA236" i="20" s="1"/>
  <c r="Z236" i="20"/>
  <c r="Y236" i="20"/>
  <c r="X236" i="20"/>
  <c r="W236" i="20"/>
  <c r="V236" i="20"/>
  <c r="U236" i="20"/>
  <c r="T236" i="20"/>
  <c r="S236" i="20"/>
  <c r="R236" i="20"/>
  <c r="Q236" i="20"/>
  <c r="P236" i="20"/>
  <c r="O236" i="20"/>
  <c r="N236" i="20"/>
  <c r="M236" i="20"/>
  <c r="L236" i="20"/>
  <c r="K236" i="20"/>
  <c r="J236" i="20"/>
  <c r="I236" i="20"/>
  <c r="H236" i="20"/>
  <c r="G236" i="20"/>
  <c r="F236" i="20"/>
  <c r="E236" i="20"/>
  <c r="D236" i="20"/>
  <c r="C236" i="20"/>
  <c r="B236" i="20"/>
  <c r="AA336" i="20"/>
  <c r="AA317" i="20"/>
  <c r="Z317" i="20"/>
  <c r="Y317" i="20"/>
  <c r="X317" i="20"/>
  <c r="W317" i="20"/>
  <c r="V317" i="20"/>
  <c r="U317" i="20"/>
  <c r="T317" i="20"/>
  <c r="S317" i="20"/>
  <c r="R317" i="20"/>
  <c r="Q317" i="20"/>
  <c r="P317" i="20"/>
  <c r="O317" i="20"/>
  <c r="N317" i="20"/>
  <c r="M317" i="20"/>
  <c r="L317" i="20"/>
  <c r="K317" i="20"/>
  <c r="J317" i="20"/>
  <c r="I317" i="20"/>
  <c r="H317" i="20"/>
  <c r="G317" i="20"/>
  <c r="F317" i="20"/>
  <c r="E317" i="20"/>
  <c r="D317" i="20"/>
  <c r="C317" i="20"/>
  <c r="B317" i="20"/>
  <c r="A317" i="20"/>
  <c r="Z336" i="20"/>
  <c r="Y336" i="20"/>
  <c r="X336" i="20"/>
  <c r="W336" i="20"/>
  <c r="V336" i="20"/>
  <c r="U336" i="20"/>
  <c r="T336" i="20"/>
  <c r="S336" i="20"/>
  <c r="R336" i="20"/>
  <c r="Q336" i="20"/>
  <c r="P336" i="20"/>
  <c r="O336" i="20"/>
  <c r="N336" i="20"/>
  <c r="M336" i="20"/>
  <c r="L336" i="20"/>
  <c r="K336" i="20"/>
  <c r="J336" i="20"/>
  <c r="I336" i="20"/>
  <c r="H336" i="20"/>
  <c r="G336" i="20"/>
  <c r="F336" i="20"/>
  <c r="E336" i="20"/>
  <c r="D336" i="20"/>
  <c r="C336" i="20"/>
  <c r="B336" i="20"/>
  <c r="AS333" i="20"/>
  <c r="AR333" i="20"/>
  <c r="AQ333" i="20"/>
  <c r="AP333" i="20"/>
  <c r="AO333" i="20"/>
  <c r="AN333" i="20"/>
  <c r="AM333" i="20"/>
  <c r="AL333" i="20"/>
  <c r="AK333" i="20"/>
  <c r="AJ333" i="20"/>
  <c r="AI333" i="20"/>
  <c r="AH333" i="20"/>
  <c r="AG333" i="20"/>
  <c r="AF333" i="20"/>
  <c r="AE333" i="20"/>
  <c r="AD333" i="20"/>
  <c r="AC333" i="20"/>
  <c r="AB333" i="20"/>
  <c r="AA333" i="20"/>
  <c r="Z333" i="20"/>
  <c r="Y333" i="20"/>
  <c r="X333" i="20"/>
  <c r="W333" i="20"/>
  <c r="V333" i="20"/>
  <c r="U333" i="20"/>
  <c r="T333" i="20"/>
  <c r="S333" i="20"/>
  <c r="R333" i="20"/>
  <c r="Q333" i="20"/>
  <c r="P333" i="20"/>
  <c r="O333" i="20"/>
  <c r="N333" i="20"/>
  <c r="M333" i="20"/>
  <c r="L333" i="20"/>
  <c r="K333" i="20"/>
  <c r="J333" i="20"/>
  <c r="I333" i="20"/>
  <c r="H333" i="20"/>
  <c r="G333" i="20"/>
  <c r="F333" i="20"/>
  <c r="E333" i="20"/>
  <c r="D333" i="20"/>
  <c r="C333" i="20"/>
  <c r="B333" i="20"/>
  <c r="AS323" i="20"/>
  <c r="AR323" i="20"/>
  <c r="AQ323" i="20"/>
  <c r="AP323" i="20"/>
  <c r="AO323" i="20"/>
  <c r="AN323" i="20"/>
  <c r="AM323" i="20"/>
  <c r="AL323" i="20"/>
  <c r="AK323" i="20"/>
  <c r="AJ323" i="20"/>
  <c r="AI323" i="20"/>
  <c r="AH323" i="20"/>
  <c r="AG323" i="20"/>
  <c r="AF323" i="20"/>
  <c r="AE323" i="20"/>
  <c r="AD323" i="20"/>
  <c r="AC323" i="20"/>
  <c r="AB323" i="20"/>
  <c r="AA323" i="20"/>
  <c r="Z323" i="20"/>
  <c r="Y323" i="20"/>
  <c r="X323" i="20"/>
  <c r="W323" i="20"/>
  <c r="V323" i="20"/>
  <c r="U323" i="20"/>
  <c r="T323" i="20"/>
  <c r="S323" i="20"/>
  <c r="R323" i="20"/>
  <c r="Q323" i="20"/>
  <c r="P323" i="20"/>
  <c r="O323" i="20"/>
  <c r="N323" i="20"/>
  <c r="M323" i="20"/>
  <c r="L323" i="20"/>
  <c r="K323" i="20"/>
  <c r="J323" i="20"/>
  <c r="I323" i="20"/>
  <c r="H323" i="20"/>
  <c r="G323" i="20"/>
  <c r="F323" i="20"/>
  <c r="E323" i="20"/>
  <c r="D323" i="20"/>
  <c r="C323" i="20"/>
  <c r="B323" i="20"/>
  <c r="A323" i="20"/>
  <c r="AS321" i="20"/>
  <c r="AR321" i="20"/>
  <c r="AQ321" i="20"/>
  <c r="AP321" i="20"/>
  <c r="AO321" i="20"/>
  <c r="AN321" i="20"/>
  <c r="AM321" i="20"/>
  <c r="AL321" i="20"/>
  <c r="AK321" i="20"/>
  <c r="AJ321" i="20"/>
  <c r="AI321" i="20"/>
  <c r="AH321" i="20"/>
  <c r="AG321" i="20"/>
  <c r="AF321" i="20"/>
  <c r="AE321" i="20"/>
  <c r="AD321" i="20"/>
  <c r="AC321" i="20"/>
  <c r="AB321" i="20"/>
  <c r="AA321" i="20"/>
  <c r="Z321" i="20"/>
  <c r="Y321" i="20"/>
  <c r="X321" i="20"/>
  <c r="W321" i="20"/>
  <c r="V321" i="20"/>
  <c r="U321" i="20"/>
  <c r="T321" i="20"/>
  <c r="S321" i="20"/>
  <c r="R321" i="20"/>
  <c r="Q321" i="20"/>
  <c r="P321" i="20"/>
  <c r="O321" i="20"/>
  <c r="N321" i="20"/>
  <c r="M321" i="20"/>
  <c r="L321" i="20"/>
  <c r="K321" i="20"/>
  <c r="J321" i="20"/>
  <c r="I321" i="20"/>
  <c r="H321" i="20"/>
  <c r="G321" i="20"/>
  <c r="F321" i="20"/>
  <c r="E321" i="20"/>
  <c r="D321" i="20"/>
  <c r="C321" i="20"/>
  <c r="B321" i="20"/>
  <c r="A321" i="20"/>
  <c r="AS320" i="20"/>
  <c r="AR320" i="20"/>
  <c r="AQ320" i="20"/>
  <c r="AP320" i="20"/>
  <c r="AO320" i="20"/>
  <c r="AN320" i="20"/>
  <c r="AM320" i="20"/>
  <c r="AL320" i="20"/>
  <c r="AK320" i="20"/>
  <c r="AJ320" i="20"/>
  <c r="AI320" i="20"/>
  <c r="AH320" i="20"/>
  <c r="AG320" i="20"/>
  <c r="AF320" i="20"/>
  <c r="AE320" i="20"/>
  <c r="AD320" i="20"/>
  <c r="AC320" i="20"/>
  <c r="AB320" i="20"/>
  <c r="AA320" i="20"/>
  <c r="Z320" i="20"/>
  <c r="Y320" i="20"/>
  <c r="X320" i="20"/>
  <c r="W320" i="20"/>
  <c r="V320" i="20"/>
  <c r="U320" i="20"/>
  <c r="T320" i="20"/>
  <c r="S320" i="20"/>
  <c r="R320" i="20"/>
  <c r="Q320" i="20"/>
  <c r="P320" i="20"/>
  <c r="O320" i="20"/>
  <c r="N320" i="20"/>
  <c r="M320" i="20"/>
  <c r="L320" i="20"/>
  <c r="K320" i="20"/>
  <c r="J320" i="20"/>
  <c r="I320" i="20"/>
  <c r="H320" i="20"/>
  <c r="G320" i="20"/>
  <c r="F320" i="20"/>
  <c r="E320" i="20"/>
  <c r="D320" i="20"/>
  <c r="C320" i="20"/>
  <c r="B320" i="20"/>
  <c r="A320" i="20"/>
  <c r="AS316" i="20"/>
  <c r="AR316" i="20"/>
  <c r="AQ316" i="20"/>
  <c r="AP316" i="20"/>
  <c r="AO316" i="20"/>
  <c r="AN316" i="20"/>
  <c r="AM316" i="20"/>
  <c r="AL316" i="20"/>
  <c r="AK316" i="20"/>
  <c r="AJ316" i="20"/>
  <c r="AI316" i="20"/>
  <c r="AH316" i="20"/>
  <c r="AG316" i="20"/>
  <c r="AF316" i="20"/>
  <c r="AE316" i="20"/>
  <c r="AD316" i="20"/>
  <c r="AC316" i="20"/>
  <c r="AB316" i="20"/>
  <c r="AA316" i="20"/>
  <c r="Z316" i="20"/>
  <c r="Y316" i="20"/>
  <c r="X316" i="20"/>
  <c r="W316" i="20"/>
  <c r="V316" i="20"/>
  <c r="U316" i="20"/>
  <c r="T316" i="20"/>
  <c r="S316" i="20"/>
  <c r="R316" i="20"/>
  <c r="Q316" i="20"/>
  <c r="P316" i="20"/>
  <c r="O316" i="20"/>
  <c r="N316" i="20"/>
  <c r="M316" i="20"/>
  <c r="L316" i="20"/>
  <c r="K316" i="20"/>
  <c r="J316" i="20"/>
  <c r="I316" i="20"/>
  <c r="H316" i="20"/>
  <c r="G316" i="20"/>
  <c r="F316" i="20"/>
  <c r="E316" i="20"/>
  <c r="D316" i="20"/>
  <c r="C316" i="20"/>
  <c r="B316" i="20"/>
  <c r="A316" i="20"/>
  <c r="AS315" i="20"/>
  <c r="AR315" i="20"/>
  <c r="AQ315" i="20"/>
  <c r="AP315" i="20"/>
  <c r="AO315" i="20"/>
  <c r="AN315" i="20"/>
  <c r="AM315" i="20"/>
  <c r="AL315" i="20"/>
  <c r="AK315" i="20"/>
  <c r="AJ315" i="20"/>
  <c r="AI315" i="20"/>
  <c r="AH315" i="20"/>
  <c r="AG315" i="20"/>
  <c r="AF315" i="20"/>
  <c r="AE315" i="20"/>
  <c r="AD315" i="20"/>
  <c r="AC315" i="20"/>
  <c r="AB315" i="20"/>
  <c r="AA315" i="20"/>
  <c r="Z315" i="20"/>
  <c r="Y315" i="20"/>
  <c r="X315" i="20"/>
  <c r="W315" i="20"/>
  <c r="V315" i="20"/>
  <c r="U315" i="20"/>
  <c r="T315" i="20"/>
  <c r="S315" i="20"/>
  <c r="R315" i="20"/>
  <c r="Q315" i="20"/>
  <c r="P315" i="20"/>
  <c r="O315" i="20"/>
  <c r="N315" i="20"/>
  <c r="M315" i="20"/>
  <c r="L315" i="20"/>
  <c r="K315" i="20"/>
  <c r="J315" i="20"/>
  <c r="I315" i="20"/>
  <c r="H315" i="20"/>
  <c r="G315" i="20"/>
  <c r="F315" i="20"/>
  <c r="E315" i="20"/>
  <c r="D315" i="20"/>
  <c r="C315" i="20"/>
  <c r="B315" i="20"/>
  <c r="A315" i="20"/>
  <c r="Z314" i="20"/>
  <c r="Y314" i="20"/>
  <c r="X314" i="20"/>
  <c r="W314" i="20"/>
  <c r="V314" i="20"/>
  <c r="U314" i="20"/>
  <c r="T314" i="20"/>
  <c r="S314" i="20"/>
  <c r="R314" i="20"/>
  <c r="Q314" i="20"/>
  <c r="P314" i="20"/>
  <c r="O314" i="20"/>
  <c r="N314" i="20"/>
  <c r="M314" i="20"/>
  <c r="L314" i="20"/>
  <c r="K314" i="20"/>
  <c r="J314" i="20"/>
  <c r="I314" i="20"/>
  <c r="H314" i="20"/>
  <c r="G314" i="20"/>
  <c r="F314" i="20"/>
  <c r="E314" i="20"/>
  <c r="D314" i="20"/>
  <c r="C314" i="20"/>
  <c r="B314" i="20"/>
  <c r="A314" i="20"/>
  <c r="AA313" i="20"/>
  <c r="Z313" i="20"/>
  <c r="Y313" i="20"/>
  <c r="X313" i="20"/>
  <c r="W313" i="20"/>
  <c r="V313" i="20"/>
  <c r="U313" i="20"/>
  <c r="T313" i="20"/>
  <c r="S313" i="20"/>
  <c r="R313" i="20"/>
  <c r="Q313" i="20"/>
  <c r="P313" i="20"/>
  <c r="O313" i="20"/>
  <c r="N313" i="20"/>
  <c r="M313" i="20"/>
  <c r="L313" i="20"/>
  <c r="K313" i="20"/>
  <c r="J313" i="20"/>
  <c r="I313" i="20"/>
  <c r="H313" i="20"/>
  <c r="G313" i="20"/>
  <c r="F313" i="20"/>
  <c r="E313" i="20"/>
  <c r="D313" i="20"/>
  <c r="C313" i="20"/>
  <c r="B313" i="20"/>
  <c r="A313" i="20"/>
  <c r="AS311" i="20"/>
  <c r="AR311" i="20"/>
  <c r="AQ311" i="20"/>
  <c r="AP311" i="20"/>
  <c r="AO311" i="20"/>
  <c r="AN311" i="20"/>
  <c r="AM311" i="20"/>
  <c r="AL311" i="20"/>
  <c r="AK311" i="20"/>
  <c r="AJ311" i="20"/>
  <c r="AI311" i="20"/>
  <c r="AH311" i="20"/>
  <c r="AG311" i="20"/>
  <c r="AF311" i="20"/>
  <c r="AE311" i="20"/>
  <c r="AD311" i="20"/>
  <c r="AC311" i="20"/>
  <c r="AB311" i="20"/>
  <c r="AA311" i="20"/>
  <c r="Z311" i="20"/>
  <c r="Y311" i="20"/>
  <c r="X311" i="20"/>
  <c r="W311" i="20"/>
  <c r="V311" i="20"/>
  <c r="U311" i="20"/>
  <c r="T311" i="20"/>
  <c r="S311" i="20"/>
  <c r="R311" i="20"/>
  <c r="Q311" i="20"/>
  <c r="P311" i="20"/>
  <c r="O311" i="20"/>
  <c r="N311" i="20"/>
  <c r="M311" i="20"/>
  <c r="L311" i="20"/>
  <c r="K311" i="20"/>
  <c r="J311" i="20"/>
  <c r="I311" i="20"/>
  <c r="H311" i="20"/>
  <c r="G311" i="20"/>
  <c r="F311" i="20"/>
  <c r="E311" i="20"/>
  <c r="D311" i="20"/>
  <c r="C311" i="20"/>
  <c r="B311" i="20"/>
  <c r="A311" i="20"/>
  <c r="AS310" i="20"/>
  <c r="AR310" i="20"/>
  <c r="AQ310" i="20"/>
  <c r="AP310" i="20"/>
  <c r="AO310" i="20"/>
  <c r="AN310" i="20"/>
  <c r="AM310" i="20"/>
  <c r="AL310" i="20"/>
  <c r="AK310" i="20"/>
  <c r="AJ310" i="20"/>
  <c r="AI310" i="20"/>
  <c r="AH310" i="20"/>
  <c r="AG310" i="20"/>
  <c r="AF310" i="20"/>
  <c r="AE310" i="20"/>
  <c r="AD310" i="20"/>
  <c r="AC310" i="20"/>
  <c r="AB310" i="20"/>
  <c r="AA310" i="20"/>
  <c r="Z310" i="20"/>
  <c r="Y310" i="20"/>
  <c r="X310" i="20"/>
  <c r="W310" i="20"/>
  <c r="V310" i="20"/>
  <c r="U310" i="20"/>
  <c r="T310" i="20"/>
  <c r="S310" i="20"/>
  <c r="R310" i="20"/>
  <c r="Q310" i="20"/>
  <c r="P310" i="20"/>
  <c r="O310" i="20"/>
  <c r="N310" i="20"/>
  <c r="M310" i="20"/>
  <c r="L310" i="20"/>
  <c r="K310" i="20"/>
  <c r="J310" i="20"/>
  <c r="I310" i="20"/>
  <c r="H310" i="20"/>
  <c r="G310" i="20"/>
  <c r="F310" i="20"/>
  <c r="E310" i="20"/>
  <c r="D310" i="20"/>
  <c r="C310" i="20"/>
  <c r="B310" i="20"/>
  <c r="A310" i="20"/>
  <c r="AA309" i="20"/>
  <c r="Z309" i="20"/>
  <c r="Y309" i="20"/>
  <c r="X309" i="20"/>
  <c r="W309" i="20"/>
  <c r="V309" i="20"/>
  <c r="U309" i="20"/>
  <c r="T309" i="20"/>
  <c r="S309" i="20"/>
  <c r="R309" i="20"/>
  <c r="Q309" i="20"/>
  <c r="P309" i="20"/>
  <c r="O309" i="20"/>
  <c r="N309" i="20"/>
  <c r="M309" i="20"/>
  <c r="L309" i="20"/>
  <c r="K309" i="20"/>
  <c r="J309" i="20"/>
  <c r="I309" i="20"/>
  <c r="H309" i="20"/>
  <c r="G309" i="20"/>
  <c r="F309" i="20"/>
  <c r="E309" i="20"/>
  <c r="D309" i="20"/>
  <c r="C309" i="20"/>
  <c r="B309" i="20"/>
  <c r="A309" i="20"/>
  <c r="AA308" i="20"/>
  <c r="Z308" i="20"/>
  <c r="Y308" i="20"/>
  <c r="X308" i="20"/>
  <c r="W308" i="20"/>
  <c r="V308" i="20"/>
  <c r="U308" i="20"/>
  <c r="T308" i="20"/>
  <c r="S308" i="20"/>
  <c r="R308" i="20"/>
  <c r="Q308" i="20"/>
  <c r="P308" i="20"/>
  <c r="O308" i="20"/>
  <c r="N308" i="20"/>
  <c r="M308" i="20"/>
  <c r="L308" i="20"/>
  <c r="K308" i="20"/>
  <c r="J308" i="20"/>
  <c r="I308" i="20"/>
  <c r="H308" i="20"/>
  <c r="G308" i="20"/>
  <c r="F308" i="20"/>
  <c r="E308" i="20"/>
  <c r="D308" i="20"/>
  <c r="C308" i="20"/>
  <c r="B308" i="20"/>
  <c r="A308" i="20"/>
  <c r="AS306" i="20"/>
  <c r="AR306" i="20"/>
  <c r="AQ306" i="20"/>
  <c r="AP306" i="20"/>
  <c r="AO306" i="20"/>
  <c r="AN306" i="20"/>
  <c r="AM306" i="20"/>
  <c r="AL306" i="20"/>
  <c r="AK306" i="20"/>
  <c r="AJ306" i="20"/>
  <c r="AI306" i="20"/>
  <c r="AH306" i="20"/>
  <c r="AG306" i="20"/>
  <c r="AF306" i="20"/>
  <c r="AE306" i="20"/>
  <c r="AD306" i="20"/>
  <c r="AC306" i="20"/>
  <c r="AB306" i="20"/>
  <c r="AA306" i="20"/>
  <c r="Z306" i="20"/>
  <c r="Y306" i="20"/>
  <c r="X306" i="20"/>
  <c r="W306" i="20"/>
  <c r="V306" i="20"/>
  <c r="U306" i="20"/>
  <c r="T306" i="20"/>
  <c r="S306" i="20"/>
  <c r="R306" i="20"/>
  <c r="Q306" i="20"/>
  <c r="P306" i="20"/>
  <c r="O306" i="20"/>
  <c r="N306" i="20"/>
  <c r="M306" i="20"/>
  <c r="L306" i="20"/>
  <c r="K306" i="20"/>
  <c r="J306" i="20"/>
  <c r="I306" i="20"/>
  <c r="H306" i="20"/>
  <c r="G306" i="20"/>
  <c r="F306" i="20"/>
  <c r="E306" i="20"/>
  <c r="D306" i="20"/>
  <c r="C306" i="20"/>
  <c r="B306" i="20"/>
  <c r="A306" i="20"/>
  <c r="AS305" i="20"/>
  <c r="AR305" i="20"/>
  <c r="AQ305" i="20"/>
  <c r="AP305" i="20"/>
  <c r="AO305" i="20"/>
  <c r="AN305" i="20"/>
  <c r="AM305" i="20"/>
  <c r="AL305" i="20"/>
  <c r="AK305" i="20"/>
  <c r="AJ305" i="20"/>
  <c r="AI305" i="20"/>
  <c r="AH305" i="20"/>
  <c r="AG305" i="20"/>
  <c r="AF305" i="20"/>
  <c r="AE305" i="20"/>
  <c r="AD305" i="20"/>
  <c r="AC305" i="20"/>
  <c r="AB305" i="20"/>
  <c r="AA305" i="20"/>
  <c r="Z305" i="20"/>
  <c r="Y305" i="20"/>
  <c r="X305" i="20"/>
  <c r="W305" i="20"/>
  <c r="V305" i="20"/>
  <c r="U305" i="20"/>
  <c r="T305" i="20"/>
  <c r="S305" i="20"/>
  <c r="R305" i="20"/>
  <c r="Q305" i="20"/>
  <c r="P305" i="20"/>
  <c r="O305" i="20"/>
  <c r="N305" i="20"/>
  <c r="M305" i="20"/>
  <c r="L305" i="20"/>
  <c r="K305" i="20"/>
  <c r="J305" i="20"/>
  <c r="I305" i="20"/>
  <c r="H305" i="20"/>
  <c r="G305" i="20"/>
  <c r="F305" i="20"/>
  <c r="E305" i="20"/>
  <c r="D305" i="20"/>
  <c r="C305" i="20"/>
  <c r="B305" i="20"/>
  <c r="A305" i="20"/>
  <c r="AA304" i="20"/>
  <c r="Z304" i="20"/>
  <c r="Y304" i="20"/>
  <c r="X304" i="20"/>
  <c r="W304" i="20"/>
  <c r="V304" i="20"/>
  <c r="U304" i="20"/>
  <c r="T304" i="20"/>
  <c r="S304" i="20"/>
  <c r="R304" i="20"/>
  <c r="Q304" i="20"/>
  <c r="P304" i="20"/>
  <c r="O304" i="20"/>
  <c r="N304" i="20"/>
  <c r="M304" i="20"/>
  <c r="L304" i="20"/>
  <c r="K304" i="20"/>
  <c r="J304" i="20"/>
  <c r="I304" i="20"/>
  <c r="H304" i="20"/>
  <c r="G304" i="20"/>
  <c r="F304" i="20"/>
  <c r="E304" i="20"/>
  <c r="D304" i="20"/>
  <c r="C304" i="20"/>
  <c r="B304" i="20"/>
  <c r="A304" i="20"/>
  <c r="AA303" i="20"/>
  <c r="Z303" i="20"/>
  <c r="Y303" i="20"/>
  <c r="X303" i="20"/>
  <c r="W303" i="20"/>
  <c r="V303" i="20"/>
  <c r="U303" i="20"/>
  <c r="T303" i="20"/>
  <c r="S303" i="20"/>
  <c r="R303" i="20"/>
  <c r="Q303" i="20"/>
  <c r="P303" i="20"/>
  <c r="O303" i="20"/>
  <c r="N303" i="20"/>
  <c r="M303" i="20"/>
  <c r="L303" i="20"/>
  <c r="K303" i="20"/>
  <c r="J303" i="20"/>
  <c r="I303" i="20"/>
  <c r="H303" i="20"/>
  <c r="G303" i="20"/>
  <c r="F303" i="20"/>
  <c r="E303" i="20"/>
  <c r="D303" i="20"/>
  <c r="C303" i="20"/>
  <c r="B303" i="20"/>
  <c r="A303" i="20"/>
  <c r="AS301" i="20"/>
  <c r="AR301" i="20"/>
  <c r="AQ301" i="20"/>
  <c r="AP301" i="20"/>
  <c r="AO301" i="20"/>
  <c r="AN301" i="20"/>
  <c r="AM301" i="20"/>
  <c r="AL301" i="20"/>
  <c r="AK301" i="20"/>
  <c r="AJ301" i="20"/>
  <c r="AI301" i="20"/>
  <c r="AH301" i="20"/>
  <c r="AG301" i="20"/>
  <c r="AF301" i="20"/>
  <c r="AE301" i="20"/>
  <c r="AD301" i="20"/>
  <c r="AC301" i="20"/>
  <c r="AB301" i="20"/>
  <c r="AA301" i="20"/>
  <c r="Z301" i="20"/>
  <c r="Y301" i="20"/>
  <c r="X301" i="20"/>
  <c r="W301" i="20"/>
  <c r="V301" i="20"/>
  <c r="U301" i="20"/>
  <c r="T301" i="20"/>
  <c r="S301" i="20"/>
  <c r="R301" i="20"/>
  <c r="Q301" i="20"/>
  <c r="P301" i="20"/>
  <c r="O301" i="20"/>
  <c r="N301" i="20"/>
  <c r="M301" i="20"/>
  <c r="L301" i="20"/>
  <c r="K301" i="20"/>
  <c r="J301" i="20"/>
  <c r="I301" i="20"/>
  <c r="H301" i="20"/>
  <c r="G301" i="20"/>
  <c r="F301" i="20"/>
  <c r="E301" i="20"/>
  <c r="D301" i="20"/>
  <c r="C301" i="20"/>
  <c r="B301" i="20"/>
  <c r="A301" i="20"/>
  <c r="AS233" i="20"/>
  <c r="AR233" i="20"/>
  <c r="AQ233" i="20"/>
  <c r="AP233" i="20"/>
  <c r="AO233" i="20"/>
  <c r="AN233" i="20"/>
  <c r="AM233" i="20"/>
  <c r="AL233" i="20"/>
  <c r="AK233" i="20"/>
  <c r="AJ233" i="20"/>
  <c r="AI233" i="20"/>
  <c r="AH233" i="20"/>
  <c r="AG233" i="20"/>
  <c r="AF233" i="20"/>
  <c r="AE233" i="20"/>
  <c r="AD233" i="20"/>
  <c r="AC233" i="20"/>
  <c r="AB233" i="20"/>
  <c r="AA233" i="20"/>
  <c r="Z233" i="20"/>
  <c r="Y233" i="20"/>
  <c r="X233" i="20"/>
  <c r="W233" i="20"/>
  <c r="V233" i="20"/>
  <c r="U233" i="20"/>
  <c r="T233" i="20"/>
  <c r="S233" i="20"/>
  <c r="R233" i="20"/>
  <c r="Q233" i="20"/>
  <c r="P233" i="20"/>
  <c r="O233" i="20"/>
  <c r="N233" i="20"/>
  <c r="M233" i="20"/>
  <c r="L233" i="20"/>
  <c r="K233" i="20"/>
  <c r="J233" i="20"/>
  <c r="I233" i="20"/>
  <c r="H233" i="20"/>
  <c r="G233" i="20"/>
  <c r="F233" i="20"/>
  <c r="E233" i="20"/>
  <c r="D233" i="20"/>
  <c r="C233" i="20"/>
  <c r="B233" i="20"/>
  <c r="AS224" i="20"/>
  <c r="AR224" i="20"/>
  <c r="AQ224" i="20"/>
  <c r="AP224" i="20"/>
  <c r="AO224" i="20"/>
  <c r="AN224" i="20"/>
  <c r="AM224" i="20"/>
  <c r="AL224" i="20"/>
  <c r="AK224" i="20"/>
  <c r="AJ224" i="20"/>
  <c r="AI224" i="20"/>
  <c r="AH224" i="20"/>
  <c r="AG224" i="20"/>
  <c r="AF224" i="20"/>
  <c r="AE224" i="20"/>
  <c r="AD224" i="20"/>
  <c r="AC224" i="20"/>
  <c r="AB224" i="20"/>
  <c r="AA224" i="20"/>
  <c r="Z224" i="20"/>
  <c r="Y224" i="20"/>
  <c r="X224" i="20"/>
  <c r="W224" i="20"/>
  <c r="V224" i="20"/>
  <c r="U224" i="20"/>
  <c r="T224" i="20"/>
  <c r="S224" i="20"/>
  <c r="R224" i="20"/>
  <c r="Q224" i="20"/>
  <c r="P224" i="20"/>
  <c r="O224" i="20"/>
  <c r="N224" i="20"/>
  <c r="M224" i="20"/>
  <c r="L224" i="20"/>
  <c r="K224" i="20"/>
  <c r="J224" i="20"/>
  <c r="I224" i="20"/>
  <c r="H224" i="20"/>
  <c r="G224" i="20"/>
  <c r="F224" i="20"/>
  <c r="E224" i="20"/>
  <c r="D224" i="20"/>
  <c r="C224" i="20"/>
  <c r="B224" i="20"/>
  <c r="A224" i="20"/>
  <c r="AS223" i="20"/>
  <c r="AR223" i="20"/>
  <c r="AQ223" i="20"/>
  <c r="AP223" i="20"/>
  <c r="AO223" i="20"/>
  <c r="AN223" i="20"/>
  <c r="AM223" i="20"/>
  <c r="AL223" i="20"/>
  <c r="AK223" i="20"/>
  <c r="AJ223" i="20"/>
  <c r="AI223" i="20"/>
  <c r="AH223" i="20"/>
  <c r="AG223" i="20"/>
  <c r="AF223" i="20"/>
  <c r="AE223" i="20"/>
  <c r="AD223" i="20"/>
  <c r="AC223" i="20"/>
  <c r="AB223" i="20"/>
  <c r="AA223" i="20"/>
  <c r="Z223" i="20"/>
  <c r="Y223" i="20"/>
  <c r="X223" i="20"/>
  <c r="W223" i="20"/>
  <c r="V223" i="20"/>
  <c r="U223" i="20"/>
  <c r="T223" i="20"/>
  <c r="S223" i="20"/>
  <c r="R223" i="20"/>
  <c r="Q223" i="20"/>
  <c r="P223" i="20"/>
  <c r="O223" i="20"/>
  <c r="N223" i="20"/>
  <c r="M223" i="20"/>
  <c r="L223" i="20"/>
  <c r="K223" i="20"/>
  <c r="J223" i="20"/>
  <c r="I223" i="20"/>
  <c r="H223" i="20"/>
  <c r="G223" i="20"/>
  <c r="F223" i="20"/>
  <c r="E223" i="20"/>
  <c r="D223" i="20"/>
  <c r="C223" i="20"/>
  <c r="B223" i="20"/>
  <c r="A223" i="20"/>
  <c r="AA222" i="20"/>
  <c r="Z222" i="20"/>
  <c r="Y222" i="20"/>
  <c r="X222" i="20"/>
  <c r="W222" i="20"/>
  <c r="V222" i="20"/>
  <c r="U222" i="20"/>
  <c r="T222" i="20"/>
  <c r="S222" i="20"/>
  <c r="R222" i="20"/>
  <c r="Q222" i="20"/>
  <c r="P222" i="20"/>
  <c r="O222" i="20"/>
  <c r="N222" i="20"/>
  <c r="M222" i="20"/>
  <c r="L222" i="20"/>
  <c r="K222" i="20"/>
  <c r="J222" i="20"/>
  <c r="I222" i="20"/>
  <c r="H222" i="20"/>
  <c r="G222" i="20"/>
  <c r="F222" i="20"/>
  <c r="E222" i="20"/>
  <c r="D222" i="20"/>
  <c r="C222" i="20"/>
  <c r="B222" i="20"/>
  <c r="A222" i="20"/>
  <c r="AA221" i="20"/>
  <c r="Z221" i="20"/>
  <c r="Y221" i="20"/>
  <c r="X221" i="20"/>
  <c r="W221" i="20"/>
  <c r="V221" i="20"/>
  <c r="U221" i="20"/>
  <c r="T221" i="20"/>
  <c r="S221" i="20"/>
  <c r="R221" i="20"/>
  <c r="Q221" i="20"/>
  <c r="P221" i="20"/>
  <c r="O221" i="20"/>
  <c r="N221" i="20"/>
  <c r="M221" i="20"/>
  <c r="L221" i="20"/>
  <c r="K221" i="20"/>
  <c r="J221" i="20"/>
  <c r="I221" i="20"/>
  <c r="H221" i="20"/>
  <c r="G221" i="20"/>
  <c r="F221" i="20"/>
  <c r="E221" i="20"/>
  <c r="D221" i="20"/>
  <c r="C221" i="20"/>
  <c r="B221" i="20"/>
  <c r="A221" i="20"/>
  <c r="AA220" i="20"/>
  <c r="Z220" i="20"/>
  <c r="Y220" i="20"/>
  <c r="X220" i="20"/>
  <c r="W220" i="20"/>
  <c r="V220" i="20"/>
  <c r="U220" i="20"/>
  <c r="T220" i="20"/>
  <c r="S220" i="20"/>
  <c r="R220" i="20"/>
  <c r="Q220" i="20"/>
  <c r="P220" i="20"/>
  <c r="O220" i="20"/>
  <c r="N220" i="20"/>
  <c r="M220" i="20"/>
  <c r="L220" i="20"/>
  <c r="K220" i="20"/>
  <c r="J220" i="20"/>
  <c r="I220" i="20"/>
  <c r="H220" i="20"/>
  <c r="G220" i="20"/>
  <c r="F220" i="20"/>
  <c r="E220" i="20"/>
  <c r="D220" i="20"/>
  <c r="C220" i="20"/>
  <c r="B220" i="20"/>
  <c r="A220" i="20"/>
  <c r="AA218" i="20"/>
  <c r="Z218" i="20"/>
  <c r="Y218" i="20"/>
  <c r="X218" i="20"/>
  <c r="W218" i="20"/>
  <c r="V218" i="20"/>
  <c r="U218" i="20"/>
  <c r="T218" i="20"/>
  <c r="S218" i="20"/>
  <c r="R218" i="20"/>
  <c r="Q218" i="20"/>
  <c r="P218" i="20"/>
  <c r="O218" i="20"/>
  <c r="N218" i="20"/>
  <c r="M218" i="20"/>
  <c r="L218" i="20"/>
  <c r="K218" i="20"/>
  <c r="J218" i="20"/>
  <c r="I218" i="20"/>
  <c r="H218" i="20"/>
  <c r="G218" i="20"/>
  <c r="F218" i="20"/>
  <c r="E218" i="20"/>
  <c r="D218" i="20"/>
  <c r="C218" i="20"/>
  <c r="B218" i="20"/>
  <c r="A218" i="20"/>
  <c r="AA217" i="20"/>
  <c r="Z217" i="20"/>
  <c r="Y217" i="20"/>
  <c r="X217" i="20"/>
  <c r="W217" i="20"/>
  <c r="V217" i="20"/>
  <c r="U217" i="20"/>
  <c r="T217" i="20"/>
  <c r="S217" i="20"/>
  <c r="R217" i="20"/>
  <c r="Q217" i="20"/>
  <c r="P217" i="20"/>
  <c r="O217" i="20"/>
  <c r="N217" i="20"/>
  <c r="M217" i="20"/>
  <c r="L217" i="20"/>
  <c r="K217" i="20"/>
  <c r="J217" i="20"/>
  <c r="I217" i="20"/>
  <c r="H217" i="20"/>
  <c r="G217" i="20"/>
  <c r="F217" i="20"/>
  <c r="E217" i="20"/>
  <c r="D217" i="20"/>
  <c r="C217" i="20"/>
  <c r="B217" i="20"/>
  <c r="A217" i="20"/>
  <c r="AA216" i="20"/>
  <c r="Z216" i="20"/>
  <c r="Y216" i="20"/>
  <c r="X216" i="20"/>
  <c r="W216" i="20"/>
  <c r="V216" i="20"/>
  <c r="U216" i="20"/>
  <c r="T216" i="20"/>
  <c r="S216" i="20"/>
  <c r="R216" i="20"/>
  <c r="Q216" i="20"/>
  <c r="P216" i="20"/>
  <c r="O216" i="20"/>
  <c r="N216" i="20"/>
  <c r="M216" i="20"/>
  <c r="L216" i="20"/>
  <c r="K216" i="20"/>
  <c r="J216" i="20"/>
  <c r="I216" i="20"/>
  <c r="H216" i="20"/>
  <c r="G216" i="20"/>
  <c r="F216" i="20"/>
  <c r="E216" i="20"/>
  <c r="D216" i="20"/>
  <c r="C216" i="20"/>
  <c r="B216" i="20"/>
  <c r="A216" i="20"/>
  <c r="AA215" i="20"/>
  <c r="Z215" i="20"/>
  <c r="Y215" i="20"/>
  <c r="X215" i="20"/>
  <c r="W215" i="20"/>
  <c r="V215" i="20"/>
  <c r="U215" i="20"/>
  <c r="T215" i="20"/>
  <c r="S215" i="20"/>
  <c r="R215" i="20"/>
  <c r="Q215" i="20"/>
  <c r="P215" i="20"/>
  <c r="O215" i="20"/>
  <c r="N215" i="20"/>
  <c r="M215" i="20"/>
  <c r="L215" i="20"/>
  <c r="K215" i="20"/>
  <c r="J215" i="20"/>
  <c r="I215" i="20"/>
  <c r="H215" i="20"/>
  <c r="G215" i="20"/>
  <c r="F215" i="20"/>
  <c r="E215" i="20"/>
  <c r="D215" i="20"/>
  <c r="C215" i="20"/>
  <c r="B215" i="20"/>
  <c r="A215" i="20"/>
  <c r="AA214" i="20"/>
  <c r="Z214" i="20"/>
  <c r="Y214" i="20"/>
  <c r="X214" i="20"/>
  <c r="W214" i="20"/>
  <c r="V214" i="20"/>
  <c r="U214" i="20"/>
  <c r="T214" i="20"/>
  <c r="S214" i="20"/>
  <c r="R214" i="20"/>
  <c r="Q214" i="20"/>
  <c r="P214" i="20"/>
  <c r="O214" i="20"/>
  <c r="N214" i="20"/>
  <c r="M214" i="20"/>
  <c r="L214" i="20"/>
  <c r="K214" i="20"/>
  <c r="J214" i="20"/>
  <c r="I214" i="20"/>
  <c r="H214" i="20"/>
  <c r="G214" i="20"/>
  <c r="F214" i="20"/>
  <c r="E214" i="20"/>
  <c r="D214" i="20"/>
  <c r="C214" i="20"/>
  <c r="B214" i="20"/>
  <c r="A214" i="20"/>
  <c r="AA213" i="20"/>
  <c r="Z213" i="20"/>
  <c r="Y213" i="20"/>
  <c r="X213" i="20"/>
  <c r="W213" i="20"/>
  <c r="V213" i="20"/>
  <c r="U213" i="20"/>
  <c r="T213" i="20"/>
  <c r="S213" i="20"/>
  <c r="R213" i="20"/>
  <c r="Q213" i="20"/>
  <c r="P213" i="20"/>
  <c r="O213" i="20"/>
  <c r="N213" i="20"/>
  <c r="M213" i="20"/>
  <c r="L213" i="20"/>
  <c r="K213" i="20"/>
  <c r="J213" i="20"/>
  <c r="I213" i="20"/>
  <c r="H213" i="20"/>
  <c r="G213" i="20"/>
  <c r="F213" i="20"/>
  <c r="E213" i="20"/>
  <c r="D213" i="20"/>
  <c r="C213" i="20"/>
  <c r="B213" i="20"/>
  <c r="A213" i="20"/>
  <c r="AA212" i="20"/>
  <c r="Z212" i="20"/>
  <c r="Y212" i="20"/>
  <c r="X212" i="20"/>
  <c r="W212" i="20"/>
  <c r="V212" i="20"/>
  <c r="U212" i="20"/>
  <c r="T212" i="20"/>
  <c r="S212" i="20"/>
  <c r="R212" i="20"/>
  <c r="Q212" i="20"/>
  <c r="P212" i="20"/>
  <c r="O212" i="20"/>
  <c r="N212" i="20"/>
  <c r="M212" i="20"/>
  <c r="L212" i="20"/>
  <c r="K212" i="20"/>
  <c r="J212" i="20"/>
  <c r="I212" i="20"/>
  <c r="H212" i="20"/>
  <c r="G212" i="20"/>
  <c r="F212" i="20"/>
  <c r="E212" i="20"/>
  <c r="D212" i="20"/>
  <c r="C212" i="20"/>
  <c r="B212" i="20"/>
  <c r="A212" i="20"/>
  <c r="AA211" i="20"/>
  <c r="Z211" i="20"/>
  <c r="Y211" i="20"/>
  <c r="X211" i="20"/>
  <c r="W211" i="20"/>
  <c r="V211" i="20"/>
  <c r="U211" i="20"/>
  <c r="T211" i="20"/>
  <c r="S211" i="20"/>
  <c r="R211" i="20"/>
  <c r="Q211" i="20"/>
  <c r="P211" i="20"/>
  <c r="O211" i="20"/>
  <c r="N211" i="20"/>
  <c r="M211" i="20"/>
  <c r="L211" i="20"/>
  <c r="K211" i="20"/>
  <c r="J211" i="20"/>
  <c r="I211" i="20"/>
  <c r="H211" i="20"/>
  <c r="G211" i="20"/>
  <c r="F211" i="20"/>
  <c r="E211" i="20"/>
  <c r="D211" i="20"/>
  <c r="C211" i="20"/>
  <c r="B211" i="20"/>
  <c r="A211" i="20"/>
  <c r="AA210" i="20"/>
  <c r="Z210" i="20"/>
  <c r="Y210" i="20"/>
  <c r="X210" i="20"/>
  <c r="W210" i="20"/>
  <c r="V210" i="20"/>
  <c r="U210" i="20"/>
  <c r="T210" i="20"/>
  <c r="S210" i="20"/>
  <c r="R210" i="20"/>
  <c r="Q210" i="20"/>
  <c r="P210" i="20"/>
  <c r="O210" i="20"/>
  <c r="N210" i="20"/>
  <c r="M210" i="20"/>
  <c r="L210" i="20"/>
  <c r="K210" i="20"/>
  <c r="J210" i="20"/>
  <c r="I210" i="20"/>
  <c r="H210" i="20"/>
  <c r="G210" i="20"/>
  <c r="F210" i="20"/>
  <c r="E210" i="20"/>
  <c r="D210" i="20"/>
  <c r="C210" i="20"/>
  <c r="B210" i="20"/>
  <c r="A210" i="20"/>
  <c r="AA209" i="20"/>
  <c r="Z209" i="20"/>
  <c r="Y209" i="20"/>
  <c r="X209" i="20"/>
  <c r="W209" i="20"/>
  <c r="V209" i="20"/>
  <c r="U209" i="20"/>
  <c r="T209" i="20"/>
  <c r="S209" i="20"/>
  <c r="R209" i="20"/>
  <c r="Q209" i="20"/>
  <c r="P209" i="20"/>
  <c r="O209" i="20"/>
  <c r="N209" i="20"/>
  <c r="M209" i="20"/>
  <c r="L209" i="20"/>
  <c r="K209" i="20"/>
  <c r="J209" i="20"/>
  <c r="I209" i="20"/>
  <c r="H209" i="20"/>
  <c r="G209" i="20"/>
  <c r="F209" i="20"/>
  <c r="E209" i="20"/>
  <c r="D209" i="20"/>
  <c r="C209" i="20"/>
  <c r="B209" i="20"/>
  <c r="A209" i="20"/>
  <c r="AA208" i="20"/>
  <c r="Z208" i="20"/>
  <c r="Y208" i="20"/>
  <c r="X208" i="20"/>
  <c r="W208" i="20"/>
  <c r="V208" i="20"/>
  <c r="U208" i="20"/>
  <c r="T208" i="20"/>
  <c r="S208" i="20"/>
  <c r="R208" i="20"/>
  <c r="Q208" i="20"/>
  <c r="P208" i="20"/>
  <c r="O208" i="20"/>
  <c r="N208" i="20"/>
  <c r="M208" i="20"/>
  <c r="L208" i="20"/>
  <c r="K208" i="20"/>
  <c r="J208" i="20"/>
  <c r="I208" i="20"/>
  <c r="H208" i="20"/>
  <c r="G208" i="20"/>
  <c r="F208" i="20"/>
  <c r="E208" i="20"/>
  <c r="D208" i="20"/>
  <c r="C208" i="20"/>
  <c r="B208" i="20"/>
  <c r="A208" i="20"/>
  <c r="AA207" i="20"/>
  <c r="Z207" i="20"/>
  <c r="Y207" i="20"/>
  <c r="X207" i="20"/>
  <c r="W207" i="20"/>
  <c r="V207" i="20"/>
  <c r="U207" i="20"/>
  <c r="T207" i="20"/>
  <c r="S207" i="20"/>
  <c r="R207" i="20"/>
  <c r="Q207" i="20"/>
  <c r="P207" i="20"/>
  <c r="O207" i="20"/>
  <c r="N207" i="20"/>
  <c r="M207" i="20"/>
  <c r="L207" i="20"/>
  <c r="K207" i="20"/>
  <c r="J207" i="20"/>
  <c r="I207" i="20"/>
  <c r="H207" i="20"/>
  <c r="G207" i="20"/>
  <c r="F207" i="20"/>
  <c r="E207" i="20"/>
  <c r="D207" i="20"/>
  <c r="C207" i="20"/>
  <c r="B207" i="20"/>
  <c r="A207" i="20"/>
  <c r="AA206" i="20"/>
  <c r="Z206" i="20"/>
  <c r="Y206" i="20"/>
  <c r="X206" i="20"/>
  <c r="W206" i="20"/>
  <c r="V206" i="20"/>
  <c r="U206" i="20"/>
  <c r="T206" i="20"/>
  <c r="S206" i="20"/>
  <c r="R206" i="20"/>
  <c r="Q206" i="20"/>
  <c r="P206" i="20"/>
  <c r="O206" i="20"/>
  <c r="N206" i="20"/>
  <c r="M206" i="20"/>
  <c r="L206" i="20"/>
  <c r="K206" i="20"/>
  <c r="J206" i="20"/>
  <c r="I206" i="20"/>
  <c r="H206" i="20"/>
  <c r="G206" i="20"/>
  <c r="F206" i="20"/>
  <c r="E206" i="20"/>
  <c r="D206" i="20"/>
  <c r="C206" i="20"/>
  <c r="B206" i="20"/>
  <c r="A206" i="20"/>
  <c r="AA205" i="20"/>
  <c r="Z205" i="20"/>
  <c r="Y205" i="20"/>
  <c r="X205" i="20"/>
  <c r="W205" i="20"/>
  <c r="V205" i="20"/>
  <c r="U205" i="20"/>
  <c r="T205" i="20"/>
  <c r="S205" i="20"/>
  <c r="R205" i="20"/>
  <c r="Q205" i="20"/>
  <c r="P205" i="20"/>
  <c r="O205" i="20"/>
  <c r="N205" i="20"/>
  <c r="M205" i="20"/>
  <c r="L205" i="20"/>
  <c r="K205" i="20"/>
  <c r="J205" i="20"/>
  <c r="I205" i="20"/>
  <c r="H205" i="20"/>
  <c r="G205" i="20"/>
  <c r="F205" i="20"/>
  <c r="E205" i="20"/>
  <c r="D205" i="20"/>
  <c r="C205" i="20"/>
  <c r="B205" i="20"/>
  <c r="A205" i="20"/>
  <c r="AA204" i="20"/>
  <c r="Z204" i="20"/>
  <c r="Y204" i="20"/>
  <c r="X204" i="20"/>
  <c r="W204" i="20"/>
  <c r="V204" i="20"/>
  <c r="U204" i="20"/>
  <c r="T204" i="20"/>
  <c r="S204" i="20"/>
  <c r="R204" i="20"/>
  <c r="Q204" i="20"/>
  <c r="P204" i="20"/>
  <c r="O204" i="20"/>
  <c r="N204" i="20"/>
  <c r="M204" i="20"/>
  <c r="L204" i="20"/>
  <c r="K204" i="20"/>
  <c r="J204" i="20"/>
  <c r="I204" i="20"/>
  <c r="H204" i="20"/>
  <c r="G204" i="20"/>
  <c r="F204" i="20"/>
  <c r="E204" i="20"/>
  <c r="D204" i="20"/>
  <c r="C204" i="20"/>
  <c r="B204" i="20"/>
  <c r="A204" i="20"/>
  <c r="AA203" i="20"/>
  <c r="Z203" i="20"/>
  <c r="Y203" i="20"/>
  <c r="X203" i="20"/>
  <c r="W203" i="20"/>
  <c r="V203" i="20"/>
  <c r="U203" i="20"/>
  <c r="T203" i="20"/>
  <c r="S203" i="20"/>
  <c r="R203" i="20"/>
  <c r="Q203" i="20"/>
  <c r="P203" i="20"/>
  <c r="O203" i="20"/>
  <c r="N203" i="20"/>
  <c r="M203" i="20"/>
  <c r="L203" i="20"/>
  <c r="K203" i="20"/>
  <c r="J203" i="20"/>
  <c r="I203" i="20"/>
  <c r="H203" i="20"/>
  <c r="G203" i="20"/>
  <c r="F203" i="20"/>
  <c r="E203" i="20"/>
  <c r="D203" i="20"/>
  <c r="C203" i="20"/>
  <c r="B203" i="20"/>
  <c r="A203" i="20"/>
  <c r="AA202" i="20"/>
  <c r="Z202" i="20"/>
  <c r="Y202" i="20"/>
  <c r="X202" i="20"/>
  <c r="W202" i="20"/>
  <c r="V202" i="20"/>
  <c r="U202" i="20"/>
  <c r="T202" i="20"/>
  <c r="S202" i="20"/>
  <c r="R202" i="20"/>
  <c r="Q202" i="20"/>
  <c r="P202" i="20"/>
  <c r="O202" i="20"/>
  <c r="N202" i="20"/>
  <c r="M202" i="20"/>
  <c r="L202" i="20"/>
  <c r="K202" i="20"/>
  <c r="J202" i="20"/>
  <c r="I202" i="20"/>
  <c r="H202" i="20"/>
  <c r="G202" i="20"/>
  <c r="F202" i="20"/>
  <c r="E202" i="20"/>
  <c r="D202" i="20"/>
  <c r="C202" i="20"/>
  <c r="B202" i="20"/>
  <c r="A202" i="20"/>
  <c r="AS201" i="20"/>
  <c r="AR201" i="20"/>
  <c r="AQ201" i="20"/>
  <c r="AP201" i="20"/>
  <c r="AO201" i="20"/>
  <c r="AN201" i="20"/>
  <c r="AM201" i="20"/>
  <c r="AL201" i="20"/>
  <c r="AK201" i="20"/>
  <c r="AJ201" i="20"/>
  <c r="AI201" i="20"/>
  <c r="AH201" i="20"/>
  <c r="AG201" i="20"/>
  <c r="AF201" i="20"/>
  <c r="AE201" i="20"/>
  <c r="AD201" i="20"/>
  <c r="AC201" i="20"/>
  <c r="AB201" i="20"/>
  <c r="AA201" i="20"/>
  <c r="Z201" i="20"/>
  <c r="Y201" i="20"/>
  <c r="X201" i="20"/>
  <c r="W201" i="20"/>
  <c r="V201" i="20"/>
  <c r="U201" i="20"/>
  <c r="T201" i="20"/>
  <c r="S201" i="20"/>
  <c r="R201" i="20"/>
  <c r="Q201" i="20"/>
  <c r="P201" i="20"/>
  <c r="O201" i="20"/>
  <c r="N201" i="20"/>
  <c r="M201" i="20"/>
  <c r="L201" i="20"/>
  <c r="K201" i="20"/>
  <c r="J201" i="20"/>
  <c r="I201" i="20"/>
  <c r="H201" i="20"/>
  <c r="G201" i="20"/>
  <c r="F201" i="20"/>
  <c r="E201" i="20"/>
  <c r="D201" i="20"/>
  <c r="C201" i="20"/>
  <c r="B201" i="20"/>
  <c r="A201" i="20"/>
  <c r="AS30" i="20"/>
  <c r="AR30" i="20"/>
  <c r="AQ30" i="20"/>
  <c r="AP30" i="20"/>
  <c r="AO30" i="20"/>
  <c r="AN30" i="20"/>
  <c r="AM30" i="20"/>
  <c r="AL30" i="20"/>
  <c r="AK30" i="20"/>
  <c r="AJ30" i="20"/>
  <c r="AI30" i="20"/>
  <c r="AH30" i="20"/>
  <c r="AG30" i="20"/>
  <c r="AF30" i="20"/>
  <c r="AE30" i="20"/>
  <c r="AD30" i="20"/>
  <c r="AC30" i="20"/>
  <c r="AB30" i="20"/>
  <c r="AA30" i="20"/>
  <c r="Z30" i="20"/>
  <c r="Y30" i="20"/>
  <c r="X30" i="20"/>
  <c r="W30" i="20"/>
  <c r="V30" i="20"/>
  <c r="U30" i="20"/>
  <c r="T30" i="20"/>
  <c r="S30" i="20"/>
  <c r="R30" i="20"/>
  <c r="Q30" i="20"/>
  <c r="P30" i="20"/>
  <c r="O30" i="20"/>
  <c r="N30" i="20"/>
  <c r="M30" i="20"/>
  <c r="L30" i="20"/>
  <c r="K30" i="20"/>
  <c r="J30" i="20"/>
  <c r="I30" i="20"/>
  <c r="H30" i="20"/>
  <c r="G30" i="20"/>
  <c r="F30" i="20"/>
  <c r="E30" i="20"/>
  <c r="D30" i="20"/>
  <c r="C30" i="20"/>
  <c r="B30" i="20"/>
  <c r="A30" i="20"/>
  <c r="AS28" i="20"/>
  <c r="AR28" i="20"/>
  <c r="AQ28" i="20"/>
  <c r="AP28" i="20"/>
  <c r="AO28" i="20"/>
  <c r="AN28" i="20"/>
  <c r="AM28" i="20"/>
  <c r="AL28" i="20"/>
  <c r="AK28" i="20"/>
  <c r="AJ28" i="20"/>
  <c r="AI28" i="20"/>
  <c r="AH28" i="20"/>
  <c r="AG28" i="20"/>
  <c r="AF28" i="20"/>
  <c r="AE28" i="20"/>
  <c r="AD28" i="20"/>
  <c r="AC28" i="20"/>
  <c r="AB28" i="20"/>
  <c r="AA28" i="20"/>
  <c r="Z28" i="20"/>
  <c r="Y28" i="20"/>
  <c r="X28" i="20"/>
  <c r="W28" i="20"/>
  <c r="V28" i="20"/>
  <c r="U28" i="20"/>
  <c r="T28" i="20"/>
  <c r="S28" i="20"/>
  <c r="R28" i="20"/>
  <c r="Q28" i="20"/>
  <c r="P28" i="20"/>
  <c r="O28" i="20"/>
  <c r="N28" i="20"/>
  <c r="M28" i="20"/>
  <c r="L28" i="20"/>
  <c r="K28" i="20"/>
  <c r="J28" i="20"/>
  <c r="I28" i="20"/>
  <c r="H28" i="20"/>
  <c r="G28" i="20"/>
  <c r="F28" i="20"/>
  <c r="E28" i="20"/>
  <c r="D28" i="20"/>
  <c r="C28" i="20"/>
  <c r="B28" i="20"/>
  <c r="A28" i="20"/>
  <c r="AS27" i="20"/>
  <c r="AR27" i="20"/>
  <c r="AQ27" i="20"/>
  <c r="AP27" i="20"/>
  <c r="AO27" i="20"/>
  <c r="AN27" i="20"/>
  <c r="AM27" i="20"/>
  <c r="AL27" i="20"/>
  <c r="AK27" i="20"/>
  <c r="AJ27" i="20"/>
  <c r="AI27" i="20"/>
  <c r="AH27" i="20"/>
  <c r="AG27" i="20"/>
  <c r="AF27" i="20"/>
  <c r="AE27" i="20"/>
  <c r="AD27" i="20"/>
  <c r="AC27" i="20"/>
  <c r="AB27" i="20"/>
  <c r="AA27" i="20"/>
  <c r="Z27" i="20"/>
  <c r="Y27" i="20"/>
  <c r="X27" i="20"/>
  <c r="W27" i="20"/>
  <c r="V27" i="20"/>
  <c r="U27" i="20"/>
  <c r="T27" i="20"/>
  <c r="S27" i="20"/>
  <c r="R27" i="20"/>
  <c r="Q27" i="20"/>
  <c r="P27" i="20"/>
  <c r="O27" i="20"/>
  <c r="N27" i="20"/>
  <c r="M27" i="20"/>
  <c r="L27" i="20"/>
  <c r="K27" i="20"/>
  <c r="J27" i="20"/>
  <c r="I27" i="20"/>
  <c r="H27" i="20"/>
  <c r="G27" i="20"/>
  <c r="F27" i="20"/>
  <c r="E27" i="20"/>
  <c r="D27" i="20"/>
  <c r="C27" i="20"/>
  <c r="B27" i="20"/>
  <c r="A27" i="20"/>
  <c r="AA24" i="20"/>
  <c r="Z24" i="20"/>
  <c r="Y24" i="20"/>
  <c r="X24" i="20"/>
  <c r="W24" i="20"/>
  <c r="V24" i="20"/>
  <c r="U24" i="20"/>
  <c r="T24" i="20"/>
  <c r="S24" i="20"/>
  <c r="R24" i="20"/>
  <c r="Q24" i="20"/>
  <c r="P24" i="20"/>
  <c r="O24" i="20"/>
  <c r="N24" i="20"/>
  <c r="M24" i="20"/>
  <c r="L24" i="20"/>
  <c r="K24" i="20"/>
  <c r="J24" i="20"/>
  <c r="I24" i="20"/>
  <c r="H24" i="20"/>
  <c r="G24" i="20"/>
  <c r="F24" i="20"/>
  <c r="E24" i="20"/>
  <c r="D24" i="20"/>
  <c r="C24" i="20"/>
  <c r="B24" i="20"/>
  <c r="A24" i="20"/>
  <c r="AS23" i="20"/>
  <c r="AR23" i="20"/>
  <c r="AQ23" i="20"/>
  <c r="AP23" i="20"/>
  <c r="AO23" i="20"/>
  <c r="AN23" i="20"/>
  <c r="AM23" i="20"/>
  <c r="AL23" i="20"/>
  <c r="AK23" i="20"/>
  <c r="AJ23" i="20"/>
  <c r="AI23" i="20"/>
  <c r="AH23" i="20"/>
  <c r="AG23" i="20"/>
  <c r="AF23" i="20"/>
  <c r="AE23" i="20"/>
  <c r="AD23" i="20"/>
  <c r="AC23" i="20"/>
  <c r="AB23" i="20"/>
  <c r="AA23" i="20"/>
  <c r="Z23" i="20"/>
  <c r="Y23" i="20"/>
  <c r="X23" i="20"/>
  <c r="W23" i="20"/>
  <c r="V23" i="20"/>
  <c r="U23" i="20"/>
  <c r="T23" i="20"/>
  <c r="S23" i="20"/>
  <c r="R23" i="20"/>
  <c r="Q23" i="20"/>
  <c r="P23" i="20"/>
  <c r="O23" i="20"/>
  <c r="N23" i="20"/>
  <c r="M23" i="20"/>
  <c r="L23" i="20"/>
  <c r="K23" i="20"/>
  <c r="J23" i="20"/>
  <c r="I23" i="20"/>
  <c r="H23" i="20"/>
  <c r="G23" i="20"/>
  <c r="F23" i="20"/>
  <c r="E23" i="20"/>
  <c r="D23" i="20"/>
  <c r="C23" i="20"/>
  <c r="B23" i="20"/>
  <c r="A23" i="20"/>
  <c r="AS22" i="20"/>
  <c r="AR22" i="20"/>
  <c r="AQ22" i="20"/>
  <c r="AP22" i="20"/>
  <c r="AO22" i="20"/>
  <c r="AN22" i="20"/>
  <c r="AM22" i="20"/>
  <c r="AL22" i="20"/>
  <c r="AK22" i="20"/>
  <c r="AJ22" i="20"/>
  <c r="AI22" i="20"/>
  <c r="AH22" i="20"/>
  <c r="AG22" i="20"/>
  <c r="AF22" i="20"/>
  <c r="AE22" i="20"/>
  <c r="AD22" i="20"/>
  <c r="AC22" i="20"/>
  <c r="AB22" i="20"/>
  <c r="AA22" i="20"/>
  <c r="Z22" i="20"/>
  <c r="Y22" i="20"/>
  <c r="X22" i="20"/>
  <c r="W22" i="20"/>
  <c r="V22" i="20"/>
  <c r="U22" i="20"/>
  <c r="T22" i="20"/>
  <c r="S22" i="20"/>
  <c r="R22" i="20"/>
  <c r="Q22" i="20"/>
  <c r="P22" i="20"/>
  <c r="O22" i="20"/>
  <c r="N22" i="20"/>
  <c r="M22" i="20"/>
  <c r="L22" i="20"/>
  <c r="K22" i="20"/>
  <c r="J22" i="20"/>
  <c r="I22" i="20"/>
  <c r="H22" i="20"/>
  <c r="G22" i="20"/>
  <c r="F22" i="20"/>
  <c r="E22" i="20"/>
  <c r="D22" i="20"/>
  <c r="C22" i="20"/>
  <c r="B22" i="20"/>
  <c r="A22" i="20"/>
  <c r="Z21" i="20"/>
  <c r="Y21" i="20"/>
  <c r="X21" i="20"/>
  <c r="W21" i="20"/>
  <c r="V21" i="20"/>
  <c r="U21" i="20"/>
  <c r="T21" i="20"/>
  <c r="S21" i="20"/>
  <c r="R21" i="20"/>
  <c r="Q21" i="20"/>
  <c r="P21" i="20"/>
  <c r="O21" i="20"/>
  <c r="N21" i="20"/>
  <c r="M21" i="20"/>
  <c r="L21" i="20"/>
  <c r="K21" i="20"/>
  <c r="J21" i="20"/>
  <c r="I21" i="20"/>
  <c r="H21" i="20"/>
  <c r="G21" i="20"/>
  <c r="F21" i="20"/>
  <c r="E21" i="20"/>
  <c r="D21" i="20"/>
  <c r="C21" i="20"/>
  <c r="B21" i="20"/>
  <c r="A21" i="20"/>
  <c r="AA20" i="20"/>
  <c r="Z20" i="20"/>
  <c r="Y20" i="20"/>
  <c r="X20" i="20"/>
  <c r="W20" i="20"/>
  <c r="V20" i="20"/>
  <c r="U20" i="20"/>
  <c r="T20" i="20"/>
  <c r="S20" i="20"/>
  <c r="R20" i="20"/>
  <c r="Q20" i="20"/>
  <c r="P20" i="20"/>
  <c r="O20" i="20"/>
  <c r="N20" i="20"/>
  <c r="M20" i="20"/>
  <c r="L20" i="20"/>
  <c r="K20" i="20"/>
  <c r="J20" i="20"/>
  <c r="I20" i="20"/>
  <c r="H20" i="20"/>
  <c r="G20" i="20"/>
  <c r="F20" i="20"/>
  <c r="E20" i="20"/>
  <c r="D20" i="20"/>
  <c r="C20" i="20"/>
  <c r="B20" i="20"/>
  <c r="A20" i="20"/>
  <c r="AS18" i="20"/>
  <c r="AR18" i="20"/>
  <c r="AQ18" i="20"/>
  <c r="AP18" i="20"/>
  <c r="AO18" i="20"/>
  <c r="AN18" i="20"/>
  <c r="AM18" i="20"/>
  <c r="AL18" i="20"/>
  <c r="AK18" i="20"/>
  <c r="AJ18" i="20"/>
  <c r="AI18" i="20"/>
  <c r="AH18" i="20"/>
  <c r="AG18" i="20"/>
  <c r="AF18" i="20"/>
  <c r="AE18" i="20"/>
  <c r="AD18" i="20"/>
  <c r="AC18" i="20"/>
  <c r="AB18" i="20"/>
  <c r="AA18" i="20"/>
  <c r="Z18" i="20"/>
  <c r="Y18" i="20"/>
  <c r="X18" i="20"/>
  <c r="W18" i="20"/>
  <c r="V18" i="20"/>
  <c r="U18" i="20"/>
  <c r="T18" i="20"/>
  <c r="S18" i="20"/>
  <c r="R18" i="20"/>
  <c r="Q18" i="20"/>
  <c r="P18" i="20"/>
  <c r="O18" i="20"/>
  <c r="N18" i="20"/>
  <c r="M18" i="20"/>
  <c r="L18" i="20"/>
  <c r="K18" i="20"/>
  <c r="J18" i="20"/>
  <c r="I18" i="20"/>
  <c r="H18" i="20"/>
  <c r="G18" i="20"/>
  <c r="F18" i="20"/>
  <c r="E18" i="20"/>
  <c r="D18" i="20"/>
  <c r="C18" i="20"/>
  <c r="B18" i="20"/>
  <c r="A18" i="20"/>
  <c r="AS17" i="20"/>
  <c r="AR17" i="20"/>
  <c r="AQ17" i="20"/>
  <c r="AP17" i="20"/>
  <c r="AO17" i="20"/>
  <c r="AN17" i="20"/>
  <c r="AM17" i="20"/>
  <c r="AL17" i="20"/>
  <c r="AK17" i="20"/>
  <c r="AJ17" i="20"/>
  <c r="AI17" i="20"/>
  <c r="AH17" i="20"/>
  <c r="AG17" i="20"/>
  <c r="AF17" i="20"/>
  <c r="AE17" i="20"/>
  <c r="AD17" i="20"/>
  <c r="AC17" i="20"/>
  <c r="AB17" i="20"/>
  <c r="AA17" i="20"/>
  <c r="Z17" i="20"/>
  <c r="Y17" i="20"/>
  <c r="X17" i="20"/>
  <c r="W17" i="20"/>
  <c r="V17" i="20"/>
  <c r="U17" i="20"/>
  <c r="T17" i="20"/>
  <c r="S17" i="20"/>
  <c r="R17" i="20"/>
  <c r="Q17" i="20"/>
  <c r="P17" i="20"/>
  <c r="O17" i="20"/>
  <c r="N17" i="20"/>
  <c r="M17" i="20"/>
  <c r="L17" i="20"/>
  <c r="K17" i="20"/>
  <c r="J17" i="20"/>
  <c r="I17" i="20"/>
  <c r="H17" i="20"/>
  <c r="G17" i="20"/>
  <c r="F17" i="20"/>
  <c r="E17" i="20"/>
  <c r="D17" i="20"/>
  <c r="C17" i="20"/>
  <c r="B17" i="20"/>
  <c r="A17" i="20"/>
  <c r="AA16" i="20"/>
  <c r="Z16" i="20"/>
  <c r="Y16" i="20"/>
  <c r="X16" i="20"/>
  <c r="W16" i="20"/>
  <c r="V16" i="20"/>
  <c r="U16" i="20"/>
  <c r="T16" i="20"/>
  <c r="S16" i="20"/>
  <c r="R16" i="20"/>
  <c r="Q16" i="20"/>
  <c r="P16" i="20"/>
  <c r="O16" i="20"/>
  <c r="N16" i="20"/>
  <c r="M16" i="20"/>
  <c r="L16" i="20"/>
  <c r="K16" i="20"/>
  <c r="J16" i="20"/>
  <c r="I16" i="20"/>
  <c r="H16" i="20"/>
  <c r="G16" i="20"/>
  <c r="F16" i="20"/>
  <c r="E16" i="20"/>
  <c r="D16" i="20"/>
  <c r="C16" i="20"/>
  <c r="B16" i="20"/>
  <c r="A16" i="20"/>
  <c r="AA15" i="20"/>
  <c r="Z15" i="20"/>
  <c r="Y15" i="20"/>
  <c r="X15" i="20"/>
  <c r="W15" i="20"/>
  <c r="V15" i="20"/>
  <c r="U15" i="20"/>
  <c r="T15" i="20"/>
  <c r="S15" i="20"/>
  <c r="R15" i="20"/>
  <c r="Q15" i="20"/>
  <c r="P15" i="20"/>
  <c r="O15" i="20"/>
  <c r="N15" i="20"/>
  <c r="M15" i="20"/>
  <c r="L15" i="20"/>
  <c r="K15" i="20"/>
  <c r="J15" i="20"/>
  <c r="I15" i="20"/>
  <c r="H15" i="20"/>
  <c r="G15" i="20"/>
  <c r="F15" i="20"/>
  <c r="E15" i="20"/>
  <c r="D15" i="20"/>
  <c r="C15" i="20"/>
  <c r="B15" i="20"/>
  <c r="A15" i="20"/>
  <c r="AS13" i="20"/>
  <c r="AR13" i="20"/>
  <c r="AQ13" i="20"/>
  <c r="AP13" i="20"/>
  <c r="AO13" i="20"/>
  <c r="AN13" i="20"/>
  <c r="AM13" i="20"/>
  <c r="AL13" i="20"/>
  <c r="AK13" i="20"/>
  <c r="AJ13" i="20"/>
  <c r="AI13" i="20"/>
  <c r="AH13" i="20"/>
  <c r="AG13" i="20"/>
  <c r="AF13" i="20"/>
  <c r="AE13" i="20"/>
  <c r="AD13" i="20"/>
  <c r="AC13" i="20"/>
  <c r="AB13" i="20"/>
  <c r="AA13" i="20"/>
  <c r="Z13" i="20"/>
  <c r="Y13" i="20"/>
  <c r="X13" i="20"/>
  <c r="W13" i="20"/>
  <c r="V13" i="20"/>
  <c r="U13" i="20"/>
  <c r="T13" i="20"/>
  <c r="S13" i="20"/>
  <c r="R13" i="20"/>
  <c r="Q13" i="20"/>
  <c r="P13" i="20"/>
  <c r="O13" i="20"/>
  <c r="N13" i="20"/>
  <c r="M13" i="20"/>
  <c r="L13" i="20"/>
  <c r="K13" i="20"/>
  <c r="J13" i="20"/>
  <c r="I13" i="20"/>
  <c r="H13" i="20"/>
  <c r="G13" i="20"/>
  <c r="F13" i="20"/>
  <c r="E13" i="20"/>
  <c r="D13" i="20"/>
  <c r="C13" i="20"/>
  <c r="B13" i="20"/>
  <c r="A13" i="20"/>
  <c r="AS12" i="20"/>
  <c r="AR12" i="20"/>
  <c r="AQ12" i="20"/>
  <c r="AP12" i="20"/>
  <c r="AO12" i="20"/>
  <c r="AN12" i="20"/>
  <c r="AM12" i="20"/>
  <c r="AL12" i="20"/>
  <c r="AK12" i="20"/>
  <c r="AJ12" i="20"/>
  <c r="AI12" i="20"/>
  <c r="AH12" i="20"/>
  <c r="AG12" i="20"/>
  <c r="AF12" i="20"/>
  <c r="AE12" i="20"/>
  <c r="AD12" i="20"/>
  <c r="AC12" i="20"/>
  <c r="AB12" i="20"/>
  <c r="AA12" i="20"/>
  <c r="Z12" i="20"/>
  <c r="Y12" i="20"/>
  <c r="X12" i="20"/>
  <c r="W12" i="20"/>
  <c r="V12" i="20"/>
  <c r="U12" i="20"/>
  <c r="T12" i="20"/>
  <c r="S12" i="20"/>
  <c r="R12" i="20"/>
  <c r="Q12" i="20"/>
  <c r="P12" i="20"/>
  <c r="O12" i="20"/>
  <c r="N12" i="20"/>
  <c r="M12" i="20"/>
  <c r="L12" i="20"/>
  <c r="K12" i="20"/>
  <c r="J12" i="20"/>
  <c r="I12" i="20"/>
  <c r="H12" i="20"/>
  <c r="G12" i="20"/>
  <c r="F12" i="20"/>
  <c r="E12" i="20"/>
  <c r="D12" i="20"/>
  <c r="C12" i="20"/>
  <c r="B12" i="20"/>
  <c r="A12" i="20"/>
  <c r="AA11" i="20"/>
  <c r="Z11" i="20"/>
  <c r="Y11" i="20"/>
  <c r="X11" i="20"/>
  <c r="W11" i="20"/>
  <c r="V11" i="20"/>
  <c r="U11" i="20"/>
  <c r="T11" i="20"/>
  <c r="S11" i="20"/>
  <c r="R11" i="20"/>
  <c r="Q11" i="20"/>
  <c r="P11" i="20"/>
  <c r="O11" i="20"/>
  <c r="N11" i="20"/>
  <c r="M11" i="20"/>
  <c r="L11" i="20"/>
  <c r="K11" i="20"/>
  <c r="J11" i="20"/>
  <c r="I11" i="20"/>
  <c r="H11" i="20"/>
  <c r="G11" i="20"/>
  <c r="F11" i="20"/>
  <c r="E11" i="20"/>
  <c r="D11" i="20"/>
  <c r="C11" i="20"/>
  <c r="B11" i="20"/>
  <c r="A11" i="20"/>
  <c r="AA10" i="20"/>
  <c r="Z10" i="20"/>
  <c r="Y10" i="20"/>
  <c r="X10" i="20"/>
  <c r="W10" i="20"/>
  <c r="V10" i="20"/>
  <c r="U10" i="20"/>
  <c r="T10" i="20"/>
  <c r="S10" i="20"/>
  <c r="R10" i="20"/>
  <c r="Q10" i="20"/>
  <c r="P10" i="20"/>
  <c r="O10" i="20"/>
  <c r="N10" i="20"/>
  <c r="M10" i="20"/>
  <c r="L10" i="20"/>
  <c r="K10" i="20"/>
  <c r="J10" i="20"/>
  <c r="I10" i="20"/>
  <c r="H10" i="20"/>
  <c r="G10" i="20"/>
  <c r="F10" i="20"/>
  <c r="E10" i="20"/>
  <c r="D10" i="20"/>
  <c r="C10" i="20"/>
  <c r="B10" i="20"/>
  <c r="A10" i="20"/>
  <c r="AS8" i="20"/>
  <c r="AR8" i="20"/>
  <c r="AQ8" i="20"/>
  <c r="AP8" i="20"/>
  <c r="AO8" i="20"/>
  <c r="AN8" i="20"/>
  <c r="AM8" i="20"/>
  <c r="AL8" i="20"/>
  <c r="AK8" i="20"/>
  <c r="AJ8" i="20"/>
  <c r="AB8" i="20"/>
  <c r="AA8" i="20"/>
  <c r="Z8" i="20"/>
  <c r="Y8" i="20"/>
  <c r="X8" i="20"/>
  <c r="W8" i="20"/>
  <c r="V8" i="20"/>
  <c r="U8" i="20"/>
  <c r="T8" i="20"/>
  <c r="S8" i="20"/>
  <c r="R8" i="20"/>
  <c r="Q8" i="20"/>
  <c r="P8" i="20"/>
  <c r="O8" i="20"/>
  <c r="N8" i="20"/>
  <c r="M8" i="20"/>
  <c r="L8" i="20"/>
  <c r="K8" i="20"/>
  <c r="J8" i="20"/>
  <c r="I8" i="20"/>
  <c r="H8" i="20"/>
  <c r="G8" i="20"/>
  <c r="F8" i="20"/>
  <c r="E8" i="20"/>
  <c r="D8" i="20"/>
  <c r="C8" i="20"/>
  <c r="B8" i="20"/>
  <c r="A8" i="20"/>
  <c r="AS4" i="20"/>
  <c r="AR4" i="20"/>
  <c r="AQ4" i="20"/>
  <c r="AP4" i="20"/>
  <c r="AO4" i="20"/>
  <c r="AN4" i="20"/>
  <c r="AM4" i="20"/>
  <c r="AL4" i="20"/>
  <c r="AK4" i="20"/>
  <c r="AJ4" i="20"/>
  <c r="AI4" i="20"/>
  <c r="AH4" i="20"/>
  <c r="AG4" i="20"/>
  <c r="AF4" i="20"/>
  <c r="AE4" i="20"/>
  <c r="AD4" i="20"/>
  <c r="AC4" i="20"/>
  <c r="AB4" i="20"/>
  <c r="AA2" i="20"/>
  <c r="AA4" i="20"/>
  <c r="Z2" i="20"/>
  <c r="Z4" i="20"/>
  <c r="Y2" i="20"/>
  <c r="Y4" i="20"/>
  <c r="X2" i="20"/>
  <c r="X4" i="20"/>
  <c r="W2" i="20"/>
  <c r="W4" i="20"/>
  <c r="V2" i="20"/>
  <c r="V4" i="20"/>
  <c r="U2" i="20"/>
  <c r="U4" i="20"/>
  <c r="T2" i="20"/>
  <c r="T4" i="20"/>
  <c r="S2" i="20"/>
  <c r="S4" i="20"/>
  <c r="R2" i="20"/>
  <c r="R4" i="20"/>
  <c r="Q2" i="20"/>
  <c r="Q4" i="20"/>
  <c r="P2" i="20"/>
  <c r="P4" i="20"/>
  <c r="O2" i="20"/>
  <c r="O4" i="20"/>
  <c r="N2" i="20"/>
  <c r="N4" i="20"/>
  <c r="M2" i="20"/>
  <c r="M4" i="20"/>
  <c r="L2" i="20"/>
  <c r="L4" i="20"/>
  <c r="K2" i="20"/>
  <c r="K4" i="20"/>
  <c r="J2" i="20"/>
  <c r="J4" i="20"/>
  <c r="I2" i="20"/>
  <c r="I4" i="20"/>
  <c r="H2" i="20"/>
  <c r="H4" i="20"/>
  <c r="G2" i="20"/>
  <c r="G4" i="20"/>
  <c r="F2" i="20"/>
  <c r="F4" i="20"/>
  <c r="E2" i="20"/>
  <c r="E4" i="20"/>
  <c r="D2" i="20"/>
  <c r="D4" i="20"/>
  <c r="C2" i="20"/>
  <c r="C4" i="20"/>
  <c r="B2" i="20"/>
  <c r="B4" i="20"/>
  <c r="H22" i="19"/>
  <c r="H13" i="19"/>
  <c r="J23" i="19"/>
  <c r="K23" i="19"/>
  <c r="G19" i="19"/>
  <c r="G13" i="19"/>
  <c r="N10" i="19"/>
  <c r="J91" i="19"/>
  <c r="K91" i="19"/>
  <c r="H24" i="19"/>
  <c r="H27" i="19" s="1"/>
  <c r="H29" i="19" s="1"/>
  <c r="K18" i="19"/>
  <c r="Q19" i="19"/>
  <c r="G33" i="19"/>
  <c r="Q16" i="19"/>
  <c r="L16" i="19"/>
  <c r="H33" i="19"/>
  <c r="J31" i="19"/>
  <c r="K31" i="19"/>
  <c r="V121" i="1"/>
  <c r="V122" i="1"/>
  <c r="V123" i="1"/>
  <c r="V124" i="1"/>
  <c r="Y108" i="1"/>
  <c r="Y109" i="1"/>
  <c r="U108" i="1"/>
  <c r="U109" i="1"/>
  <c r="Q100" i="1"/>
  <c r="Q108" i="1"/>
  <c r="Q109" i="1"/>
  <c r="T78" i="19"/>
  <c r="P73" i="19"/>
  <c r="V69" i="19"/>
  <c r="V67" i="19"/>
  <c r="R65" i="19"/>
  <c r="R64" i="19"/>
  <c r="R63" i="19"/>
  <c r="O62" i="19"/>
  <c r="Q61" i="19"/>
  <c r="Q87" i="1"/>
  <c r="O57" i="19"/>
  <c r="O52" i="19"/>
  <c r="O47" i="19"/>
  <c r="S57" i="19"/>
  <c r="R56" i="19"/>
  <c r="T55" i="19"/>
  <c r="U52" i="19"/>
  <c r="P52" i="19"/>
  <c r="T50" i="19"/>
  <c r="U49" i="19"/>
  <c r="P49" i="19"/>
  <c r="U47" i="19"/>
  <c r="P47" i="19"/>
  <c r="S46" i="19"/>
  <c r="V45" i="19"/>
  <c r="R45" i="19"/>
  <c r="R9" i="19"/>
  <c r="P34" i="19"/>
  <c r="L34" i="19"/>
  <c r="S33" i="19"/>
  <c r="O33" i="19"/>
  <c r="V32" i="19"/>
  <c r="R32" i="19"/>
  <c r="N32" i="19"/>
  <c r="U31" i="19"/>
  <c r="Q31" i="19"/>
  <c r="M31" i="19"/>
  <c r="T30" i="19"/>
  <c r="P30" i="19"/>
  <c r="L30" i="19"/>
  <c r="S28" i="19"/>
  <c r="O28" i="19"/>
  <c r="Q27" i="19"/>
  <c r="M27" i="19"/>
  <c r="O26" i="19"/>
  <c r="Q24" i="19"/>
  <c r="M24" i="19"/>
  <c r="P14" i="19"/>
  <c r="L14" i="19"/>
  <c r="B73" i="18"/>
  <c r="C73" i="18"/>
  <c r="D73" i="18"/>
  <c r="E73" i="18"/>
  <c r="F73" i="18"/>
  <c r="G73" i="18"/>
  <c r="H73" i="18"/>
  <c r="I73" i="18"/>
  <c r="J73" i="18"/>
  <c r="K73" i="18"/>
  <c r="L73" i="18"/>
  <c r="M73" i="18"/>
  <c r="N73" i="18"/>
  <c r="O73" i="18"/>
  <c r="O72" i="18"/>
  <c r="O75" i="18"/>
  <c r="M1" i="18"/>
  <c r="M72" i="18"/>
  <c r="N72" i="18"/>
  <c r="M75" i="18"/>
  <c r="N75" i="18"/>
  <c r="I1" i="18"/>
  <c r="J1" i="18"/>
  <c r="L1" i="18"/>
  <c r="I72" i="18"/>
  <c r="J72" i="18"/>
  <c r="K72" i="18"/>
  <c r="L72" i="18"/>
  <c r="I75" i="18"/>
  <c r="J75" i="18"/>
  <c r="K75" i="18"/>
  <c r="L75" i="18"/>
  <c r="D1" i="18"/>
  <c r="C72" i="18"/>
  <c r="D72" i="18"/>
  <c r="E72" i="18"/>
  <c r="F72" i="18"/>
  <c r="G72" i="18"/>
  <c r="H72" i="18"/>
  <c r="C75" i="18"/>
  <c r="D75" i="18"/>
  <c r="E75" i="18"/>
  <c r="F75" i="18"/>
  <c r="G75" i="18"/>
  <c r="H75" i="18"/>
  <c r="B72" i="18"/>
  <c r="B75" i="18"/>
  <c r="C66" i="5"/>
  <c r="C65" i="5"/>
  <c r="C64" i="5"/>
  <c r="X384" i="1"/>
  <c r="V597" i="1"/>
  <c r="AA154" i="1"/>
  <c r="N180" i="1"/>
  <c r="N181" i="1"/>
  <c r="Q184" i="1"/>
  <c r="R184" i="1"/>
  <c r="S184" i="1"/>
  <c r="T184" i="1"/>
  <c r="U184" i="1"/>
  <c r="V184" i="1"/>
  <c r="W184" i="1"/>
  <c r="X184" i="1"/>
  <c r="Z184" i="1"/>
  <c r="AA184" i="1"/>
  <c r="E338" i="11"/>
  <c r="E339" i="11"/>
  <c r="E340" i="11"/>
  <c r="E341" i="11"/>
  <c r="E342" i="11"/>
  <c r="E343" i="11"/>
  <c r="E344" i="11"/>
  <c r="I339" i="11"/>
  <c r="I338" i="11"/>
  <c r="C345" i="11"/>
  <c r="O2" i="11"/>
  <c r="O3" i="11"/>
  <c r="O4" i="11"/>
  <c r="O5" i="11"/>
  <c r="O6" i="11"/>
  <c r="O7" i="11"/>
  <c r="O8" i="11"/>
  <c r="O9" i="11"/>
  <c r="O10" i="11"/>
  <c r="O11" i="11"/>
  <c r="O12" i="11"/>
  <c r="O13" i="11"/>
  <c r="O14" i="11"/>
  <c r="O15" i="11"/>
  <c r="O16" i="11"/>
  <c r="O17" i="11"/>
  <c r="O18" i="11"/>
  <c r="O19" i="11"/>
  <c r="O20" i="11"/>
  <c r="O21" i="11"/>
  <c r="O22" i="11"/>
  <c r="O23" i="11"/>
  <c r="O24" i="11"/>
  <c r="O25" i="11"/>
  <c r="O26" i="11"/>
  <c r="O27" i="11"/>
  <c r="O28" i="11"/>
  <c r="O29" i="11"/>
  <c r="O30" i="11"/>
  <c r="O31" i="11"/>
  <c r="O32" i="11"/>
  <c r="O33" i="11"/>
  <c r="O34" i="11"/>
  <c r="O35" i="11"/>
  <c r="Y2" i="11"/>
  <c r="S9" i="8"/>
  <c r="E2" i="11"/>
  <c r="AI2" i="11"/>
  <c r="Y3" i="11"/>
  <c r="S14" i="8"/>
  <c r="E3" i="11"/>
  <c r="AI3" i="11"/>
  <c r="Y4" i="11"/>
  <c r="S20" i="8"/>
  <c r="E4" i="11"/>
  <c r="AI4" i="11"/>
  <c r="Y5" i="11"/>
  <c r="S25" i="8"/>
  <c r="E5" i="11"/>
  <c r="AI5" i="11"/>
  <c r="Y6" i="11"/>
  <c r="S119" i="8"/>
  <c r="S112" i="8"/>
  <c r="E6" i="11"/>
  <c r="AI6" i="11"/>
  <c r="Y7" i="11"/>
  <c r="S30" i="8"/>
  <c r="E7" i="11"/>
  <c r="AI7" i="11"/>
  <c r="Y8" i="11"/>
  <c r="S36" i="8"/>
  <c r="E8" i="11"/>
  <c r="AI8" i="11"/>
  <c r="Y9" i="11"/>
  <c r="S57" i="8"/>
  <c r="E9" i="11"/>
  <c r="AI9" i="11"/>
  <c r="Y10" i="11"/>
  <c r="S76" i="8"/>
  <c r="E10" i="11"/>
  <c r="AI10" i="11"/>
  <c r="Y11" i="11"/>
  <c r="S77" i="8"/>
  <c r="E11" i="11"/>
  <c r="AI11" i="11"/>
  <c r="Y12" i="11"/>
  <c r="S84" i="8"/>
  <c r="E12" i="11"/>
  <c r="AI12" i="11"/>
  <c r="Y13" i="11"/>
  <c r="S88" i="8"/>
  <c r="E13" i="11"/>
  <c r="AI13" i="11"/>
  <c r="Y14" i="11"/>
  <c r="S105" i="8"/>
  <c r="S103" i="8"/>
  <c r="E14" i="11"/>
  <c r="AI14" i="11"/>
  <c r="Y15" i="11"/>
  <c r="S106" i="8"/>
  <c r="E15" i="11"/>
  <c r="AI15" i="11"/>
  <c r="Y16" i="11"/>
  <c r="S109" i="8"/>
  <c r="E16" i="11"/>
  <c r="AI16" i="11"/>
  <c r="Y17" i="11"/>
  <c r="S113" i="8"/>
  <c r="E17" i="11"/>
  <c r="AI17" i="11"/>
  <c r="Y18" i="11"/>
  <c r="S115" i="8"/>
  <c r="E18" i="11"/>
  <c r="AI18" i="11"/>
  <c r="Y19" i="11"/>
  <c r="S121" i="8"/>
  <c r="E19" i="11"/>
  <c r="AI19" i="11"/>
  <c r="Y20" i="11"/>
  <c r="S123" i="8"/>
  <c r="E20" i="11"/>
  <c r="AI20" i="11"/>
  <c r="Y21" i="11"/>
  <c r="S130" i="8"/>
  <c r="E21" i="11"/>
  <c r="AI21" i="11"/>
  <c r="Y22" i="11"/>
  <c r="S132" i="8"/>
  <c r="E22" i="11"/>
  <c r="AI22" i="11"/>
  <c r="Y23" i="11"/>
  <c r="S135" i="8"/>
  <c r="E23" i="11"/>
  <c r="AI23" i="11"/>
  <c r="Y24" i="11"/>
  <c r="S141" i="8"/>
  <c r="E24" i="11"/>
  <c r="AI24" i="11"/>
  <c r="Y25" i="11"/>
  <c r="S143" i="8"/>
  <c r="E25" i="11"/>
  <c r="AI25" i="11"/>
  <c r="Y26" i="11"/>
  <c r="S151" i="8"/>
  <c r="E26" i="11"/>
  <c r="AI26" i="11"/>
  <c r="Y27" i="11"/>
  <c r="S154" i="8"/>
  <c r="E27" i="11"/>
  <c r="AI27" i="11"/>
  <c r="Y28" i="11"/>
  <c r="S158" i="8"/>
  <c r="E28" i="11"/>
  <c r="AI28" i="11"/>
  <c r="Y29" i="11"/>
  <c r="S168" i="8"/>
  <c r="E29" i="11"/>
  <c r="AI29" i="11"/>
  <c r="Y30" i="11"/>
  <c r="S171" i="8"/>
  <c r="E30" i="11"/>
  <c r="AI30" i="11"/>
  <c r="Y31" i="11"/>
  <c r="S172" i="8"/>
  <c r="E31" i="11"/>
  <c r="AI31" i="11"/>
  <c r="Y32" i="11"/>
  <c r="S174" i="8"/>
  <c r="E32" i="11"/>
  <c r="AI32" i="11"/>
  <c r="Y33" i="11"/>
  <c r="S179" i="8"/>
  <c r="E33" i="11"/>
  <c r="AI33" i="11"/>
  <c r="Y34" i="11"/>
  <c r="S187" i="8"/>
  <c r="E34" i="11"/>
  <c r="AI34" i="11"/>
  <c r="Y35" i="11"/>
  <c r="S189" i="8"/>
  <c r="S190" i="8"/>
  <c r="E35" i="11"/>
  <c r="AI35" i="11"/>
  <c r="AI36" i="11"/>
  <c r="P2" i="11"/>
  <c r="P3" i="11"/>
  <c r="P4" i="11"/>
  <c r="P5" i="11"/>
  <c r="P6" i="11"/>
  <c r="P7" i="11"/>
  <c r="P8" i="11"/>
  <c r="P9" i="11"/>
  <c r="P10" i="11"/>
  <c r="P11" i="11"/>
  <c r="P12" i="11"/>
  <c r="P13" i="11"/>
  <c r="P14" i="11"/>
  <c r="P15" i="11"/>
  <c r="P16" i="11"/>
  <c r="P17" i="11"/>
  <c r="P18" i="11"/>
  <c r="P19" i="11"/>
  <c r="P20" i="11"/>
  <c r="P21" i="11"/>
  <c r="P22" i="11"/>
  <c r="P23" i="11"/>
  <c r="P24" i="11"/>
  <c r="P25" i="11"/>
  <c r="P26" i="11"/>
  <c r="P27" i="11"/>
  <c r="P28" i="11"/>
  <c r="P29" i="11"/>
  <c r="P30" i="11"/>
  <c r="P31" i="11"/>
  <c r="P32" i="11"/>
  <c r="P33" i="11"/>
  <c r="P34" i="11"/>
  <c r="P35" i="11"/>
  <c r="Z2" i="11"/>
  <c r="T9" i="8"/>
  <c r="F2" i="11"/>
  <c r="AJ2" i="11"/>
  <c r="Z3" i="11"/>
  <c r="T14" i="8"/>
  <c r="F3" i="11"/>
  <c r="AJ3" i="11"/>
  <c r="Z4" i="11"/>
  <c r="T20" i="8"/>
  <c r="F4" i="11"/>
  <c r="AJ4" i="11"/>
  <c r="Z5" i="11"/>
  <c r="T25" i="8"/>
  <c r="F5" i="11"/>
  <c r="AJ5" i="11"/>
  <c r="Z6" i="11"/>
  <c r="T119" i="8"/>
  <c r="T112" i="8"/>
  <c r="F6" i="11"/>
  <c r="AJ6" i="11"/>
  <c r="Z7" i="11"/>
  <c r="T30" i="8"/>
  <c r="F7" i="11"/>
  <c r="AJ7" i="11"/>
  <c r="Z8" i="11"/>
  <c r="T36" i="8"/>
  <c r="F8" i="11"/>
  <c r="AJ8" i="11"/>
  <c r="Z9" i="11"/>
  <c r="T57" i="8"/>
  <c r="F9" i="11"/>
  <c r="AJ9" i="11"/>
  <c r="Z10" i="11"/>
  <c r="T76" i="8"/>
  <c r="F10" i="11"/>
  <c r="AJ10" i="11"/>
  <c r="Z11" i="11"/>
  <c r="T77" i="8"/>
  <c r="F11" i="11"/>
  <c r="AJ11" i="11"/>
  <c r="Z12" i="11"/>
  <c r="T84" i="8"/>
  <c r="F12" i="11"/>
  <c r="AJ12" i="11"/>
  <c r="Z13" i="11"/>
  <c r="T88" i="8"/>
  <c r="F13" i="11"/>
  <c r="AJ13" i="11"/>
  <c r="Z14" i="11"/>
  <c r="T105" i="8"/>
  <c r="T103" i="8"/>
  <c r="F14" i="11"/>
  <c r="AJ14" i="11"/>
  <c r="Z15" i="11"/>
  <c r="T106" i="8"/>
  <c r="F15" i="11"/>
  <c r="AJ15" i="11"/>
  <c r="Z16" i="11"/>
  <c r="T109" i="8"/>
  <c r="F16" i="11"/>
  <c r="AJ16" i="11"/>
  <c r="Z17" i="11"/>
  <c r="T113" i="8"/>
  <c r="F17" i="11"/>
  <c r="AJ17" i="11"/>
  <c r="Z18" i="11"/>
  <c r="T115" i="8"/>
  <c r="F18" i="11"/>
  <c r="AJ18" i="11"/>
  <c r="Z19" i="11"/>
  <c r="T121" i="8"/>
  <c r="F19" i="11"/>
  <c r="AJ19" i="11"/>
  <c r="Z20" i="11"/>
  <c r="T123" i="8"/>
  <c r="F20" i="11"/>
  <c r="AJ20" i="11"/>
  <c r="Z21" i="11"/>
  <c r="T130" i="8"/>
  <c r="F21" i="11"/>
  <c r="AJ21" i="11"/>
  <c r="Z22" i="11"/>
  <c r="T132" i="8"/>
  <c r="F22" i="11"/>
  <c r="AJ22" i="11"/>
  <c r="Z23" i="11"/>
  <c r="T135" i="8"/>
  <c r="F23" i="11"/>
  <c r="AJ23" i="11"/>
  <c r="Z24" i="11"/>
  <c r="T141" i="8"/>
  <c r="F24" i="11"/>
  <c r="AJ24" i="11"/>
  <c r="Z25" i="11"/>
  <c r="T143" i="8"/>
  <c r="F25" i="11"/>
  <c r="AJ25" i="11"/>
  <c r="Z26" i="11"/>
  <c r="T151" i="8"/>
  <c r="F26" i="11"/>
  <c r="AJ26" i="11"/>
  <c r="Z27" i="11"/>
  <c r="T154" i="8"/>
  <c r="F27" i="11"/>
  <c r="AJ27" i="11"/>
  <c r="Z28" i="11"/>
  <c r="T158" i="8"/>
  <c r="F28" i="11"/>
  <c r="AJ28" i="11"/>
  <c r="Z29" i="11"/>
  <c r="T168" i="8"/>
  <c r="F29" i="11"/>
  <c r="AJ29" i="11"/>
  <c r="Z30" i="11"/>
  <c r="T171" i="8"/>
  <c r="F30" i="11"/>
  <c r="AJ30" i="11"/>
  <c r="Z31" i="11"/>
  <c r="T172" i="8"/>
  <c r="F31" i="11"/>
  <c r="AJ31" i="11"/>
  <c r="Z32" i="11"/>
  <c r="T174" i="8"/>
  <c r="F32" i="11"/>
  <c r="AJ32" i="11"/>
  <c r="Z33" i="11"/>
  <c r="T179" i="8"/>
  <c r="F33" i="11"/>
  <c r="AJ33" i="11"/>
  <c r="Z34" i="11"/>
  <c r="T187" i="8"/>
  <c r="F34" i="11"/>
  <c r="AJ34" i="11"/>
  <c r="Z35" i="11"/>
  <c r="T189" i="8"/>
  <c r="T190" i="8"/>
  <c r="F35" i="11"/>
  <c r="AJ35" i="11"/>
  <c r="AJ36" i="11"/>
  <c r="Q2" i="11"/>
  <c r="Q3" i="11"/>
  <c r="Q4" i="11"/>
  <c r="Q5" i="11"/>
  <c r="Q6" i="11"/>
  <c r="Q7" i="11"/>
  <c r="Q8" i="11"/>
  <c r="Q9" i="11"/>
  <c r="Q10" i="11"/>
  <c r="Q11" i="11"/>
  <c r="Q12" i="11"/>
  <c r="Q13" i="11"/>
  <c r="Q14" i="11"/>
  <c r="Q15" i="11"/>
  <c r="Q16" i="11"/>
  <c r="Q17" i="11"/>
  <c r="Q18" i="11"/>
  <c r="Q19" i="11"/>
  <c r="Q20" i="11"/>
  <c r="Q21" i="11"/>
  <c r="Q22" i="11"/>
  <c r="Q23" i="11"/>
  <c r="Q24" i="11"/>
  <c r="Q25" i="11"/>
  <c r="Q26" i="11"/>
  <c r="Q27" i="11"/>
  <c r="Q28" i="11"/>
  <c r="Q29" i="11"/>
  <c r="Q30" i="11"/>
  <c r="Q31" i="11"/>
  <c r="Q32" i="11"/>
  <c r="Q33" i="11"/>
  <c r="Q34" i="11"/>
  <c r="Q35" i="11"/>
  <c r="AA2" i="11"/>
  <c r="U9" i="8"/>
  <c r="G2" i="11"/>
  <c r="AK2" i="11"/>
  <c r="AA3" i="11"/>
  <c r="U14" i="8"/>
  <c r="G3" i="11"/>
  <c r="AK3" i="11"/>
  <c r="AA4" i="11"/>
  <c r="U20" i="8"/>
  <c r="G4" i="11"/>
  <c r="AK4" i="11"/>
  <c r="AA5" i="11"/>
  <c r="U25" i="8"/>
  <c r="G5" i="11"/>
  <c r="AK5" i="11"/>
  <c r="AA6" i="11"/>
  <c r="U119" i="8"/>
  <c r="U112" i="8"/>
  <c r="G6" i="11"/>
  <c r="AK6" i="11"/>
  <c r="AA7" i="11"/>
  <c r="U30" i="8"/>
  <c r="G7" i="11"/>
  <c r="AK7" i="11"/>
  <c r="AA8" i="11"/>
  <c r="U36" i="8"/>
  <c r="G8" i="11"/>
  <c r="AK8" i="11"/>
  <c r="AA9" i="11"/>
  <c r="U57" i="8"/>
  <c r="G9" i="11"/>
  <c r="AK9" i="11"/>
  <c r="AA10" i="11"/>
  <c r="U76" i="8"/>
  <c r="G10" i="11"/>
  <c r="AK10" i="11"/>
  <c r="AA11" i="11"/>
  <c r="U77" i="8"/>
  <c r="G11" i="11"/>
  <c r="AK11" i="11"/>
  <c r="AA12" i="11"/>
  <c r="U84" i="8"/>
  <c r="G12" i="11"/>
  <c r="AK12" i="11"/>
  <c r="AA13" i="11"/>
  <c r="U88" i="8"/>
  <c r="G13" i="11"/>
  <c r="AK13" i="11"/>
  <c r="AA14" i="11"/>
  <c r="U105" i="8"/>
  <c r="U103" i="8"/>
  <c r="G14" i="11"/>
  <c r="AK14" i="11"/>
  <c r="AA15" i="11"/>
  <c r="U106" i="8"/>
  <c r="G15" i="11"/>
  <c r="AK15" i="11"/>
  <c r="AA16" i="11"/>
  <c r="U109" i="8"/>
  <c r="G16" i="11"/>
  <c r="AK16" i="11"/>
  <c r="AA17" i="11"/>
  <c r="U113" i="8"/>
  <c r="G17" i="11"/>
  <c r="AK17" i="11"/>
  <c r="AA18" i="11"/>
  <c r="U115" i="8"/>
  <c r="G18" i="11"/>
  <c r="AK18" i="11"/>
  <c r="AA19" i="11"/>
  <c r="U121" i="8"/>
  <c r="G19" i="11"/>
  <c r="AK19" i="11"/>
  <c r="AA20" i="11"/>
  <c r="U123" i="8"/>
  <c r="G20" i="11"/>
  <c r="AK20" i="11"/>
  <c r="AA21" i="11"/>
  <c r="U130" i="8"/>
  <c r="G21" i="11"/>
  <c r="AK21" i="11"/>
  <c r="AA22" i="11"/>
  <c r="U132" i="8"/>
  <c r="G22" i="11"/>
  <c r="AK22" i="11"/>
  <c r="AA23" i="11"/>
  <c r="U135" i="8"/>
  <c r="G23" i="11"/>
  <c r="AK23" i="11"/>
  <c r="AA24" i="11"/>
  <c r="U141" i="8"/>
  <c r="G24" i="11"/>
  <c r="AK24" i="11"/>
  <c r="AA25" i="11"/>
  <c r="U143" i="8"/>
  <c r="G25" i="11"/>
  <c r="AK25" i="11"/>
  <c r="AA26" i="11"/>
  <c r="U151" i="8"/>
  <c r="G26" i="11"/>
  <c r="AK26" i="11"/>
  <c r="AA27" i="11"/>
  <c r="U154" i="8"/>
  <c r="G27" i="11"/>
  <c r="AK27" i="11"/>
  <c r="AA28" i="11"/>
  <c r="U158" i="8"/>
  <c r="G28" i="11"/>
  <c r="AK28" i="11"/>
  <c r="AA29" i="11"/>
  <c r="U168" i="8"/>
  <c r="G29" i="11"/>
  <c r="AK29" i="11"/>
  <c r="AA30" i="11"/>
  <c r="U171" i="8"/>
  <c r="G30" i="11"/>
  <c r="AK30" i="11"/>
  <c r="AA31" i="11"/>
  <c r="U172" i="8"/>
  <c r="G31" i="11"/>
  <c r="AK31" i="11"/>
  <c r="AA32" i="11"/>
  <c r="U174" i="8"/>
  <c r="G32" i="11"/>
  <c r="AK32" i="11"/>
  <c r="AA33" i="11"/>
  <c r="U179" i="8"/>
  <c r="G33" i="11"/>
  <c r="AK33" i="11"/>
  <c r="AA34" i="11"/>
  <c r="U187" i="8"/>
  <c r="G34" i="11"/>
  <c r="AK34" i="11"/>
  <c r="AA35" i="11"/>
  <c r="U189" i="8"/>
  <c r="U190" i="8"/>
  <c r="G35" i="11"/>
  <c r="AK35" i="11"/>
  <c r="AK36" i="11"/>
  <c r="R2" i="11"/>
  <c r="R3" i="11"/>
  <c r="R4" i="11"/>
  <c r="R5" i="11"/>
  <c r="R6" i="11"/>
  <c r="R7" i="11"/>
  <c r="R8" i="11"/>
  <c r="R9" i="11"/>
  <c r="R10" i="11"/>
  <c r="R11" i="11"/>
  <c r="R12" i="11"/>
  <c r="R13" i="11"/>
  <c r="R14" i="11"/>
  <c r="R15" i="11"/>
  <c r="R16" i="11"/>
  <c r="R17" i="11"/>
  <c r="R18" i="11"/>
  <c r="R19" i="11"/>
  <c r="R20" i="11"/>
  <c r="R21" i="11"/>
  <c r="R22" i="11"/>
  <c r="R23" i="11"/>
  <c r="R24" i="11"/>
  <c r="R25" i="11"/>
  <c r="R26" i="11"/>
  <c r="R27" i="11"/>
  <c r="R28" i="11"/>
  <c r="R29" i="11"/>
  <c r="R30" i="11"/>
  <c r="R31" i="11"/>
  <c r="R32" i="11"/>
  <c r="R33" i="11"/>
  <c r="R34" i="11"/>
  <c r="R35" i="11"/>
  <c r="AB2" i="11"/>
  <c r="V9" i="8"/>
  <c r="H2" i="11"/>
  <c r="AL2" i="11"/>
  <c r="AB3" i="11"/>
  <c r="V14" i="8"/>
  <c r="H3" i="11"/>
  <c r="AL3" i="11"/>
  <c r="AB4" i="11"/>
  <c r="V20" i="8"/>
  <c r="H4" i="11"/>
  <c r="AL4" i="11"/>
  <c r="AB5" i="11"/>
  <c r="V25" i="8"/>
  <c r="H5" i="11"/>
  <c r="AL5" i="11"/>
  <c r="AB6" i="11"/>
  <c r="V119" i="8"/>
  <c r="V112" i="8"/>
  <c r="H6" i="11"/>
  <c r="AL6" i="11"/>
  <c r="AB7" i="11"/>
  <c r="V30" i="8"/>
  <c r="H7" i="11"/>
  <c r="AL7" i="11"/>
  <c r="AB8" i="11"/>
  <c r="V36" i="8"/>
  <c r="H8" i="11"/>
  <c r="AL8" i="11"/>
  <c r="AB9" i="11"/>
  <c r="V57" i="8"/>
  <c r="H9" i="11"/>
  <c r="AL9" i="11"/>
  <c r="AB10" i="11"/>
  <c r="V76" i="8"/>
  <c r="H10" i="11"/>
  <c r="AL10" i="11"/>
  <c r="AB11" i="11"/>
  <c r="V77" i="8"/>
  <c r="H11" i="11"/>
  <c r="AL11" i="11"/>
  <c r="AB12" i="11"/>
  <c r="V84" i="8"/>
  <c r="H12" i="11"/>
  <c r="AL12" i="11"/>
  <c r="AB13" i="11"/>
  <c r="V88" i="8"/>
  <c r="H13" i="11"/>
  <c r="AL13" i="11"/>
  <c r="AB14" i="11"/>
  <c r="V105" i="8"/>
  <c r="V103" i="8"/>
  <c r="H14" i="11"/>
  <c r="AL14" i="11"/>
  <c r="AB15" i="11"/>
  <c r="V106" i="8"/>
  <c r="H15" i="11"/>
  <c r="AL15" i="11"/>
  <c r="AB16" i="11"/>
  <c r="V109" i="8"/>
  <c r="H16" i="11"/>
  <c r="AL16" i="11"/>
  <c r="AB17" i="11"/>
  <c r="V113" i="8"/>
  <c r="H17" i="11"/>
  <c r="AL17" i="11"/>
  <c r="AB18" i="11"/>
  <c r="V115" i="8"/>
  <c r="H18" i="11"/>
  <c r="AL18" i="11"/>
  <c r="AB19" i="11"/>
  <c r="V121" i="8"/>
  <c r="H19" i="11"/>
  <c r="AL19" i="11"/>
  <c r="AB20" i="11"/>
  <c r="V123" i="8"/>
  <c r="H20" i="11"/>
  <c r="AL20" i="11"/>
  <c r="AB21" i="11"/>
  <c r="V130" i="8"/>
  <c r="H21" i="11"/>
  <c r="AL21" i="11"/>
  <c r="AB22" i="11"/>
  <c r="V132" i="8"/>
  <c r="H22" i="11"/>
  <c r="AL22" i="11"/>
  <c r="AB23" i="11"/>
  <c r="V135" i="8"/>
  <c r="H23" i="11"/>
  <c r="AL23" i="11"/>
  <c r="AB24" i="11"/>
  <c r="V141" i="8"/>
  <c r="H24" i="11"/>
  <c r="AL24" i="11"/>
  <c r="AB25" i="11"/>
  <c r="V143" i="8"/>
  <c r="H25" i="11"/>
  <c r="AL25" i="11"/>
  <c r="AB26" i="11"/>
  <c r="V151" i="8"/>
  <c r="H26" i="11"/>
  <c r="AL26" i="11"/>
  <c r="AB27" i="11"/>
  <c r="V154" i="8"/>
  <c r="H27" i="11"/>
  <c r="AL27" i="11"/>
  <c r="AB28" i="11"/>
  <c r="V158" i="8"/>
  <c r="H28" i="11"/>
  <c r="AL28" i="11"/>
  <c r="AB29" i="11"/>
  <c r="V168" i="8"/>
  <c r="H29" i="11"/>
  <c r="AL29" i="11"/>
  <c r="AB30" i="11"/>
  <c r="V171" i="8"/>
  <c r="H30" i="11"/>
  <c r="AL30" i="11"/>
  <c r="AB31" i="11"/>
  <c r="V172" i="8"/>
  <c r="H31" i="11"/>
  <c r="AL31" i="11"/>
  <c r="AB32" i="11"/>
  <c r="V174" i="8"/>
  <c r="H32" i="11"/>
  <c r="AL32" i="11"/>
  <c r="AB33" i="11"/>
  <c r="V179" i="8"/>
  <c r="H33" i="11"/>
  <c r="AL33" i="11"/>
  <c r="AB34" i="11"/>
  <c r="V187" i="8"/>
  <c r="H34" i="11"/>
  <c r="AL34" i="11"/>
  <c r="AB35" i="11"/>
  <c r="V189" i="8"/>
  <c r="V190" i="8"/>
  <c r="H35" i="11"/>
  <c r="AL35" i="11"/>
  <c r="AL36" i="11"/>
  <c r="N2" i="11"/>
  <c r="N3" i="11"/>
  <c r="N4" i="11"/>
  <c r="N5" i="11"/>
  <c r="N6" i="11"/>
  <c r="N7" i="11"/>
  <c r="N8" i="11"/>
  <c r="N9" i="11"/>
  <c r="N10" i="11"/>
  <c r="N11" i="11"/>
  <c r="N12" i="11"/>
  <c r="N13" i="11"/>
  <c r="N14" i="11"/>
  <c r="N15" i="11"/>
  <c r="N16" i="11"/>
  <c r="N17" i="11"/>
  <c r="N18" i="11"/>
  <c r="N19" i="11"/>
  <c r="N20" i="11"/>
  <c r="N21" i="11"/>
  <c r="N22" i="11"/>
  <c r="N23" i="11"/>
  <c r="N24" i="11"/>
  <c r="N25" i="11"/>
  <c r="N26" i="11"/>
  <c r="N27" i="11"/>
  <c r="N28" i="11"/>
  <c r="N29" i="11"/>
  <c r="N30" i="11"/>
  <c r="N31" i="11"/>
  <c r="N32" i="11"/>
  <c r="N33" i="11"/>
  <c r="N34" i="11"/>
  <c r="N35" i="11"/>
  <c r="X2" i="11"/>
  <c r="R9" i="8"/>
  <c r="D2" i="11"/>
  <c r="AH2" i="11"/>
  <c r="X3" i="11"/>
  <c r="R14" i="8"/>
  <c r="D3" i="11"/>
  <c r="AH3" i="11"/>
  <c r="X4" i="11"/>
  <c r="R20" i="8"/>
  <c r="D4" i="11"/>
  <c r="AH4" i="11"/>
  <c r="X5" i="11"/>
  <c r="R25" i="8"/>
  <c r="D5" i="11"/>
  <c r="AH5" i="11"/>
  <c r="X6" i="11"/>
  <c r="R119" i="8"/>
  <c r="R112" i="8"/>
  <c r="D6" i="11"/>
  <c r="AH6" i="11"/>
  <c r="X7" i="11"/>
  <c r="R30" i="8"/>
  <c r="D7" i="11"/>
  <c r="AH7" i="11"/>
  <c r="X8" i="11"/>
  <c r="R36" i="8"/>
  <c r="D8" i="11"/>
  <c r="AH8" i="11"/>
  <c r="X9" i="11"/>
  <c r="R57" i="8"/>
  <c r="D9" i="11"/>
  <c r="AH9" i="11"/>
  <c r="X10" i="11"/>
  <c r="R76" i="8"/>
  <c r="D10" i="11"/>
  <c r="AH10" i="11"/>
  <c r="X11" i="11"/>
  <c r="R77" i="8"/>
  <c r="D11" i="11"/>
  <c r="AH11" i="11"/>
  <c r="X12" i="11"/>
  <c r="R84" i="8"/>
  <c r="D12" i="11"/>
  <c r="AH12" i="11"/>
  <c r="X13" i="11"/>
  <c r="R88" i="8"/>
  <c r="D13" i="11"/>
  <c r="AH13" i="11"/>
  <c r="X14" i="11"/>
  <c r="R105" i="8"/>
  <c r="R103" i="8"/>
  <c r="D14" i="11"/>
  <c r="AH14" i="11"/>
  <c r="X15" i="11"/>
  <c r="R106" i="8"/>
  <c r="D15" i="11"/>
  <c r="AH15" i="11"/>
  <c r="X16" i="11"/>
  <c r="R109" i="8"/>
  <c r="D16" i="11"/>
  <c r="AH16" i="11"/>
  <c r="X17" i="11"/>
  <c r="R113" i="8"/>
  <c r="D17" i="11"/>
  <c r="AH17" i="11"/>
  <c r="X18" i="11"/>
  <c r="R115" i="8"/>
  <c r="D18" i="11"/>
  <c r="AH18" i="11"/>
  <c r="X19" i="11"/>
  <c r="R121" i="8"/>
  <c r="D19" i="11"/>
  <c r="AH19" i="11"/>
  <c r="X20" i="11"/>
  <c r="R123" i="8"/>
  <c r="D20" i="11"/>
  <c r="AH20" i="11"/>
  <c r="X21" i="11"/>
  <c r="R130" i="8"/>
  <c r="D21" i="11"/>
  <c r="AH21" i="11"/>
  <c r="X22" i="11"/>
  <c r="R132" i="8"/>
  <c r="D22" i="11"/>
  <c r="AH22" i="11"/>
  <c r="X23" i="11"/>
  <c r="R135" i="8"/>
  <c r="D23" i="11"/>
  <c r="AH23" i="11"/>
  <c r="X24" i="11"/>
  <c r="R141" i="8"/>
  <c r="D24" i="11"/>
  <c r="AH24" i="11"/>
  <c r="X25" i="11"/>
  <c r="R143" i="8"/>
  <c r="D25" i="11"/>
  <c r="AH25" i="11"/>
  <c r="X26" i="11"/>
  <c r="R151" i="8"/>
  <c r="D26" i="11"/>
  <c r="AH26" i="11"/>
  <c r="X27" i="11"/>
  <c r="R154" i="8"/>
  <c r="D27" i="11"/>
  <c r="AH27" i="11"/>
  <c r="X28" i="11"/>
  <c r="R158" i="8"/>
  <c r="D28" i="11"/>
  <c r="AH28" i="11"/>
  <c r="X29" i="11"/>
  <c r="R168" i="8"/>
  <c r="D29" i="11"/>
  <c r="AH29" i="11"/>
  <c r="X30" i="11"/>
  <c r="R171" i="8"/>
  <c r="D30" i="11"/>
  <c r="AH30" i="11"/>
  <c r="X31" i="11"/>
  <c r="R172" i="8"/>
  <c r="D31" i="11"/>
  <c r="AH31" i="11"/>
  <c r="X32" i="11"/>
  <c r="R174" i="8"/>
  <c r="D32" i="11"/>
  <c r="AH32" i="11"/>
  <c r="X33" i="11"/>
  <c r="R179" i="8"/>
  <c r="D33" i="11"/>
  <c r="AH33" i="11"/>
  <c r="X34" i="11"/>
  <c r="R187" i="8"/>
  <c r="D34" i="11"/>
  <c r="AH34" i="11"/>
  <c r="X35" i="11"/>
  <c r="R189" i="8"/>
  <c r="R190" i="8"/>
  <c r="D35" i="11"/>
  <c r="AH35" i="11"/>
  <c r="AH36" i="11"/>
  <c r="AB151" i="1"/>
  <c r="AC151" i="1"/>
  <c r="O597" i="1"/>
  <c r="P597" i="1"/>
  <c r="Q597" i="1"/>
  <c r="R597" i="1"/>
  <c r="S597" i="1"/>
  <c r="T597" i="1"/>
  <c r="U597" i="1"/>
  <c r="N597" i="1"/>
  <c r="N559" i="1"/>
  <c r="O559" i="1"/>
  <c r="P559" i="1"/>
  <c r="Q559" i="1"/>
  <c r="R559" i="1"/>
  <c r="S559" i="1"/>
  <c r="T559" i="1"/>
  <c r="U559" i="1"/>
  <c r="L170" i="11"/>
  <c r="L44" i="11"/>
  <c r="L45" i="11"/>
  <c r="L46" i="11"/>
  <c r="L47" i="11"/>
  <c r="L48" i="11"/>
  <c r="L49" i="11"/>
  <c r="L50" i="11"/>
  <c r="L51" i="11"/>
  <c r="L52" i="11"/>
  <c r="L53" i="11"/>
  <c r="L54" i="11"/>
  <c r="L55" i="11"/>
  <c r="L56" i="11"/>
  <c r="L57" i="11"/>
  <c r="L58" i="11"/>
  <c r="L59" i="11"/>
  <c r="L60" i="11"/>
  <c r="L61" i="11"/>
  <c r="L62" i="11"/>
  <c r="L63" i="11"/>
  <c r="L64" i="11"/>
  <c r="L65" i="11"/>
  <c r="L66" i="11"/>
  <c r="L67" i="11"/>
  <c r="L68" i="11"/>
  <c r="L69" i="11"/>
  <c r="L70" i="11"/>
  <c r="L71" i="11"/>
  <c r="L72" i="11"/>
  <c r="L73" i="11"/>
  <c r="L74" i="11"/>
  <c r="L75" i="11"/>
  <c r="L76" i="11"/>
  <c r="L77" i="11"/>
  <c r="L78" i="11"/>
  <c r="L79" i="11"/>
  <c r="L80" i="11"/>
  <c r="L81" i="11"/>
  <c r="L82" i="11"/>
  <c r="L83" i="11"/>
  <c r="L84" i="11"/>
  <c r="L85" i="11"/>
  <c r="L86" i="11"/>
  <c r="L87" i="11"/>
  <c r="L88" i="11"/>
  <c r="L89" i="11"/>
  <c r="L90" i="11"/>
  <c r="L91" i="11"/>
  <c r="L92" i="11"/>
  <c r="L93" i="11"/>
  <c r="L94" i="11"/>
  <c r="L95" i="11"/>
  <c r="L96" i="11"/>
  <c r="L97" i="11"/>
  <c r="L98" i="11"/>
  <c r="L99" i="11"/>
  <c r="L100" i="11"/>
  <c r="L101" i="11"/>
  <c r="L102" i="11"/>
  <c r="L103" i="11"/>
  <c r="L104" i="11"/>
  <c r="L105" i="11"/>
  <c r="L106" i="11"/>
  <c r="L107" i="11"/>
  <c r="L108" i="11"/>
  <c r="L109" i="11"/>
  <c r="L110" i="11"/>
  <c r="L111" i="11"/>
  <c r="L112" i="11"/>
  <c r="L113" i="11"/>
  <c r="L114" i="11"/>
  <c r="L115" i="11"/>
  <c r="L116" i="11"/>
  <c r="L117" i="11"/>
  <c r="L118" i="11"/>
  <c r="L119" i="11"/>
  <c r="L120" i="11"/>
  <c r="L121" i="11"/>
  <c r="L122" i="11"/>
  <c r="L123" i="11"/>
  <c r="L124" i="11"/>
  <c r="L125" i="11"/>
  <c r="L126" i="11"/>
  <c r="L127" i="11"/>
  <c r="L128" i="11"/>
  <c r="L129" i="11"/>
  <c r="L130" i="11"/>
  <c r="L131" i="11"/>
  <c r="L132" i="11"/>
  <c r="L133" i="11"/>
  <c r="L134" i="11"/>
  <c r="L135" i="11"/>
  <c r="L136" i="11"/>
  <c r="L137" i="11"/>
  <c r="L138" i="11"/>
  <c r="L139" i="11"/>
  <c r="L140" i="11"/>
  <c r="L141" i="11"/>
  <c r="L142" i="11"/>
  <c r="L143" i="11"/>
  <c r="L144" i="11"/>
  <c r="L149" i="11"/>
  <c r="L150" i="11"/>
  <c r="L151" i="11"/>
  <c r="L152" i="11"/>
  <c r="L153" i="11"/>
  <c r="L154" i="11"/>
  <c r="L155" i="11"/>
  <c r="L156" i="11"/>
  <c r="L157" i="11"/>
  <c r="L158" i="11"/>
  <c r="L159" i="11"/>
  <c r="L160" i="11"/>
  <c r="L161" i="11"/>
  <c r="L162" i="11"/>
  <c r="L163" i="11"/>
  <c r="L164" i="11"/>
  <c r="L169" i="11"/>
  <c r="L171" i="11"/>
  <c r="L172" i="11"/>
  <c r="L173" i="11"/>
  <c r="L174" i="11"/>
  <c r="L175" i="11"/>
  <c r="L176" i="11"/>
  <c r="L177" i="11"/>
  <c r="L178" i="11"/>
  <c r="L179" i="11"/>
  <c r="L180" i="11"/>
  <c r="L181" i="11"/>
  <c r="L182" i="11"/>
  <c r="L183" i="11"/>
  <c r="L184" i="11"/>
  <c r="L185" i="11"/>
  <c r="L186" i="11"/>
  <c r="L187" i="11"/>
  <c r="L188" i="11"/>
  <c r="V315" i="11"/>
  <c r="M170" i="11"/>
  <c r="M44" i="11"/>
  <c r="M45" i="11"/>
  <c r="M46" i="11"/>
  <c r="M47" i="11"/>
  <c r="M48" i="11"/>
  <c r="M49" i="11"/>
  <c r="M50" i="11"/>
  <c r="M51" i="11"/>
  <c r="M52" i="11"/>
  <c r="M53" i="11"/>
  <c r="M54" i="11"/>
  <c r="M55" i="11"/>
  <c r="M56" i="11"/>
  <c r="M57" i="11"/>
  <c r="M58" i="11"/>
  <c r="M59" i="11"/>
  <c r="M60" i="11"/>
  <c r="M61" i="11"/>
  <c r="M62" i="11"/>
  <c r="M63" i="11"/>
  <c r="M64" i="11"/>
  <c r="M65" i="11"/>
  <c r="M66" i="11"/>
  <c r="M67" i="11"/>
  <c r="M68" i="11"/>
  <c r="M69" i="11"/>
  <c r="M70" i="11"/>
  <c r="M71" i="11"/>
  <c r="M72" i="11"/>
  <c r="M73" i="11"/>
  <c r="M74" i="11"/>
  <c r="M75" i="11"/>
  <c r="M76" i="11"/>
  <c r="M77" i="11"/>
  <c r="M78" i="11"/>
  <c r="M79" i="11"/>
  <c r="M80" i="11"/>
  <c r="M81" i="11"/>
  <c r="M82" i="11"/>
  <c r="M83" i="11"/>
  <c r="M84" i="11"/>
  <c r="M85" i="11"/>
  <c r="M86" i="11"/>
  <c r="M87" i="11"/>
  <c r="M88" i="11"/>
  <c r="M89" i="11"/>
  <c r="M90" i="11"/>
  <c r="M91" i="11"/>
  <c r="M92" i="11"/>
  <c r="M93" i="11"/>
  <c r="M94" i="11"/>
  <c r="M95" i="11"/>
  <c r="M96" i="11"/>
  <c r="M97" i="11"/>
  <c r="M98" i="11"/>
  <c r="M99" i="11"/>
  <c r="M100" i="11"/>
  <c r="M101" i="11"/>
  <c r="M102" i="11"/>
  <c r="M103" i="11"/>
  <c r="M104" i="11"/>
  <c r="M105" i="11"/>
  <c r="M106" i="11"/>
  <c r="M107" i="11"/>
  <c r="M108" i="11"/>
  <c r="M109" i="11"/>
  <c r="M110" i="11"/>
  <c r="M111" i="11"/>
  <c r="M112" i="11"/>
  <c r="M113" i="11"/>
  <c r="M114" i="11"/>
  <c r="M115" i="11"/>
  <c r="M116" i="11"/>
  <c r="M117" i="11"/>
  <c r="M118" i="11"/>
  <c r="M119" i="11"/>
  <c r="M120" i="11"/>
  <c r="M121" i="11"/>
  <c r="M122" i="11"/>
  <c r="M123" i="11"/>
  <c r="M124" i="11"/>
  <c r="M125" i="11"/>
  <c r="M126" i="11"/>
  <c r="M127" i="11"/>
  <c r="M128" i="11"/>
  <c r="M129" i="11"/>
  <c r="M130" i="11"/>
  <c r="M131" i="11"/>
  <c r="M132" i="11"/>
  <c r="M133" i="11"/>
  <c r="M134" i="11"/>
  <c r="M135" i="11"/>
  <c r="M136" i="11"/>
  <c r="M137" i="11"/>
  <c r="M138" i="11"/>
  <c r="M139" i="11"/>
  <c r="M140" i="11"/>
  <c r="M141" i="11"/>
  <c r="M142" i="11"/>
  <c r="M143" i="11"/>
  <c r="M144" i="11"/>
  <c r="M149" i="11"/>
  <c r="M150" i="11"/>
  <c r="M151" i="11"/>
  <c r="M152" i="11"/>
  <c r="M153" i="11"/>
  <c r="M154" i="11"/>
  <c r="M155" i="11"/>
  <c r="M156" i="11"/>
  <c r="M157" i="11"/>
  <c r="M158" i="11"/>
  <c r="M159" i="11"/>
  <c r="M160" i="11"/>
  <c r="M161" i="11"/>
  <c r="M162" i="11"/>
  <c r="M163" i="11"/>
  <c r="M164" i="11"/>
  <c r="M169" i="11"/>
  <c r="M171" i="11"/>
  <c r="M172" i="11"/>
  <c r="M173" i="11"/>
  <c r="M174" i="11"/>
  <c r="M175" i="11"/>
  <c r="M176" i="11"/>
  <c r="M177" i="11"/>
  <c r="M178" i="11"/>
  <c r="M179" i="11"/>
  <c r="M180" i="11"/>
  <c r="M181" i="11"/>
  <c r="M182" i="11"/>
  <c r="M183" i="11"/>
  <c r="M184" i="11"/>
  <c r="M185" i="11"/>
  <c r="M186" i="11"/>
  <c r="M187" i="11"/>
  <c r="M188" i="11"/>
  <c r="W315" i="11"/>
  <c r="N170" i="11"/>
  <c r="N44" i="11"/>
  <c r="N45" i="11"/>
  <c r="N46" i="11"/>
  <c r="N47" i="11"/>
  <c r="N48" i="11"/>
  <c r="N49" i="11"/>
  <c r="N50" i="11"/>
  <c r="N51" i="11"/>
  <c r="N52" i="11"/>
  <c r="N53" i="11"/>
  <c r="N54" i="11"/>
  <c r="N55" i="11"/>
  <c r="N56" i="11"/>
  <c r="N57" i="11"/>
  <c r="N58" i="11"/>
  <c r="N59" i="11"/>
  <c r="N60" i="11"/>
  <c r="N61" i="11"/>
  <c r="N62" i="11"/>
  <c r="N63" i="11"/>
  <c r="N64" i="11"/>
  <c r="N65" i="11"/>
  <c r="N66" i="11"/>
  <c r="N67" i="11"/>
  <c r="N68" i="11"/>
  <c r="N69" i="11"/>
  <c r="N70" i="11"/>
  <c r="N71" i="11"/>
  <c r="N72" i="11"/>
  <c r="N73" i="11"/>
  <c r="N74" i="11"/>
  <c r="N75" i="11"/>
  <c r="N76" i="11"/>
  <c r="N77" i="11"/>
  <c r="N78" i="11"/>
  <c r="N79" i="11"/>
  <c r="N80" i="11"/>
  <c r="N81" i="11"/>
  <c r="N82" i="11"/>
  <c r="N83" i="11"/>
  <c r="N84" i="11"/>
  <c r="N85" i="11"/>
  <c r="N86" i="11"/>
  <c r="N87" i="11"/>
  <c r="N88" i="11"/>
  <c r="N89" i="11"/>
  <c r="N90" i="11"/>
  <c r="N91" i="11"/>
  <c r="N92" i="11"/>
  <c r="N93" i="11"/>
  <c r="N94" i="11"/>
  <c r="N95" i="11"/>
  <c r="N96" i="11"/>
  <c r="N97" i="11"/>
  <c r="N98" i="11"/>
  <c r="N99" i="11"/>
  <c r="N100" i="11"/>
  <c r="N101" i="11"/>
  <c r="N102" i="11"/>
  <c r="N103" i="11"/>
  <c r="N104" i="11"/>
  <c r="N105" i="11"/>
  <c r="N106" i="11"/>
  <c r="N107" i="11"/>
  <c r="N108" i="11"/>
  <c r="N109" i="11"/>
  <c r="N110" i="11"/>
  <c r="N111" i="11"/>
  <c r="N112" i="11"/>
  <c r="N113" i="11"/>
  <c r="N114" i="11"/>
  <c r="N115" i="11"/>
  <c r="N116" i="11"/>
  <c r="N117" i="11"/>
  <c r="N118" i="11"/>
  <c r="N119" i="11"/>
  <c r="N120" i="11"/>
  <c r="N121" i="11"/>
  <c r="N122" i="11"/>
  <c r="N123" i="11"/>
  <c r="N124" i="11"/>
  <c r="N125" i="11"/>
  <c r="N126" i="11"/>
  <c r="N127" i="11"/>
  <c r="N128" i="11"/>
  <c r="N129" i="11"/>
  <c r="N130" i="11"/>
  <c r="N131" i="11"/>
  <c r="N132" i="11"/>
  <c r="N133" i="11"/>
  <c r="N134" i="11"/>
  <c r="N135" i="11"/>
  <c r="N136" i="11"/>
  <c r="N137" i="11"/>
  <c r="N138" i="11"/>
  <c r="N139" i="11"/>
  <c r="N140" i="11"/>
  <c r="N141" i="11"/>
  <c r="N142" i="11"/>
  <c r="N143" i="11"/>
  <c r="N144" i="11"/>
  <c r="N149" i="11"/>
  <c r="N150" i="11"/>
  <c r="N151" i="11"/>
  <c r="N152" i="11"/>
  <c r="N153" i="11"/>
  <c r="N154" i="11"/>
  <c r="N155" i="11"/>
  <c r="N156" i="11"/>
  <c r="N157" i="11"/>
  <c r="N158" i="11"/>
  <c r="N159" i="11"/>
  <c r="N160" i="11"/>
  <c r="N161" i="11"/>
  <c r="N162" i="11"/>
  <c r="N163" i="11"/>
  <c r="N164" i="11"/>
  <c r="N169" i="11"/>
  <c r="N171" i="11"/>
  <c r="N172" i="11"/>
  <c r="N173" i="11"/>
  <c r="N174" i="11"/>
  <c r="N175" i="11"/>
  <c r="N176" i="11"/>
  <c r="N177" i="11"/>
  <c r="N178" i="11"/>
  <c r="N179" i="11"/>
  <c r="N180" i="11"/>
  <c r="N181" i="11"/>
  <c r="N182" i="11"/>
  <c r="N183" i="11"/>
  <c r="N184" i="11"/>
  <c r="N185" i="11"/>
  <c r="N186" i="11"/>
  <c r="N187" i="11"/>
  <c r="N188" i="11"/>
  <c r="X315" i="11"/>
  <c r="O170" i="11"/>
  <c r="O44" i="11"/>
  <c r="O45" i="11"/>
  <c r="O46" i="11"/>
  <c r="O47" i="11"/>
  <c r="O48" i="11"/>
  <c r="O49" i="11"/>
  <c r="O50" i="11"/>
  <c r="O51" i="11"/>
  <c r="O52" i="11"/>
  <c r="O53" i="11"/>
  <c r="O54" i="11"/>
  <c r="O55" i="11"/>
  <c r="O56" i="11"/>
  <c r="O57" i="11"/>
  <c r="O58" i="11"/>
  <c r="O59" i="11"/>
  <c r="O60" i="11"/>
  <c r="O61" i="11"/>
  <c r="O62" i="11"/>
  <c r="O63" i="11"/>
  <c r="O64" i="11"/>
  <c r="O65" i="11"/>
  <c r="O66" i="11"/>
  <c r="O67" i="11"/>
  <c r="O68" i="11"/>
  <c r="O69" i="11"/>
  <c r="O70" i="11"/>
  <c r="O71" i="11"/>
  <c r="O72" i="11"/>
  <c r="O73" i="11"/>
  <c r="O74" i="11"/>
  <c r="O75" i="11"/>
  <c r="O76" i="11"/>
  <c r="O77" i="11"/>
  <c r="O78" i="11"/>
  <c r="O79" i="11"/>
  <c r="O80" i="11"/>
  <c r="O81" i="11"/>
  <c r="O82" i="11"/>
  <c r="O83" i="11"/>
  <c r="O84" i="11"/>
  <c r="O85" i="11"/>
  <c r="O86" i="11"/>
  <c r="O87" i="11"/>
  <c r="O88" i="11"/>
  <c r="O89" i="11"/>
  <c r="O90" i="11"/>
  <c r="O91" i="11"/>
  <c r="O92" i="11"/>
  <c r="O93" i="11"/>
  <c r="O94" i="11"/>
  <c r="O95" i="11"/>
  <c r="O96" i="11"/>
  <c r="O97" i="11"/>
  <c r="O98" i="11"/>
  <c r="O99" i="11"/>
  <c r="O100" i="11"/>
  <c r="O101" i="11"/>
  <c r="O102" i="11"/>
  <c r="O103" i="11"/>
  <c r="O104" i="11"/>
  <c r="O105" i="11"/>
  <c r="O106" i="11"/>
  <c r="O107" i="11"/>
  <c r="O108" i="11"/>
  <c r="O109" i="11"/>
  <c r="O110" i="11"/>
  <c r="O111" i="11"/>
  <c r="O112" i="11"/>
  <c r="O113" i="11"/>
  <c r="O114" i="11"/>
  <c r="O115" i="11"/>
  <c r="O116" i="11"/>
  <c r="O117" i="11"/>
  <c r="O118" i="11"/>
  <c r="O119" i="11"/>
  <c r="O120" i="11"/>
  <c r="O121" i="11"/>
  <c r="O122" i="11"/>
  <c r="O123" i="11"/>
  <c r="O124" i="11"/>
  <c r="O125" i="11"/>
  <c r="O126" i="11"/>
  <c r="O127" i="11"/>
  <c r="O128" i="11"/>
  <c r="O129" i="11"/>
  <c r="O130" i="11"/>
  <c r="O131" i="11"/>
  <c r="O132" i="11"/>
  <c r="O133" i="11"/>
  <c r="O134" i="11"/>
  <c r="O135" i="11"/>
  <c r="O136" i="11"/>
  <c r="O137" i="11"/>
  <c r="O138" i="11"/>
  <c r="O139" i="11"/>
  <c r="O140" i="11"/>
  <c r="O141" i="11"/>
  <c r="O142" i="11"/>
  <c r="O143" i="11"/>
  <c r="O144" i="11"/>
  <c r="O149" i="11"/>
  <c r="O150" i="11"/>
  <c r="O151" i="11"/>
  <c r="O152" i="11"/>
  <c r="O153" i="11"/>
  <c r="O154" i="11"/>
  <c r="O155" i="11"/>
  <c r="O156" i="11"/>
  <c r="O157" i="11"/>
  <c r="O158" i="11"/>
  <c r="O159" i="11"/>
  <c r="O160" i="11"/>
  <c r="O161" i="11"/>
  <c r="O162" i="11"/>
  <c r="O163" i="11"/>
  <c r="O164" i="11"/>
  <c r="O169" i="11"/>
  <c r="O171" i="11"/>
  <c r="O172" i="11"/>
  <c r="O173" i="11"/>
  <c r="O174" i="11"/>
  <c r="O175" i="11"/>
  <c r="O176" i="11"/>
  <c r="O177" i="11"/>
  <c r="O178" i="11"/>
  <c r="O179" i="11"/>
  <c r="O180" i="11"/>
  <c r="O181" i="11"/>
  <c r="O182" i="11"/>
  <c r="O183" i="11"/>
  <c r="O184" i="11"/>
  <c r="O185" i="11"/>
  <c r="O186" i="11"/>
  <c r="O187" i="11"/>
  <c r="O188" i="11"/>
  <c r="Y315" i="11"/>
  <c r="P170" i="11"/>
  <c r="P44" i="11"/>
  <c r="P45" i="11"/>
  <c r="P46" i="11"/>
  <c r="P47" i="11"/>
  <c r="P48" i="11"/>
  <c r="P49" i="11"/>
  <c r="P50" i="11"/>
  <c r="P51" i="11"/>
  <c r="P52" i="11"/>
  <c r="P53" i="11"/>
  <c r="P54" i="11"/>
  <c r="P55" i="11"/>
  <c r="P56" i="11"/>
  <c r="P57" i="11"/>
  <c r="P58" i="11"/>
  <c r="P59" i="11"/>
  <c r="P60" i="11"/>
  <c r="P61" i="11"/>
  <c r="P62" i="11"/>
  <c r="P63" i="11"/>
  <c r="P64" i="11"/>
  <c r="P65" i="11"/>
  <c r="P66" i="11"/>
  <c r="P67" i="11"/>
  <c r="P68" i="11"/>
  <c r="P69" i="11"/>
  <c r="P70" i="11"/>
  <c r="P71" i="11"/>
  <c r="P72" i="11"/>
  <c r="P73" i="11"/>
  <c r="P74" i="11"/>
  <c r="P75" i="11"/>
  <c r="P76" i="11"/>
  <c r="P77" i="11"/>
  <c r="P78" i="11"/>
  <c r="P79" i="11"/>
  <c r="P80" i="11"/>
  <c r="P81" i="11"/>
  <c r="P82" i="11"/>
  <c r="P83" i="11"/>
  <c r="P84" i="11"/>
  <c r="P85" i="11"/>
  <c r="P86" i="11"/>
  <c r="P87" i="11"/>
  <c r="P88" i="11"/>
  <c r="P89" i="11"/>
  <c r="P90" i="11"/>
  <c r="P91" i="11"/>
  <c r="P92" i="11"/>
  <c r="P93" i="11"/>
  <c r="P94" i="11"/>
  <c r="P95" i="11"/>
  <c r="P96" i="11"/>
  <c r="P97" i="11"/>
  <c r="P98" i="11"/>
  <c r="P99" i="11"/>
  <c r="P100" i="11"/>
  <c r="P101" i="11"/>
  <c r="P102" i="11"/>
  <c r="P103" i="11"/>
  <c r="P104" i="11"/>
  <c r="P105" i="11"/>
  <c r="P106" i="11"/>
  <c r="P107" i="11"/>
  <c r="P108" i="11"/>
  <c r="P109" i="11"/>
  <c r="P110" i="11"/>
  <c r="P111" i="11"/>
  <c r="P112" i="11"/>
  <c r="P113" i="11"/>
  <c r="P114" i="11"/>
  <c r="P115" i="11"/>
  <c r="P116" i="11"/>
  <c r="P117" i="11"/>
  <c r="P118" i="11"/>
  <c r="P119" i="11"/>
  <c r="P120" i="11"/>
  <c r="P121" i="11"/>
  <c r="P122" i="11"/>
  <c r="P123" i="11"/>
  <c r="P124" i="11"/>
  <c r="P125" i="11"/>
  <c r="P126" i="11"/>
  <c r="P127" i="11"/>
  <c r="P128" i="11"/>
  <c r="P129" i="11"/>
  <c r="P130" i="11"/>
  <c r="P131" i="11"/>
  <c r="P132" i="11"/>
  <c r="P133" i="11"/>
  <c r="P134" i="11"/>
  <c r="P135" i="11"/>
  <c r="P136" i="11"/>
  <c r="P137" i="11"/>
  <c r="P138" i="11"/>
  <c r="P139" i="11"/>
  <c r="P140" i="11"/>
  <c r="P141" i="11"/>
  <c r="P142" i="11"/>
  <c r="P143" i="11"/>
  <c r="P144" i="11"/>
  <c r="P149" i="11"/>
  <c r="P150" i="11"/>
  <c r="P151" i="11"/>
  <c r="P152" i="11"/>
  <c r="P153" i="11"/>
  <c r="P154" i="11"/>
  <c r="P155" i="11"/>
  <c r="P156" i="11"/>
  <c r="P157" i="11"/>
  <c r="P158" i="11"/>
  <c r="P159" i="11"/>
  <c r="P160" i="11"/>
  <c r="P161" i="11"/>
  <c r="P162" i="11"/>
  <c r="P163" i="11"/>
  <c r="P164" i="11"/>
  <c r="P169" i="11"/>
  <c r="P171" i="11"/>
  <c r="P172" i="11"/>
  <c r="P173" i="11"/>
  <c r="P174" i="11"/>
  <c r="P175" i="11"/>
  <c r="P176" i="11"/>
  <c r="P177" i="11"/>
  <c r="P178" i="11"/>
  <c r="P179" i="11"/>
  <c r="P180" i="11"/>
  <c r="P181" i="11"/>
  <c r="P182" i="11"/>
  <c r="P183" i="11"/>
  <c r="P184" i="11"/>
  <c r="P185" i="11"/>
  <c r="P186" i="11"/>
  <c r="P187" i="11"/>
  <c r="P188" i="11"/>
  <c r="Z315" i="11"/>
  <c r="Q170" i="11"/>
  <c r="Q44" i="11"/>
  <c r="Q45" i="11"/>
  <c r="Q46" i="11"/>
  <c r="Q47" i="11"/>
  <c r="Q48" i="11"/>
  <c r="Q49" i="11"/>
  <c r="Q50" i="11"/>
  <c r="Q51" i="11"/>
  <c r="Q52" i="11"/>
  <c r="Q53" i="11"/>
  <c r="Q54" i="11"/>
  <c r="Q55" i="11"/>
  <c r="Q56" i="11"/>
  <c r="Q57" i="11"/>
  <c r="Q58" i="11"/>
  <c r="Q59" i="11"/>
  <c r="Q60" i="11"/>
  <c r="Q61" i="11"/>
  <c r="Q62" i="11"/>
  <c r="Q63" i="11"/>
  <c r="Q64" i="11"/>
  <c r="Q65" i="11"/>
  <c r="Q66" i="11"/>
  <c r="Q67" i="11"/>
  <c r="Q68" i="11"/>
  <c r="Q69" i="11"/>
  <c r="Q70" i="11"/>
  <c r="Q71" i="11"/>
  <c r="Q72" i="11"/>
  <c r="Q73" i="11"/>
  <c r="Q74" i="11"/>
  <c r="Q75" i="11"/>
  <c r="Q76" i="11"/>
  <c r="Q77" i="11"/>
  <c r="Q78" i="11"/>
  <c r="Q79" i="11"/>
  <c r="Q80" i="11"/>
  <c r="Q81" i="11"/>
  <c r="Q82" i="11"/>
  <c r="Q83" i="11"/>
  <c r="Q84" i="11"/>
  <c r="Q85" i="11"/>
  <c r="Q86" i="11"/>
  <c r="Q87" i="11"/>
  <c r="Q88" i="11"/>
  <c r="Q89" i="11"/>
  <c r="Q90" i="11"/>
  <c r="Q91" i="11"/>
  <c r="Q92" i="11"/>
  <c r="Q93" i="11"/>
  <c r="Q94" i="11"/>
  <c r="Q95" i="11"/>
  <c r="Q96" i="11"/>
  <c r="Q97" i="11"/>
  <c r="Q98" i="11"/>
  <c r="Q99" i="11"/>
  <c r="Q100" i="11"/>
  <c r="Q101" i="11"/>
  <c r="Q102" i="11"/>
  <c r="Q103" i="11"/>
  <c r="Q104" i="11"/>
  <c r="Q105" i="11"/>
  <c r="Q106" i="11"/>
  <c r="Q107" i="11"/>
  <c r="Q108" i="11"/>
  <c r="Q109" i="11"/>
  <c r="Q110" i="11"/>
  <c r="Q111" i="11"/>
  <c r="Q112" i="11"/>
  <c r="Q113" i="11"/>
  <c r="Q114" i="11"/>
  <c r="Q115" i="11"/>
  <c r="Q116" i="11"/>
  <c r="Q117" i="11"/>
  <c r="Q118" i="11"/>
  <c r="Q119" i="11"/>
  <c r="Q120" i="11"/>
  <c r="Q121" i="11"/>
  <c r="Q122" i="11"/>
  <c r="Q123" i="11"/>
  <c r="Q124" i="11"/>
  <c r="Q125" i="11"/>
  <c r="Q126" i="11"/>
  <c r="Q127" i="11"/>
  <c r="Q128" i="11"/>
  <c r="Q129" i="11"/>
  <c r="Q130" i="11"/>
  <c r="Q131" i="11"/>
  <c r="Q132" i="11"/>
  <c r="Q133" i="11"/>
  <c r="Q134" i="11"/>
  <c r="Q135" i="11"/>
  <c r="Q136" i="11"/>
  <c r="Q137" i="11"/>
  <c r="Q138" i="11"/>
  <c r="Q139" i="11"/>
  <c r="Q140" i="11"/>
  <c r="Q141" i="11"/>
  <c r="Q142" i="11"/>
  <c r="Q143" i="11"/>
  <c r="Q144" i="11"/>
  <c r="Q149" i="11"/>
  <c r="Q150" i="11"/>
  <c r="Q151" i="11"/>
  <c r="Q152" i="11"/>
  <c r="Q153" i="11"/>
  <c r="Q154" i="11"/>
  <c r="Q155" i="11"/>
  <c r="Q156" i="11"/>
  <c r="Q157" i="11"/>
  <c r="Q158" i="11"/>
  <c r="Q159" i="11"/>
  <c r="Q160" i="11"/>
  <c r="Q161" i="11"/>
  <c r="Q162" i="11"/>
  <c r="Q163" i="11"/>
  <c r="Q164" i="11"/>
  <c r="Q169" i="11"/>
  <c r="Q171" i="11"/>
  <c r="Q172" i="11"/>
  <c r="Q173" i="11"/>
  <c r="Q174" i="11"/>
  <c r="Q175" i="11"/>
  <c r="Q176" i="11"/>
  <c r="Q177" i="11"/>
  <c r="Q178" i="11"/>
  <c r="Q179" i="11"/>
  <c r="Q180" i="11"/>
  <c r="Q181" i="11"/>
  <c r="Q182" i="11"/>
  <c r="Q183" i="11"/>
  <c r="Q184" i="11"/>
  <c r="Q185" i="11"/>
  <c r="Q186" i="11"/>
  <c r="Q187" i="11"/>
  <c r="Q188" i="11"/>
  <c r="AA315" i="11"/>
  <c r="R170" i="11"/>
  <c r="R44" i="11"/>
  <c r="R45" i="11"/>
  <c r="R46" i="11"/>
  <c r="R47" i="11"/>
  <c r="R48" i="11"/>
  <c r="R49" i="11"/>
  <c r="R50" i="11"/>
  <c r="R51" i="11"/>
  <c r="R52" i="11"/>
  <c r="R53" i="11"/>
  <c r="R54" i="11"/>
  <c r="R55" i="11"/>
  <c r="R56" i="11"/>
  <c r="R57" i="11"/>
  <c r="R58" i="11"/>
  <c r="R59" i="11"/>
  <c r="R60" i="11"/>
  <c r="R61" i="11"/>
  <c r="R62" i="11"/>
  <c r="R63" i="11"/>
  <c r="R64" i="11"/>
  <c r="R65" i="11"/>
  <c r="R66" i="11"/>
  <c r="R67" i="11"/>
  <c r="R68" i="11"/>
  <c r="R69" i="11"/>
  <c r="R70" i="11"/>
  <c r="R71" i="11"/>
  <c r="R72" i="11"/>
  <c r="R73" i="11"/>
  <c r="R74" i="11"/>
  <c r="R75" i="11"/>
  <c r="R76" i="11"/>
  <c r="R77" i="11"/>
  <c r="R78" i="11"/>
  <c r="R79" i="11"/>
  <c r="R80" i="11"/>
  <c r="R81" i="11"/>
  <c r="R82" i="11"/>
  <c r="R83" i="11"/>
  <c r="R84" i="11"/>
  <c r="R85" i="11"/>
  <c r="R86" i="11"/>
  <c r="R87" i="11"/>
  <c r="R88" i="11"/>
  <c r="R89" i="11"/>
  <c r="R90" i="11"/>
  <c r="R91" i="11"/>
  <c r="R92" i="11"/>
  <c r="R93" i="11"/>
  <c r="R94" i="11"/>
  <c r="R95" i="11"/>
  <c r="R96" i="11"/>
  <c r="R97" i="11"/>
  <c r="R98" i="11"/>
  <c r="R99" i="11"/>
  <c r="R100" i="11"/>
  <c r="R101" i="11"/>
  <c r="R102" i="11"/>
  <c r="R103" i="11"/>
  <c r="R104" i="11"/>
  <c r="R105" i="11"/>
  <c r="R106" i="11"/>
  <c r="R107" i="11"/>
  <c r="R108" i="11"/>
  <c r="R109" i="11"/>
  <c r="R110" i="11"/>
  <c r="R111" i="11"/>
  <c r="R112" i="11"/>
  <c r="R113" i="11"/>
  <c r="R114" i="11"/>
  <c r="R115" i="11"/>
  <c r="R116" i="11"/>
  <c r="R117" i="11"/>
  <c r="R118" i="11"/>
  <c r="R119" i="11"/>
  <c r="R120" i="11"/>
  <c r="R121" i="11"/>
  <c r="R122" i="11"/>
  <c r="R123" i="11"/>
  <c r="R124" i="11"/>
  <c r="R125" i="11"/>
  <c r="R126" i="11"/>
  <c r="R127" i="11"/>
  <c r="R128" i="11"/>
  <c r="R129" i="11"/>
  <c r="R130" i="11"/>
  <c r="R131" i="11"/>
  <c r="R132" i="11"/>
  <c r="R133" i="11"/>
  <c r="R134" i="11"/>
  <c r="R135" i="11"/>
  <c r="R136" i="11"/>
  <c r="R137" i="11"/>
  <c r="R138" i="11"/>
  <c r="R139" i="11"/>
  <c r="R140" i="11"/>
  <c r="R141" i="11"/>
  <c r="R142" i="11"/>
  <c r="R143" i="11"/>
  <c r="R144" i="11"/>
  <c r="R149" i="11"/>
  <c r="R150" i="11"/>
  <c r="R151" i="11"/>
  <c r="R152" i="11"/>
  <c r="R153" i="11"/>
  <c r="R154" i="11"/>
  <c r="R155" i="11"/>
  <c r="R156" i="11"/>
  <c r="R157" i="11"/>
  <c r="R158" i="11"/>
  <c r="R159" i="11"/>
  <c r="R160" i="11"/>
  <c r="R161" i="11"/>
  <c r="R162" i="11"/>
  <c r="R163" i="11"/>
  <c r="R164" i="11"/>
  <c r="R169" i="11"/>
  <c r="R171" i="11"/>
  <c r="R172" i="11"/>
  <c r="R173" i="11"/>
  <c r="R174" i="11"/>
  <c r="R175" i="11"/>
  <c r="R176" i="11"/>
  <c r="R177" i="11"/>
  <c r="R178" i="11"/>
  <c r="R179" i="11"/>
  <c r="R180" i="11"/>
  <c r="R181" i="11"/>
  <c r="R182" i="11"/>
  <c r="R183" i="11"/>
  <c r="R184" i="11"/>
  <c r="R185" i="11"/>
  <c r="R186" i="11"/>
  <c r="R187" i="11"/>
  <c r="R188" i="11"/>
  <c r="AB315" i="11"/>
  <c r="S170" i="11"/>
  <c r="S44" i="11"/>
  <c r="S45" i="11"/>
  <c r="S46" i="11"/>
  <c r="S47" i="11"/>
  <c r="S48" i="11"/>
  <c r="S49" i="11"/>
  <c r="S50" i="11"/>
  <c r="S51" i="11"/>
  <c r="S52" i="11"/>
  <c r="S53" i="11"/>
  <c r="S54" i="11"/>
  <c r="S55" i="11"/>
  <c r="S56" i="11"/>
  <c r="S57" i="11"/>
  <c r="S58" i="11"/>
  <c r="S59" i="11"/>
  <c r="S60" i="11"/>
  <c r="S61" i="11"/>
  <c r="S62" i="11"/>
  <c r="S63" i="11"/>
  <c r="S64" i="11"/>
  <c r="S65" i="11"/>
  <c r="S66" i="11"/>
  <c r="S67" i="11"/>
  <c r="S68" i="11"/>
  <c r="S69" i="11"/>
  <c r="S70" i="11"/>
  <c r="S71" i="11"/>
  <c r="S72" i="11"/>
  <c r="S73" i="11"/>
  <c r="S74" i="11"/>
  <c r="S75" i="11"/>
  <c r="S76" i="11"/>
  <c r="S77" i="11"/>
  <c r="S78" i="11"/>
  <c r="S79" i="11"/>
  <c r="S80" i="11"/>
  <c r="S81" i="11"/>
  <c r="S82" i="11"/>
  <c r="S83" i="11"/>
  <c r="S84" i="11"/>
  <c r="S85" i="11"/>
  <c r="S86" i="11"/>
  <c r="S87" i="11"/>
  <c r="S88" i="11"/>
  <c r="S89" i="11"/>
  <c r="S90" i="11"/>
  <c r="S91" i="11"/>
  <c r="S92" i="11"/>
  <c r="S93" i="11"/>
  <c r="S94" i="11"/>
  <c r="S95" i="11"/>
  <c r="S96" i="11"/>
  <c r="S97" i="11"/>
  <c r="S98" i="11"/>
  <c r="S99" i="11"/>
  <c r="S100" i="11"/>
  <c r="S101" i="11"/>
  <c r="S102" i="11"/>
  <c r="S103" i="11"/>
  <c r="S104" i="11"/>
  <c r="S105" i="11"/>
  <c r="S106" i="11"/>
  <c r="S107" i="11"/>
  <c r="S108" i="11"/>
  <c r="S109" i="11"/>
  <c r="S110" i="11"/>
  <c r="S111" i="11"/>
  <c r="S112" i="11"/>
  <c r="S113" i="11"/>
  <c r="S114" i="11"/>
  <c r="S115" i="11"/>
  <c r="S116" i="11"/>
  <c r="S117" i="11"/>
  <c r="S118" i="11"/>
  <c r="S119" i="11"/>
  <c r="S120" i="11"/>
  <c r="S121" i="11"/>
  <c r="S122" i="11"/>
  <c r="S123" i="11"/>
  <c r="S124" i="11"/>
  <c r="S125" i="11"/>
  <c r="S126" i="11"/>
  <c r="S127" i="11"/>
  <c r="S128" i="11"/>
  <c r="S129" i="11"/>
  <c r="S130" i="11"/>
  <c r="S131" i="11"/>
  <c r="S132" i="11"/>
  <c r="S133" i="11"/>
  <c r="S134" i="11"/>
  <c r="S135" i="11"/>
  <c r="S136" i="11"/>
  <c r="S137" i="11"/>
  <c r="S138" i="11"/>
  <c r="S139" i="11"/>
  <c r="S140" i="11"/>
  <c r="S141" i="11"/>
  <c r="S142" i="11"/>
  <c r="S143" i="11"/>
  <c r="S144" i="11"/>
  <c r="S149" i="11"/>
  <c r="S150" i="11"/>
  <c r="S151" i="11"/>
  <c r="S152" i="11"/>
  <c r="S153" i="11"/>
  <c r="S154" i="11"/>
  <c r="S155" i="11"/>
  <c r="S156" i="11"/>
  <c r="S157" i="11"/>
  <c r="S158" i="11"/>
  <c r="S159" i="11"/>
  <c r="S160" i="11"/>
  <c r="S161" i="11"/>
  <c r="S162" i="11"/>
  <c r="S163" i="11"/>
  <c r="S164" i="11"/>
  <c r="S169" i="11"/>
  <c r="S171" i="11"/>
  <c r="S172" i="11"/>
  <c r="S173" i="11"/>
  <c r="S174" i="11"/>
  <c r="S175" i="11"/>
  <c r="S176" i="11"/>
  <c r="S177" i="11"/>
  <c r="S178" i="11"/>
  <c r="S179" i="11"/>
  <c r="S180" i="11"/>
  <c r="S181" i="11"/>
  <c r="S182" i="11"/>
  <c r="S183" i="11"/>
  <c r="S184" i="11"/>
  <c r="S185" i="11"/>
  <c r="S186" i="11"/>
  <c r="S187" i="11"/>
  <c r="S188" i="11"/>
  <c r="AC315" i="11"/>
  <c r="V316" i="11"/>
  <c r="W316" i="11"/>
  <c r="X316" i="11"/>
  <c r="Y316" i="11"/>
  <c r="Z316" i="11"/>
  <c r="AA316" i="11"/>
  <c r="AB316" i="11"/>
  <c r="AC316" i="11"/>
  <c r="V317" i="11"/>
  <c r="W317" i="11"/>
  <c r="X317" i="11"/>
  <c r="Y317" i="11"/>
  <c r="Z317" i="11"/>
  <c r="AA317" i="11"/>
  <c r="AB317" i="11"/>
  <c r="AC317" i="11"/>
  <c r="V318" i="11"/>
  <c r="W318" i="11"/>
  <c r="X318" i="11"/>
  <c r="Y318" i="11"/>
  <c r="Z318" i="11"/>
  <c r="AA318" i="11"/>
  <c r="AB318" i="11"/>
  <c r="AC318" i="11"/>
  <c r="V319" i="11"/>
  <c r="W319" i="11"/>
  <c r="X319" i="11"/>
  <c r="Y319" i="11"/>
  <c r="Z319" i="11"/>
  <c r="AA319" i="11"/>
  <c r="AB319" i="11"/>
  <c r="AC319" i="11"/>
  <c r="V320" i="11"/>
  <c r="W320" i="11"/>
  <c r="X320" i="11"/>
  <c r="Y320" i="11"/>
  <c r="Z320" i="11"/>
  <c r="AA320" i="11"/>
  <c r="AB320" i="11"/>
  <c r="AC320" i="11"/>
  <c r="V321" i="11"/>
  <c r="W321" i="11"/>
  <c r="X321" i="11"/>
  <c r="Y321" i="11"/>
  <c r="Z321" i="11"/>
  <c r="AA321" i="11"/>
  <c r="AB321" i="11"/>
  <c r="AC321" i="11"/>
  <c r="V322" i="11"/>
  <c r="W322" i="11"/>
  <c r="X322" i="11"/>
  <c r="Y322" i="11"/>
  <c r="Z322" i="11"/>
  <c r="AA322" i="11"/>
  <c r="AB322" i="11"/>
  <c r="AC322" i="11"/>
  <c r="V323" i="11"/>
  <c r="W323" i="11"/>
  <c r="X323" i="11"/>
  <c r="Y323" i="11"/>
  <c r="Z323" i="11"/>
  <c r="AA323" i="11"/>
  <c r="AB323" i="11"/>
  <c r="AC323" i="11"/>
  <c r="V324" i="11"/>
  <c r="W324" i="11"/>
  <c r="X324" i="11"/>
  <c r="Y324" i="11"/>
  <c r="Z324" i="11"/>
  <c r="AA324" i="11"/>
  <c r="AB324" i="11"/>
  <c r="AC324" i="11"/>
  <c r="V325" i="11"/>
  <c r="W325" i="11"/>
  <c r="X325" i="11"/>
  <c r="Y325" i="11"/>
  <c r="Z325" i="11"/>
  <c r="AA325" i="11"/>
  <c r="AB325" i="11"/>
  <c r="AC325" i="11"/>
  <c r="V326" i="11"/>
  <c r="W326" i="11"/>
  <c r="X326" i="11"/>
  <c r="Y326" i="11"/>
  <c r="Z326" i="11"/>
  <c r="AA326" i="11"/>
  <c r="AB326" i="11"/>
  <c r="AC326" i="11"/>
  <c r="V327" i="11"/>
  <c r="W327" i="11"/>
  <c r="X327" i="11"/>
  <c r="Y327" i="11"/>
  <c r="Z327" i="11"/>
  <c r="AA327" i="11"/>
  <c r="AB327" i="11"/>
  <c r="AC327" i="11"/>
  <c r="V328" i="11"/>
  <c r="W328" i="11"/>
  <c r="X328" i="11"/>
  <c r="Y328" i="11"/>
  <c r="Z328" i="11"/>
  <c r="AA328" i="11"/>
  <c r="AB328" i="11"/>
  <c r="AC328" i="11"/>
  <c r="V329" i="11"/>
  <c r="W329" i="11"/>
  <c r="X329" i="11"/>
  <c r="Y329" i="11"/>
  <c r="Z329" i="11"/>
  <c r="AA329" i="11"/>
  <c r="AB329" i="11"/>
  <c r="AC329" i="11"/>
  <c r="V330" i="11"/>
  <c r="W330" i="11"/>
  <c r="X330" i="11"/>
  <c r="Y330" i="11"/>
  <c r="Z330" i="11"/>
  <c r="AA330" i="11"/>
  <c r="AB330" i="11"/>
  <c r="AC330" i="11"/>
  <c r="V331" i="11"/>
  <c r="W331" i="11"/>
  <c r="X331" i="11"/>
  <c r="Y331" i="11"/>
  <c r="Z331" i="11"/>
  <c r="AA331" i="11"/>
  <c r="AB331" i="11"/>
  <c r="AC331" i="11"/>
  <c r="V332" i="11"/>
  <c r="W332" i="11"/>
  <c r="X332" i="11"/>
  <c r="Y332" i="11"/>
  <c r="Z332" i="11"/>
  <c r="AA332" i="11"/>
  <c r="AB332" i="11"/>
  <c r="AC332" i="11"/>
  <c r="V333" i="11"/>
  <c r="W333" i="11"/>
  <c r="X333" i="11"/>
  <c r="Y333" i="11"/>
  <c r="Z333" i="11"/>
  <c r="AA333" i="11"/>
  <c r="AB333" i="11"/>
  <c r="AC333" i="11"/>
  <c r="W314" i="11"/>
  <c r="X314" i="11"/>
  <c r="Y314" i="11"/>
  <c r="Z314" i="11"/>
  <c r="AA314" i="11"/>
  <c r="AB314" i="11"/>
  <c r="AC314" i="11"/>
  <c r="V314" i="11"/>
  <c r="V298" i="11"/>
  <c r="W298" i="11"/>
  <c r="X298" i="11"/>
  <c r="Y298" i="11"/>
  <c r="Z298" i="11"/>
  <c r="AA298" i="11"/>
  <c r="AB298" i="11"/>
  <c r="AC298" i="11"/>
  <c r="V299" i="11"/>
  <c r="W299" i="11"/>
  <c r="X299" i="11"/>
  <c r="Y299" i="11"/>
  <c r="Z299" i="11"/>
  <c r="AA299" i="11"/>
  <c r="AB299" i="11"/>
  <c r="AC299" i="11"/>
  <c r="V300" i="11"/>
  <c r="W300" i="11"/>
  <c r="X300" i="11"/>
  <c r="Y300" i="11"/>
  <c r="Z300" i="11"/>
  <c r="AA300" i="11"/>
  <c r="AB300" i="11"/>
  <c r="AC300" i="11"/>
  <c r="V301" i="11"/>
  <c r="W301" i="11"/>
  <c r="X301" i="11"/>
  <c r="Y301" i="11"/>
  <c r="Z301" i="11"/>
  <c r="AA301" i="11"/>
  <c r="AB301" i="11"/>
  <c r="AC301" i="11"/>
  <c r="V302" i="11"/>
  <c r="W302" i="11"/>
  <c r="X302" i="11"/>
  <c r="Y302" i="11"/>
  <c r="Z302" i="11"/>
  <c r="AA302" i="11"/>
  <c r="AB302" i="11"/>
  <c r="AC302" i="11"/>
  <c r="V303" i="11"/>
  <c r="W303" i="11"/>
  <c r="X303" i="11"/>
  <c r="Y303" i="11"/>
  <c r="Z303" i="11"/>
  <c r="AA303" i="11"/>
  <c r="AB303" i="11"/>
  <c r="AC303" i="11"/>
  <c r="V304" i="11"/>
  <c r="W304" i="11"/>
  <c r="X304" i="11"/>
  <c r="Y304" i="11"/>
  <c r="Z304" i="11"/>
  <c r="AA304" i="11"/>
  <c r="AB304" i="11"/>
  <c r="AC304" i="11"/>
  <c r="V305" i="11"/>
  <c r="W305" i="11"/>
  <c r="X305" i="11"/>
  <c r="Y305" i="11"/>
  <c r="Z305" i="11"/>
  <c r="AA305" i="11"/>
  <c r="AB305" i="11"/>
  <c r="AC305" i="11"/>
  <c r="V306" i="11"/>
  <c r="W306" i="11"/>
  <c r="X306" i="11"/>
  <c r="Y306" i="11"/>
  <c r="Z306" i="11"/>
  <c r="AA306" i="11"/>
  <c r="AB306" i="11"/>
  <c r="AC306" i="11"/>
  <c r="V307" i="11"/>
  <c r="W307" i="11"/>
  <c r="X307" i="11"/>
  <c r="Y307" i="11"/>
  <c r="Z307" i="11"/>
  <c r="AA307" i="11"/>
  <c r="AB307" i="11"/>
  <c r="AC307" i="11"/>
  <c r="V308" i="11"/>
  <c r="W308" i="11"/>
  <c r="X308" i="11"/>
  <c r="Y308" i="11"/>
  <c r="Z308" i="11"/>
  <c r="AA308" i="11"/>
  <c r="AB308" i="11"/>
  <c r="AC308" i="11"/>
  <c r="V309" i="11"/>
  <c r="W309" i="11"/>
  <c r="X309" i="11"/>
  <c r="Y309" i="11"/>
  <c r="Z309" i="11"/>
  <c r="AA309" i="11"/>
  <c r="AB309" i="11"/>
  <c r="AC309" i="11"/>
  <c r="V310" i="11"/>
  <c r="W310" i="11"/>
  <c r="X310" i="11"/>
  <c r="Y310" i="11"/>
  <c r="Z310" i="11"/>
  <c r="AA310" i="11"/>
  <c r="AB310" i="11"/>
  <c r="AC310" i="11"/>
  <c r="V311" i="11"/>
  <c r="W311" i="11"/>
  <c r="X311" i="11"/>
  <c r="Y311" i="11"/>
  <c r="Z311" i="11"/>
  <c r="AA311" i="11"/>
  <c r="AB311" i="11"/>
  <c r="AC311" i="11"/>
  <c r="V312" i="11"/>
  <c r="W312" i="11"/>
  <c r="X312" i="11"/>
  <c r="Y312" i="11"/>
  <c r="Z312" i="11"/>
  <c r="AA312" i="11"/>
  <c r="AB312" i="11"/>
  <c r="AC312" i="11"/>
  <c r="W297" i="11"/>
  <c r="X297" i="11"/>
  <c r="Y297" i="11"/>
  <c r="Z297" i="11"/>
  <c r="AA297" i="11"/>
  <c r="AB297" i="11"/>
  <c r="AC297" i="11"/>
  <c r="V297" i="11"/>
  <c r="V276" i="11"/>
  <c r="W276" i="11"/>
  <c r="X276" i="11"/>
  <c r="Y276" i="11"/>
  <c r="Z276" i="11"/>
  <c r="AA276" i="11"/>
  <c r="AB276" i="11"/>
  <c r="AC276" i="11"/>
  <c r="V277" i="11"/>
  <c r="W277" i="11"/>
  <c r="X277" i="11"/>
  <c r="Y277" i="11"/>
  <c r="Z277" i="11"/>
  <c r="AA277" i="11"/>
  <c r="AB277" i="11"/>
  <c r="AC277" i="11"/>
  <c r="V278" i="11"/>
  <c r="W278" i="11"/>
  <c r="X278" i="11"/>
  <c r="Y278" i="11"/>
  <c r="Z278" i="11"/>
  <c r="AA278" i="11"/>
  <c r="AB278" i="11"/>
  <c r="AC278" i="11"/>
  <c r="V279" i="11"/>
  <c r="W279" i="11"/>
  <c r="X279" i="11"/>
  <c r="Y279" i="11"/>
  <c r="Z279" i="11"/>
  <c r="AA279" i="11"/>
  <c r="AB279" i="11"/>
  <c r="AC279" i="11"/>
  <c r="V280" i="11"/>
  <c r="W280" i="11"/>
  <c r="X280" i="11"/>
  <c r="Y280" i="11"/>
  <c r="Z280" i="11"/>
  <c r="AA280" i="11"/>
  <c r="AB280" i="11"/>
  <c r="AC280" i="11"/>
  <c r="V281" i="11"/>
  <c r="W281" i="11"/>
  <c r="X281" i="11"/>
  <c r="Y281" i="11"/>
  <c r="Z281" i="11"/>
  <c r="AA281" i="11"/>
  <c r="AB281" i="11"/>
  <c r="AC281" i="11"/>
  <c r="V282" i="11"/>
  <c r="W282" i="11"/>
  <c r="X282" i="11"/>
  <c r="Y282" i="11"/>
  <c r="Z282" i="11"/>
  <c r="AA282" i="11"/>
  <c r="AB282" i="11"/>
  <c r="AC282" i="11"/>
  <c r="V283" i="11"/>
  <c r="W283" i="11"/>
  <c r="X283" i="11"/>
  <c r="Y283" i="11"/>
  <c r="Z283" i="11"/>
  <c r="AA283" i="11"/>
  <c r="AB283" i="11"/>
  <c r="AC283" i="11"/>
  <c r="V284" i="11"/>
  <c r="W284" i="11"/>
  <c r="X284" i="11"/>
  <c r="Y284" i="11"/>
  <c r="Z284" i="11"/>
  <c r="AA284" i="11"/>
  <c r="AB284" i="11"/>
  <c r="AC284" i="11"/>
  <c r="V285" i="11"/>
  <c r="W285" i="11"/>
  <c r="X285" i="11"/>
  <c r="Y285" i="11"/>
  <c r="Z285" i="11"/>
  <c r="AA285" i="11"/>
  <c r="AB285" i="11"/>
  <c r="AC285" i="11"/>
  <c r="V286" i="11"/>
  <c r="W286" i="11"/>
  <c r="X286" i="11"/>
  <c r="Y286" i="11"/>
  <c r="Z286" i="11"/>
  <c r="AA286" i="11"/>
  <c r="AB286" i="11"/>
  <c r="AC286" i="11"/>
  <c r="V287" i="11"/>
  <c r="W287" i="11"/>
  <c r="X287" i="11"/>
  <c r="Y287" i="11"/>
  <c r="Z287" i="11"/>
  <c r="AA287" i="11"/>
  <c r="AB287" i="11"/>
  <c r="AC287" i="11"/>
  <c r="V288" i="11"/>
  <c r="W288" i="11"/>
  <c r="X288" i="11"/>
  <c r="Y288" i="11"/>
  <c r="Z288" i="11"/>
  <c r="AA288" i="11"/>
  <c r="AB288" i="11"/>
  <c r="AC288" i="11"/>
  <c r="V289" i="11"/>
  <c r="W289" i="11"/>
  <c r="X289" i="11"/>
  <c r="Y289" i="11"/>
  <c r="Z289" i="11"/>
  <c r="AA289" i="11"/>
  <c r="AB289" i="11"/>
  <c r="AC289" i="11"/>
  <c r="V290" i="11"/>
  <c r="W290" i="11"/>
  <c r="X290" i="11"/>
  <c r="Y290" i="11"/>
  <c r="Z290" i="11"/>
  <c r="AA290" i="11"/>
  <c r="AB290" i="11"/>
  <c r="AC290" i="11"/>
  <c r="V291" i="11"/>
  <c r="W291" i="11"/>
  <c r="X291" i="11"/>
  <c r="Y291" i="11"/>
  <c r="Z291" i="11"/>
  <c r="AA291" i="11"/>
  <c r="AB291" i="11"/>
  <c r="AC291" i="11"/>
  <c r="V292" i="11"/>
  <c r="W292" i="11"/>
  <c r="X292" i="11"/>
  <c r="Y292" i="11"/>
  <c r="Z292" i="11"/>
  <c r="AA292" i="11"/>
  <c r="AB292" i="11"/>
  <c r="AC292" i="11"/>
  <c r="V293" i="11"/>
  <c r="W293" i="11"/>
  <c r="X293" i="11"/>
  <c r="Y293" i="11"/>
  <c r="Z293" i="11"/>
  <c r="AA293" i="11"/>
  <c r="AB293" i="11"/>
  <c r="AC293" i="11"/>
  <c r="V294" i="11"/>
  <c r="W294" i="11"/>
  <c r="X294" i="11"/>
  <c r="Y294" i="11"/>
  <c r="Z294" i="11"/>
  <c r="AA294" i="11"/>
  <c r="AB294" i="11"/>
  <c r="AC294" i="11"/>
  <c r="V295" i="11"/>
  <c r="W295" i="11"/>
  <c r="X295" i="11"/>
  <c r="Y295" i="11"/>
  <c r="Z295" i="11"/>
  <c r="AA295" i="11"/>
  <c r="AB295" i="11"/>
  <c r="AC295" i="11"/>
  <c r="V196" i="11"/>
  <c r="W196" i="11"/>
  <c r="X196" i="11"/>
  <c r="Y196" i="11"/>
  <c r="Z196" i="11"/>
  <c r="AA196" i="11"/>
  <c r="AB196" i="11"/>
  <c r="AC196" i="11"/>
  <c r="V197" i="11"/>
  <c r="W197" i="11"/>
  <c r="X197" i="11"/>
  <c r="Y197" i="11"/>
  <c r="Z197" i="11"/>
  <c r="AA197" i="11"/>
  <c r="AB197" i="11"/>
  <c r="AC197" i="11"/>
  <c r="V198" i="11"/>
  <c r="W198" i="11"/>
  <c r="X198" i="11"/>
  <c r="Y198" i="11"/>
  <c r="Z198" i="11"/>
  <c r="AA198" i="11"/>
  <c r="AB198" i="11"/>
  <c r="AC198" i="11"/>
  <c r="V199" i="11"/>
  <c r="W199" i="11"/>
  <c r="X199" i="11"/>
  <c r="Y199" i="11"/>
  <c r="Z199" i="11"/>
  <c r="AA199" i="11"/>
  <c r="AB199" i="11"/>
  <c r="AC199" i="11"/>
  <c r="V200" i="11"/>
  <c r="W200" i="11"/>
  <c r="X200" i="11"/>
  <c r="Y200" i="11"/>
  <c r="Z200" i="11"/>
  <c r="AA200" i="11"/>
  <c r="AB200" i="11"/>
  <c r="AC200" i="11"/>
  <c r="V201" i="11"/>
  <c r="W201" i="11"/>
  <c r="X201" i="11"/>
  <c r="Y201" i="11"/>
  <c r="Z201" i="11"/>
  <c r="AA201" i="11"/>
  <c r="AB201" i="11"/>
  <c r="AC201" i="11"/>
  <c r="V202" i="11"/>
  <c r="W202" i="11"/>
  <c r="X202" i="11"/>
  <c r="Y202" i="11"/>
  <c r="Z202" i="11"/>
  <c r="AA202" i="11"/>
  <c r="AB202" i="11"/>
  <c r="AC202" i="11"/>
  <c r="V203" i="11"/>
  <c r="W203" i="11"/>
  <c r="X203" i="11"/>
  <c r="Y203" i="11"/>
  <c r="Z203" i="11"/>
  <c r="AA203" i="11"/>
  <c r="AB203" i="11"/>
  <c r="AC203" i="11"/>
  <c r="V204" i="11"/>
  <c r="W204" i="11"/>
  <c r="X204" i="11"/>
  <c r="Y204" i="11"/>
  <c r="Z204" i="11"/>
  <c r="AA204" i="11"/>
  <c r="AB204" i="11"/>
  <c r="AC204" i="11"/>
  <c r="V205" i="11"/>
  <c r="W205" i="11"/>
  <c r="X205" i="11"/>
  <c r="Y205" i="11"/>
  <c r="Z205" i="11"/>
  <c r="AA205" i="11"/>
  <c r="AB205" i="11"/>
  <c r="AC205" i="11"/>
  <c r="V206" i="11"/>
  <c r="W206" i="11"/>
  <c r="X206" i="11"/>
  <c r="Y206" i="11"/>
  <c r="Z206" i="11"/>
  <c r="AA206" i="11"/>
  <c r="AB206" i="11"/>
  <c r="AC206" i="11"/>
  <c r="V207" i="11"/>
  <c r="W207" i="11"/>
  <c r="X207" i="11"/>
  <c r="Y207" i="11"/>
  <c r="Z207" i="11"/>
  <c r="AA207" i="11"/>
  <c r="AB207" i="11"/>
  <c r="AC207" i="11"/>
  <c r="V208" i="11"/>
  <c r="W208" i="11"/>
  <c r="X208" i="11"/>
  <c r="Y208" i="11"/>
  <c r="Z208" i="11"/>
  <c r="AA208" i="11"/>
  <c r="AB208" i="11"/>
  <c r="AC208" i="11"/>
  <c r="V209" i="11"/>
  <c r="W209" i="11"/>
  <c r="X209" i="11"/>
  <c r="Y209" i="11"/>
  <c r="Z209" i="11"/>
  <c r="AA209" i="11"/>
  <c r="AB209" i="11"/>
  <c r="AC209" i="11"/>
  <c r="V210" i="11"/>
  <c r="W210" i="11"/>
  <c r="X210" i="11"/>
  <c r="Y210" i="11"/>
  <c r="Z210" i="11"/>
  <c r="AA210" i="11"/>
  <c r="AB210" i="11"/>
  <c r="AC210" i="11"/>
  <c r="V211" i="11"/>
  <c r="W211" i="11"/>
  <c r="X211" i="11"/>
  <c r="Y211" i="11"/>
  <c r="Z211" i="11"/>
  <c r="AA211" i="11"/>
  <c r="AB211" i="11"/>
  <c r="AC211" i="11"/>
  <c r="V212" i="11"/>
  <c r="W212" i="11"/>
  <c r="X212" i="11"/>
  <c r="Y212" i="11"/>
  <c r="Z212" i="11"/>
  <c r="AA212" i="11"/>
  <c r="AB212" i="11"/>
  <c r="AC212" i="11"/>
  <c r="V213" i="11"/>
  <c r="W213" i="11"/>
  <c r="X213" i="11"/>
  <c r="Y213" i="11"/>
  <c r="Z213" i="11"/>
  <c r="AA213" i="11"/>
  <c r="AB213" i="11"/>
  <c r="AC213" i="11"/>
  <c r="V214" i="11"/>
  <c r="W214" i="11"/>
  <c r="X214" i="11"/>
  <c r="Y214" i="11"/>
  <c r="Z214" i="11"/>
  <c r="AA214" i="11"/>
  <c r="AB214" i="11"/>
  <c r="AC214" i="11"/>
  <c r="V215" i="11"/>
  <c r="W215" i="11"/>
  <c r="X215" i="11"/>
  <c r="Y215" i="11"/>
  <c r="Z215" i="11"/>
  <c r="AA215" i="11"/>
  <c r="AB215" i="11"/>
  <c r="AC215" i="11"/>
  <c r="V216" i="11"/>
  <c r="W216" i="11"/>
  <c r="X216" i="11"/>
  <c r="Y216" i="11"/>
  <c r="Z216" i="11"/>
  <c r="AA216" i="11"/>
  <c r="AB216" i="11"/>
  <c r="AC216" i="11"/>
  <c r="V217" i="11"/>
  <c r="W217" i="11"/>
  <c r="X217" i="11"/>
  <c r="Y217" i="11"/>
  <c r="Z217" i="11"/>
  <c r="AA217" i="11"/>
  <c r="AB217" i="11"/>
  <c r="AC217" i="11"/>
  <c r="V218" i="11"/>
  <c r="W218" i="11"/>
  <c r="X218" i="11"/>
  <c r="Y218" i="11"/>
  <c r="Z218" i="11"/>
  <c r="AA218" i="11"/>
  <c r="AB218" i="11"/>
  <c r="AC218" i="11"/>
  <c r="V219" i="11"/>
  <c r="W219" i="11"/>
  <c r="X219" i="11"/>
  <c r="Y219" i="11"/>
  <c r="Z219" i="11"/>
  <c r="AA219" i="11"/>
  <c r="AB219" i="11"/>
  <c r="AC219" i="11"/>
  <c r="V220" i="11"/>
  <c r="W220" i="11"/>
  <c r="X220" i="11"/>
  <c r="Y220" i="11"/>
  <c r="Z220" i="11"/>
  <c r="AA220" i="11"/>
  <c r="AB220" i="11"/>
  <c r="AC220" i="11"/>
  <c r="V221" i="11"/>
  <c r="W221" i="11"/>
  <c r="X221" i="11"/>
  <c r="Y221" i="11"/>
  <c r="Z221" i="11"/>
  <c r="AA221" i="11"/>
  <c r="AB221" i="11"/>
  <c r="AC221" i="11"/>
  <c r="V222" i="11"/>
  <c r="W222" i="11"/>
  <c r="X222" i="11"/>
  <c r="Y222" i="11"/>
  <c r="Z222" i="11"/>
  <c r="AA222" i="11"/>
  <c r="AB222" i="11"/>
  <c r="AC222" i="11"/>
  <c r="V223" i="11"/>
  <c r="W223" i="11"/>
  <c r="X223" i="11"/>
  <c r="Y223" i="11"/>
  <c r="Z223" i="11"/>
  <c r="AA223" i="11"/>
  <c r="AB223" i="11"/>
  <c r="AC223" i="11"/>
  <c r="V224" i="11"/>
  <c r="W224" i="11"/>
  <c r="X224" i="11"/>
  <c r="Y224" i="11"/>
  <c r="Z224" i="11"/>
  <c r="AA224" i="11"/>
  <c r="AB224" i="11"/>
  <c r="AC224" i="11"/>
  <c r="V225" i="11"/>
  <c r="W225" i="11"/>
  <c r="X225" i="11"/>
  <c r="Y225" i="11"/>
  <c r="Z225" i="11"/>
  <c r="AA225" i="11"/>
  <c r="AB225" i="11"/>
  <c r="AC225" i="11"/>
  <c r="V226" i="11"/>
  <c r="W226" i="11"/>
  <c r="X226" i="11"/>
  <c r="Y226" i="11"/>
  <c r="Z226" i="11"/>
  <c r="AA226" i="11"/>
  <c r="AB226" i="11"/>
  <c r="AC226" i="11"/>
  <c r="V227" i="11"/>
  <c r="W227" i="11"/>
  <c r="X227" i="11"/>
  <c r="Y227" i="11"/>
  <c r="Z227" i="11"/>
  <c r="AA227" i="11"/>
  <c r="AB227" i="11"/>
  <c r="AC227" i="11"/>
  <c r="V228" i="11"/>
  <c r="W228" i="11"/>
  <c r="X228" i="11"/>
  <c r="Y228" i="11"/>
  <c r="Z228" i="11"/>
  <c r="AA228" i="11"/>
  <c r="AB228" i="11"/>
  <c r="AC228" i="11"/>
  <c r="V229" i="11"/>
  <c r="W229" i="11"/>
  <c r="X229" i="11"/>
  <c r="Y229" i="11"/>
  <c r="Z229" i="11"/>
  <c r="AA229" i="11"/>
  <c r="AB229" i="11"/>
  <c r="AC229" i="11"/>
  <c r="V230" i="11"/>
  <c r="W230" i="11"/>
  <c r="X230" i="11"/>
  <c r="Y230" i="11"/>
  <c r="Z230" i="11"/>
  <c r="AA230" i="11"/>
  <c r="AB230" i="11"/>
  <c r="AC230" i="11"/>
  <c r="V231" i="11"/>
  <c r="W231" i="11"/>
  <c r="X231" i="11"/>
  <c r="Y231" i="11"/>
  <c r="Z231" i="11"/>
  <c r="AA231" i="11"/>
  <c r="AB231" i="11"/>
  <c r="AC231" i="11"/>
  <c r="V232" i="11"/>
  <c r="W232" i="11"/>
  <c r="X232" i="11"/>
  <c r="Y232" i="11"/>
  <c r="Z232" i="11"/>
  <c r="AA232" i="11"/>
  <c r="AB232" i="11"/>
  <c r="AC232" i="11"/>
  <c r="V233" i="11"/>
  <c r="W233" i="11"/>
  <c r="X233" i="11"/>
  <c r="Y233" i="11"/>
  <c r="Z233" i="11"/>
  <c r="AA233" i="11"/>
  <c r="AB233" i="11"/>
  <c r="AC233" i="11"/>
  <c r="V234" i="11"/>
  <c r="W234" i="11"/>
  <c r="X234" i="11"/>
  <c r="Y234" i="11"/>
  <c r="Z234" i="11"/>
  <c r="AA234" i="11"/>
  <c r="AB234" i="11"/>
  <c r="AC234" i="11"/>
  <c r="V235" i="11"/>
  <c r="W235" i="11"/>
  <c r="X235" i="11"/>
  <c r="Y235" i="11"/>
  <c r="Z235" i="11"/>
  <c r="AA235" i="11"/>
  <c r="AB235" i="11"/>
  <c r="AC235" i="11"/>
  <c r="V236" i="11"/>
  <c r="W236" i="11"/>
  <c r="X236" i="11"/>
  <c r="Y236" i="11"/>
  <c r="Z236" i="11"/>
  <c r="AA236" i="11"/>
  <c r="AB236" i="11"/>
  <c r="AC236" i="11"/>
  <c r="V237" i="11"/>
  <c r="W237" i="11"/>
  <c r="X237" i="11"/>
  <c r="Y237" i="11"/>
  <c r="Z237" i="11"/>
  <c r="AA237" i="11"/>
  <c r="AB237" i="11"/>
  <c r="AC237" i="11"/>
  <c r="V238" i="11"/>
  <c r="W238" i="11"/>
  <c r="X238" i="11"/>
  <c r="Y238" i="11"/>
  <c r="Z238" i="11"/>
  <c r="AA238" i="11"/>
  <c r="AB238" i="11"/>
  <c r="AC238" i="11"/>
  <c r="V239" i="11"/>
  <c r="W239" i="11"/>
  <c r="X239" i="11"/>
  <c r="Y239" i="11"/>
  <c r="Z239" i="11"/>
  <c r="AA239" i="11"/>
  <c r="AB239" i="11"/>
  <c r="AC239" i="11"/>
  <c r="V240" i="11"/>
  <c r="W240" i="11"/>
  <c r="X240" i="11"/>
  <c r="Y240" i="11"/>
  <c r="Z240" i="11"/>
  <c r="AA240" i="11"/>
  <c r="AB240" i="11"/>
  <c r="AC240" i="11"/>
  <c r="V241" i="11"/>
  <c r="W241" i="11"/>
  <c r="X241" i="11"/>
  <c r="Y241" i="11"/>
  <c r="Z241" i="11"/>
  <c r="AA241" i="11"/>
  <c r="AB241" i="11"/>
  <c r="AC241" i="11"/>
  <c r="V242" i="11"/>
  <c r="W242" i="11"/>
  <c r="X242" i="11"/>
  <c r="Y242" i="11"/>
  <c r="Z242" i="11"/>
  <c r="AA242" i="11"/>
  <c r="AB242" i="11"/>
  <c r="AC242" i="11"/>
  <c r="V243" i="11"/>
  <c r="W243" i="11"/>
  <c r="X243" i="11"/>
  <c r="Y243" i="11"/>
  <c r="Z243" i="11"/>
  <c r="AA243" i="11"/>
  <c r="AB243" i="11"/>
  <c r="AC243" i="11"/>
  <c r="V244" i="11"/>
  <c r="W244" i="11"/>
  <c r="X244" i="11"/>
  <c r="Y244" i="11"/>
  <c r="Z244" i="11"/>
  <c r="AA244" i="11"/>
  <c r="AB244" i="11"/>
  <c r="AC244" i="11"/>
  <c r="V245" i="11"/>
  <c r="W245" i="11"/>
  <c r="X245" i="11"/>
  <c r="Y245" i="11"/>
  <c r="Z245" i="11"/>
  <c r="AA245" i="11"/>
  <c r="AB245" i="11"/>
  <c r="AC245" i="11"/>
  <c r="V246" i="11"/>
  <c r="W246" i="11"/>
  <c r="X246" i="11"/>
  <c r="Y246" i="11"/>
  <c r="Z246" i="11"/>
  <c r="AA246" i="11"/>
  <c r="AB246" i="11"/>
  <c r="AC246" i="11"/>
  <c r="V247" i="11"/>
  <c r="W247" i="11"/>
  <c r="X247" i="11"/>
  <c r="Y247" i="11"/>
  <c r="Z247" i="11"/>
  <c r="AA247" i="11"/>
  <c r="AB247" i="11"/>
  <c r="AC247" i="11"/>
  <c r="V248" i="11"/>
  <c r="W248" i="11"/>
  <c r="X248" i="11"/>
  <c r="Y248" i="11"/>
  <c r="Z248" i="11"/>
  <c r="AA248" i="11"/>
  <c r="AB248" i="11"/>
  <c r="AC248" i="11"/>
  <c r="V249" i="11"/>
  <c r="W249" i="11"/>
  <c r="X249" i="11"/>
  <c r="Y249" i="11"/>
  <c r="Z249" i="11"/>
  <c r="AA249" i="11"/>
  <c r="AB249" i="11"/>
  <c r="AC249" i="11"/>
  <c r="V250" i="11"/>
  <c r="W250" i="11"/>
  <c r="X250" i="11"/>
  <c r="Y250" i="11"/>
  <c r="Z250" i="11"/>
  <c r="AA250" i="11"/>
  <c r="AB250" i="11"/>
  <c r="AC250" i="11"/>
  <c r="V251" i="11"/>
  <c r="W251" i="11"/>
  <c r="X251" i="11"/>
  <c r="Y251" i="11"/>
  <c r="Z251" i="11"/>
  <c r="AA251" i="11"/>
  <c r="AB251" i="11"/>
  <c r="AC251" i="11"/>
  <c r="V252" i="11"/>
  <c r="W252" i="11"/>
  <c r="X252" i="11"/>
  <c r="Y252" i="11"/>
  <c r="Z252" i="11"/>
  <c r="AA252" i="11"/>
  <c r="AB252" i="11"/>
  <c r="AC252" i="11"/>
  <c r="V253" i="11"/>
  <c r="W253" i="11"/>
  <c r="X253" i="11"/>
  <c r="Y253" i="11"/>
  <c r="Z253" i="11"/>
  <c r="AA253" i="11"/>
  <c r="AB253" i="11"/>
  <c r="AC253" i="11"/>
  <c r="V254" i="11"/>
  <c r="W254" i="11"/>
  <c r="X254" i="11"/>
  <c r="Y254" i="11"/>
  <c r="Z254" i="11"/>
  <c r="AA254" i="11"/>
  <c r="AB254" i="11"/>
  <c r="AC254" i="11"/>
  <c r="V255" i="11"/>
  <c r="W255" i="11"/>
  <c r="X255" i="11"/>
  <c r="Y255" i="11"/>
  <c r="Z255" i="11"/>
  <c r="AA255" i="11"/>
  <c r="AB255" i="11"/>
  <c r="AC255" i="11"/>
  <c r="V256" i="11"/>
  <c r="W256" i="11"/>
  <c r="X256" i="11"/>
  <c r="Y256" i="11"/>
  <c r="Z256" i="11"/>
  <c r="AA256" i="11"/>
  <c r="AB256" i="11"/>
  <c r="AC256" i="11"/>
  <c r="V257" i="11"/>
  <c r="W257" i="11"/>
  <c r="X257" i="11"/>
  <c r="Y257" i="11"/>
  <c r="Z257" i="11"/>
  <c r="AA257" i="11"/>
  <c r="AB257" i="11"/>
  <c r="AC257" i="11"/>
  <c r="V258" i="11"/>
  <c r="W258" i="11"/>
  <c r="X258" i="11"/>
  <c r="Y258" i="11"/>
  <c r="Z258" i="11"/>
  <c r="AA258" i="11"/>
  <c r="AB258" i="11"/>
  <c r="AC258" i="11"/>
  <c r="V259" i="11"/>
  <c r="W259" i="11"/>
  <c r="X259" i="11"/>
  <c r="Y259" i="11"/>
  <c r="Z259" i="11"/>
  <c r="AA259" i="11"/>
  <c r="AB259" i="11"/>
  <c r="AC259" i="11"/>
  <c r="V260" i="11"/>
  <c r="W260" i="11"/>
  <c r="X260" i="11"/>
  <c r="Y260" i="11"/>
  <c r="Z260" i="11"/>
  <c r="AA260" i="11"/>
  <c r="AB260" i="11"/>
  <c r="AC260" i="11"/>
  <c r="V261" i="11"/>
  <c r="W261" i="11"/>
  <c r="X261" i="11"/>
  <c r="Y261" i="11"/>
  <c r="Z261" i="11"/>
  <c r="AA261" i="11"/>
  <c r="AB261" i="11"/>
  <c r="AC261" i="11"/>
  <c r="V262" i="11"/>
  <c r="W262" i="11"/>
  <c r="X262" i="11"/>
  <c r="Y262" i="11"/>
  <c r="Z262" i="11"/>
  <c r="AA262" i="11"/>
  <c r="AB262" i="11"/>
  <c r="AC262" i="11"/>
  <c r="V263" i="11"/>
  <c r="W263" i="11"/>
  <c r="X263" i="11"/>
  <c r="Y263" i="11"/>
  <c r="Z263" i="11"/>
  <c r="AA263" i="11"/>
  <c r="AB263" i="11"/>
  <c r="AC263" i="11"/>
  <c r="V264" i="11"/>
  <c r="W264" i="11"/>
  <c r="X264" i="11"/>
  <c r="Y264" i="11"/>
  <c r="Z264" i="11"/>
  <c r="AA264" i="11"/>
  <c r="AB264" i="11"/>
  <c r="AC264" i="11"/>
  <c r="V265" i="11"/>
  <c r="W265" i="11"/>
  <c r="X265" i="11"/>
  <c r="Y265" i="11"/>
  <c r="Z265" i="11"/>
  <c r="AA265" i="11"/>
  <c r="AB265" i="11"/>
  <c r="AC265" i="11"/>
  <c r="V266" i="11"/>
  <c r="W266" i="11"/>
  <c r="X266" i="11"/>
  <c r="Y266" i="11"/>
  <c r="Z266" i="11"/>
  <c r="AA266" i="11"/>
  <c r="AB266" i="11"/>
  <c r="AC266" i="11"/>
  <c r="V267" i="11"/>
  <c r="W267" i="11"/>
  <c r="X267" i="11"/>
  <c r="Y267" i="11"/>
  <c r="Z267" i="11"/>
  <c r="AA267" i="11"/>
  <c r="AB267" i="11"/>
  <c r="AC267" i="11"/>
  <c r="V268" i="11"/>
  <c r="W268" i="11"/>
  <c r="X268" i="11"/>
  <c r="Y268" i="11"/>
  <c r="Z268" i="11"/>
  <c r="AA268" i="11"/>
  <c r="AB268" i="11"/>
  <c r="AC268" i="11"/>
  <c r="V269" i="11"/>
  <c r="W269" i="11"/>
  <c r="X269" i="11"/>
  <c r="Y269" i="11"/>
  <c r="Z269" i="11"/>
  <c r="AA269" i="11"/>
  <c r="AB269" i="11"/>
  <c r="AC269" i="11"/>
  <c r="V270" i="11"/>
  <c r="W270" i="11"/>
  <c r="X270" i="11"/>
  <c r="Y270" i="11"/>
  <c r="Z270" i="11"/>
  <c r="AA270" i="11"/>
  <c r="AB270" i="11"/>
  <c r="AC270" i="11"/>
  <c r="V271" i="11"/>
  <c r="W271" i="11"/>
  <c r="X271" i="11"/>
  <c r="Y271" i="11"/>
  <c r="Z271" i="11"/>
  <c r="AA271" i="11"/>
  <c r="AB271" i="11"/>
  <c r="AC271" i="11"/>
  <c r="V272" i="11"/>
  <c r="W272" i="11"/>
  <c r="X272" i="11"/>
  <c r="Y272" i="11"/>
  <c r="Z272" i="11"/>
  <c r="AA272" i="11"/>
  <c r="AB272" i="11"/>
  <c r="AC272" i="11"/>
  <c r="V273" i="11"/>
  <c r="W273" i="11"/>
  <c r="X273" i="11"/>
  <c r="Y273" i="11"/>
  <c r="Z273" i="11"/>
  <c r="AA273" i="11"/>
  <c r="AB273" i="11"/>
  <c r="AC273" i="11"/>
  <c r="V274" i="11"/>
  <c r="W274" i="11"/>
  <c r="X274" i="11"/>
  <c r="Y274" i="11"/>
  <c r="Z274" i="11"/>
  <c r="AA274" i="11"/>
  <c r="AB274" i="11"/>
  <c r="AC274" i="11"/>
  <c r="V275" i="11"/>
  <c r="W275" i="11"/>
  <c r="X275" i="11"/>
  <c r="Y275" i="11"/>
  <c r="Z275" i="11"/>
  <c r="AA275" i="11"/>
  <c r="AB275" i="11"/>
  <c r="AC275" i="11"/>
  <c r="W195" i="11"/>
  <c r="X195" i="11"/>
  <c r="Y195" i="11"/>
  <c r="Z195" i="11"/>
  <c r="AA195" i="11"/>
  <c r="AB195" i="11"/>
  <c r="AC195" i="11"/>
  <c r="V195" i="11"/>
  <c r="V169" i="11"/>
  <c r="P7" i="8"/>
  <c r="B169" i="11"/>
  <c r="AF169" i="11"/>
  <c r="W44" i="11"/>
  <c r="Q3" i="8"/>
  <c r="C44" i="11"/>
  <c r="AG44" i="11"/>
  <c r="W45" i="11"/>
  <c r="Q4" i="8"/>
  <c r="C45" i="11"/>
  <c r="AG45" i="11"/>
  <c r="W46" i="11"/>
  <c r="Q5" i="8"/>
  <c r="C46" i="11"/>
  <c r="AG46" i="11"/>
  <c r="W47" i="11"/>
  <c r="Q10" i="8"/>
  <c r="C47" i="11"/>
  <c r="AG47" i="11"/>
  <c r="W48" i="11"/>
  <c r="Q13" i="8"/>
  <c r="C48" i="11"/>
  <c r="AG48" i="11"/>
  <c r="W49" i="11"/>
  <c r="Q16" i="8"/>
  <c r="C49" i="11"/>
  <c r="AG49" i="11"/>
  <c r="W50" i="11"/>
  <c r="Q17" i="8"/>
  <c r="C50" i="11"/>
  <c r="AG50" i="11"/>
  <c r="W51" i="11"/>
  <c r="Q19" i="8"/>
  <c r="C51" i="11"/>
  <c r="AG51" i="11"/>
  <c r="W52" i="11"/>
  <c r="Q22" i="8"/>
  <c r="C52" i="11"/>
  <c r="AG52" i="11"/>
  <c r="W53" i="11"/>
  <c r="Q23" i="8"/>
  <c r="C53" i="11"/>
  <c r="AG53" i="11"/>
  <c r="W54" i="11"/>
  <c r="Q26" i="8"/>
  <c r="C54" i="11"/>
  <c r="AG54" i="11"/>
  <c r="W55" i="11"/>
  <c r="Q27" i="8"/>
  <c r="C55" i="11"/>
  <c r="AG55" i="11"/>
  <c r="W56" i="11"/>
  <c r="Q28" i="8"/>
  <c r="C56" i="11"/>
  <c r="AG56" i="11"/>
  <c r="W57" i="11"/>
  <c r="Q31" i="8"/>
  <c r="C57" i="11"/>
  <c r="AG57" i="11"/>
  <c r="W58" i="11"/>
  <c r="Q29" i="8"/>
  <c r="C58" i="11"/>
  <c r="AG58" i="11"/>
  <c r="W59" i="11"/>
  <c r="Q33" i="8"/>
  <c r="C59" i="11"/>
  <c r="AG59" i="11"/>
  <c r="W60" i="11"/>
  <c r="Q34" i="8"/>
  <c r="C60" i="11"/>
  <c r="AG60" i="11"/>
  <c r="W61" i="11"/>
  <c r="Q38" i="8"/>
  <c r="C61" i="11"/>
  <c r="AG61" i="11"/>
  <c r="W62" i="11"/>
  <c r="Q43" i="8"/>
  <c r="C62" i="11"/>
  <c r="AG62" i="11"/>
  <c r="W63" i="11"/>
  <c r="Q44" i="8"/>
  <c r="Q36" i="8"/>
  <c r="C63" i="11"/>
  <c r="AG63" i="11"/>
  <c r="W64" i="11"/>
  <c r="Q45" i="8"/>
  <c r="C64" i="11"/>
  <c r="AG64" i="11"/>
  <c r="W65" i="11"/>
  <c r="C65" i="11"/>
  <c r="AG65" i="11"/>
  <c r="W66" i="11"/>
  <c r="Q46" i="8"/>
  <c r="C66" i="11"/>
  <c r="AG66" i="11"/>
  <c r="W67" i="11"/>
  <c r="Q47" i="8"/>
  <c r="C67" i="11"/>
  <c r="AG67" i="11"/>
  <c r="W68" i="11"/>
  <c r="Q53" i="8"/>
  <c r="C68" i="11"/>
  <c r="AG68" i="11"/>
  <c r="W69" i="11"/>
  <c r="Q54" i="8"/>
  <c r="C69" i="11"/>
  <c r="AG69" i="11"/>
  <c r="W70" i="11"/>
  <c r="Q55" i="8"/>
  <c r="C70" i="11"/>
  <c r="AG70" i="11"/>
  <c r="W71" i="11"/>
  <c r="Q56" i="8"/>
  <c r="C71" i="11"/>
  <c r="AG71" i="11"/>
  <c r="W72" i="11"/>
  <c r="Q58" i="8"/>
  <c r="C72" i="11"/>
  <c r="AG72" i="11"/>
  <c r="W73" i="11"/>
  <c r="Q59" i="8"/>
  <c r="C73" i="11"/>
  <c r="AG73" i="11"/>
  <c r="W74" i="11"/>
  <c r="Q60" i="8"/>
  <c r="C74" i="11"/>
  <c r="AG74" i="11"/>
  <c r="W75" i="11"/>
  <c r="Q171" i="8"/>
  <c r="C75" i="11"/>
  <c r="AG75" i="11"/>
  <c r="W76" i="11"/>
  <c r="C76" i="11"/>
  <c r="AG76" i="11"/>
  <c r="W77" i="11"/>
  <c r="C77" i="11"/>
  <c r="AG77" i="11"/>
  <c r="W78" i="11"/>
  <c r="C78" i="11"/>
  <c r="AG78" i="11"/>
  <c r="W79" i="11"/>
  <c r="C79" i="11"/>
  <c r="AG79" i="11"/>
  <c r="W80" i="11"/>
  <c r="C80" i="11"/>
  <c r="AG80" i="11"/>
  <c r="W81" i="11"/>
  <c r="C81" i="11"/>
  <c r="AG81" i="11"/>
  <c r="W82" i="11"/>
  <c r="Q74" i="8"/>
  <c r="C82" i="11"/>
  <c r="AG82" i="11"/>
  <c r="W83" i="11"/>
  <c r="Q75" i="8"/>
  <c r="C83" i="11"/>
  <c r="AG83" i="11"/>
  <c r="W84" i="11"/>
  <c r="Q80" i="8"/>
  <c r="C84" i="11"/>
  <c r="AG84" i="11"/>
  <c r="W85" i="11"/>
  <c r="Q79" i="8"/>
  <c r="C85" i="11"/>
  <c r="AG85" i="11"/>
  <c r="W86" i="11"/>
  <c r="C86" i="11"/>
  <c r="AG86" i="11"/>
  <c r="W87" i="11"/>
  <c r="Q81" i="8"/>
  <c r="C87" i="11"/>
  <c r="AG87" i="11"/>
  <c r="W88" i="11"/>
  <c r="Q82" i="8"/>
  <c r="C88" i="11"/>
  <c r="AG88" i="11"/>
  <c r="W89" i="11"/>
  <c r="Q85" i="8"/>
  <c r="C89" i="11"/>
  <c r="AG89" i="11"/>
  <c r="W90" i="11"/>
  <c r="Q87" i="8"/>
  <c r="C90" i="11"/>
  <c r="AG90" i="11"/>
  <c r="W91" i="11"/>
  <c r="Q91" i="8"/>
  <c r="C91" i="11"/>
  <c r="AG91" i="11"/>
  <c r="W92" i="11"/>
  <c r="Q94" i="8"/>
  <c r="C92" i="11"/>
  <c r="AG92" i="11"/>
  <c r="W93" i="11"/>
  <c r="Q95" i="8"/>
  <c r="C93" i="11"/>
  <c r="AG93" i="11"/>
  <c r="W94" i="11"/>
  <c r="Q96" i="8"/>
  <c r="C94" i="11"/>
  <c r="AG94" i="11"/>
  <c r="W95" i="11"/>
  <c r="Q97" i="8"/>
  <c r="C95" i="11"/>
  <c r="AG95" i="11"/>
  <c r="W96" i="11"/>
  <c r="Q98" i="8"/>
  <c r="C96" i="11"/>
  <c r="AG96" i="11"/>
  <c r="W97" i="11"/>
  <c r="Q99" i="8"/>
  <c r="C97" i="11"/>
  <c r="AG97" i="11"/>
  <c r="W98" i="11"/>
  <c r="Q100" i="8"/>
  <c r="C98" i="11"/>
  <c r="AG98" i="11"/>
  <c r="W99" i="11"/>
  <c r="C99" i="11"/>
  <c r="AG99" i="11"/>
  <c r="W100" i="11"/>
  <c r="Q103" i="8"/>
  <c r="C100" i="11"/>
  <c r="AG100" i="11"/>
  <c r="W101" i="11"/>
  <c r="Q104" i="8"/>
  <c r="C101" i="11"/>
  <c r="AG101" i="11"/>
  <c r="W102" i="11"/>
  <c r="Q107" i="8"/>
  <c r="C102" i="11"/>
  <c r="AG102" i="11"/>
  <c r="W103" i="11"/>
  <c r="Q108" i="8"/>
  <c r="C103" i="11"/>
  <c r="AG103" i="11"/>
  <c r="W104" i="11"/>
  <c r="Q110" i="8"/>
  <c r="C104" i="11"/>
  <c r="AG104" i="11"/>
  <c r="W105" i="11"/>
  <c r="Q111" i="8"/>
  <c r="C105" i="11"/>
  <c r="AG105" i="11"/>
  <c r="W106" i="11"/>
  <c r="Q114" i="8"/>
  <c r="C106" i="11"/>
  <c r="AG106" i="11"/>
  <c r="W107" i="11"/>
  <c r="Q116" i="8"/>
  <c r="C107" i="11"/>
  <c r="AG107" i="11"/>
  <c r="W108" i="11"/>
  <c r="Q117" i="8"/>
  <c r="C108" i="11"/>
  <c r="AG108" i="11"/>
  <c r="W109" i="11"/>
  <c r="Q118" i="8"/>
  <c r="C109" i="11"/>
  <c r="AG109" i="11"/>
  <c r="W110" i="11"/>
  <c r="Q120" i="8"/>
  <c r="C110" i="11"/>
  <c r="AG110" i="11"/>
  <c r="W111" i="11"/>
  <c r="Q122" i="8"/>
  <c r="C111" i="11"/>
  <c r="AG111" i="11"/>
  <c r="W112" i="11"/>
  <c r="Q125" i="8"/>
  <c r="C112" i="11"/>
  <c r="AG112" i="11"/>
  <c r="W113" i="11"/>
  <c r="Q126" i="8"/>
  <c r="C113" i="11"/>
  <c r="AG113" i="11"/>
  <c r="W114" i="11"/>
  <c r="Q127" i="8"/>
  <c r="C114" i="11"/>
  <c r="AG114" i="11"/>
  <c r="W115" i="11"/>
  <c r="Q128" i="8"/>
  <c r="C115" i="11"/>
  <c r="AG115" i="11"/>
  <c r="W116" i="11"/>
  <c r="Q136" i="8"/>
  <c r="C116" i="11"/>
  <c r="AG116" i="11"/>
  <c r="W117" i="11"/>
  <c r="Q137" i="8"/>
  <c r="C117" i="11"/>
  <c r="AG117" i="11"/>
  <c r="W118" i="11"/>
  <c r="Q139" i="8"/>
  <c r="C118" i="11"/>
  <c r="AG118" i="11"/>
  <c r="W119" i="11"/>
  <c r="Q140" i="8"/>
  <c r="C119" i="11"/>
  <c r="AG119" i="11"/>
  <c r="W120" i="11"/>
  <c r="Q142" i="8"/>
  <c r="C120" i="11"/>
  <c r="AG120" i="11"/>
  <c r="W121" i="11"/>
  <c r="Q144" i="8"/>
  <c r="C121" i="11"/>
  <c r="AG121" i="11"/>
  <c r="W122" i="11"/>
  <c r="Q145" i="8"/>
  <c r="C122" i="11"/>
  <c r="AG122" i="11"/>
  <c r="W123" i="11"/>
  <c r="Q146" i="8"/>
  <c r="C123" i="11"/>
  <c r="AG123" i="11"/>
  <c r="W124" i="11"/>
  <c r="Q147" i="8"/>
  <c r="C124" i="11"/>
  <c r="AG124" i="11"/>
  <c r="W125" i="11"/>
  <c r="Q148" i="8"/>
  <c r="C125" i="11"/>
  <c r="AG125" i="11"/>
  <c r="W126" i="11"/>
  <c r="Q152" i="8"/>
  <c r="C126" i="11"/>
  <c r="AG126" i="11"/>
  <c r="W127" i="11"/>
  <c r="Q153" i="8"/>
  <c r="C127" i="11"/>
  <c r="AG127" i="11"/>
  <c r="W128" i="11"/>
  <c r="Q155" i="8"/>
  <c r="C128" i="11"/>
  <c r="AG128" i="11"/>
  <c r="W129" i="11"/>
  <c r="Q156" i="8"/>
  <c r="C129" i="11"/>
  <c r="AG129" i="11"/>
  <c r="W130" i="11"/>
  <c r="Q157" i="8"/>
  <c r="C130" i="11"/>
  <c r="AG130" i="11"/>
  <c r="W131" i="11"/>
  <c r="Q162" i="8"/>
  <c r="C131" i="11"/>
  <c r="AG131" i="11"/>
  <c r="W132" i="11"/>
  <c r="Q164" i="8"/>
  <c r="C132" i="11"/>
  <c r="AG132" i="11"/>
  <c r="W133" i="11"/>
  <c r="Q165" i="8"/>
  <c r="C133" i="11"/>
  <c r="AG133" i="11"/>
  <c r="W134" i="11"/>
  <c r="Q170" i="8"/>
  <c r="C134" i="11"/>
  <c r="AG134" i="11"/>
  <c r="W135" i="11"/>
  <c r="Q173" i="8"/>
  <c r="C135" i="11"/>
  <c r="AG135" i="11"/>
  <c r="W136" i="11"/>
  <c r="Q176" i="8"/>
  <c r="C136" i="11"/>
  <c r="AG136" i="11"/>
  <c r="W137" i="11"/>
  <c r="Q177" i="8"/>
  <c r="C137" i="11"/>
  <c r="AG137" i="11"/>
  <c r="W138" i="11"/>
  <c r="Q180" i="8"/>
  <c r="C138" i="11"/>
  <c r="AG138" i="11"/>
  <c r="W139" i="11"/>
  <c r="Q181" i="8"/>
  <c r="C139" i="11"/>
  <c r="AG139" i="11"/>
  <c r="W140" i="11"/>
  <c r="Q182" i="8"/>
  <c r="C140" i="11"/>
  <c r="AG140" i="11"/>
  <c r="W141" i="11"/>
  <c r="Q183" i="8"/>
  <c r="C141" i="11"/>
  <c r="AG141" i="11"/>
  <c r="W142" i="11"/>
  <c r="Q190" i="8"/>
  <c r="C142" i="11"/>
  <c r="AG142" i="11"/>
  <c r="W143" i="11"/>
  <c r="Q191" i="8"/>
  <c r="C143" i="11"/>
  <c r="AG143" i="11"/>
  <c r="W144" i="11"/>
  <c r="Q192" i="8"/>
  <c r="C144" i="11"/>
  <c r="AG144" i="11"/>
  <c r="AG145" i="11"/>
  <c r="X44" i="11"/>
  <c r="R3" i="8"/>
  <c r="D44" i="11"/>
  <c r="AH44" i="11"/>
  <c r="X45" i="11"/>
  <c r="R4" i="8"/>
  <c r="D45" i="11"/>
  <c r="AH45" i="11"/>
  <c r="X46" i="11"/>
  <c r="R5" i="8"/>
  <c r="D46" i="11"/>
  <c r="AH46" i="11"/>
  <c r="X47" i="11"/>
  <c r="R10" i="8"/>
  <c r="D47" i="11"/>
  <c r="AH47" i="11"/>
  <c r="X48" i="11"/>
  <c r="R13" i="8"/>
  <c r="D48" i="11"/>
  <c r="AH48" i="11"/>
  <c r="X49" i="11"/>
  <c r="R16" i="8"/>
  <c r="D49" i="11"/>
  <c r="AH49" i="11"/>
  <c r="X50" i="11"/>
  <c r="R17" i="8"/>
  <c r="D50" i="11"/>
  <c r="AH50" i="11"/>
  <c r="X51" i="11"/>
  <c r="R19" i="8"/>
  <c r="D51" i="11"/>
  <c r="AH51" i="11"/>
  <c r="X52" i="11"/>
  <c r="R22" i="8"/>
  <c r="D52" i="11"/>
  <c r="AH52" i="11"/>
  <c r="X53" i="11"/>
  <c r="R23" i="8"/>
  <c r="D53" i="11"/>
  <c r="AH53" i="11"/>
  <c r="X54" i="11"/>
  <c r="R26" i="8"/>
  <c r="D54" i="11"/>
  <c r="AH54" i="11"/>
  <c r="X55" i="11"/>
  <c r="R27" i="8"/>
  <c r="D55" i="11"/>
  <c r="AH55" i="11"/>
  <c r="X56" i="11"/>
  <c r="R28" i="8"/>
  <c r="D56" i="11"/>
  <c r="AH56" i="11"/>
  <c r="X57" i="11"/>
  <c r="R31" i="8"/>
  <c r="D57" i="11"/>
  <c r="AH57" i="11"/>
  <c r="X58" i="11"/>
  <c r="R29" i="8"/>
  <c r="D58" i="11"/>
  <c r="AH58" i="11"/>
  <c r="X59" i="11"/>
  <c r="R33" i="8"/>
  <c r="D59" i="11"/>
  <c r="AH59" i="11"/>
  <c r="X60" i="11"/>
  <c r="R34" i="8"/>
  <c r="D60" i="11"/>
  <c r="AH60" i="11"/>
  <c r="X61" i="11"/>
  <c r="R38" i="8"/>
  <c r="D61" i="11"/>
  <c r="AH61" i="11"/>
  <c r="X62" i="11"/>
  <c r="R43" i="8"/>
  <c r="D62" i="11"/>
  <c r="AH62" i="11"/>
  <c r="X63" i="11"/>
  <c r="R44" i="8"/>
  <c r="D63" i="11"/>
  <c r="AH63" i="11"/>
  <c r="X64" i="11"/>
  <c r="R45" i="8"/>
  <c r="D64" i="11"/>
  <c r="AH64" i="11"/>
  <c r="X65" i="11"/>
  <c r="D65" i="11"/>
  <c r="AH65" i="11"/>
  <c r="X66" i="11"/>
  <c r="R46" i="8"/>
  <c r="D66" i="11"/>
  <c r="AH66" i="11"/>
  <c r="X67" i="11"/>
  <c r="R47" i="8"/>
  <c r="D67" i="11"/>
  <c r="AH67" i="11"/>
  <c r="X68" i="11"/>
  <c r="R53" i="8"/>
  <c r="D68" i="11"/>
  <c r="AH68" i="11"/>
  <c r="X69" i="11"/>
  <c r="R54" i="8"/>
  <c r="D69" i="11"/>
  <c r="AH69" i="11"/>
  <c r="X70" i="11"/>
  <c r="R55" i="8"/>
  <c r="D70" i="11"/>
  <c r="AH70" i="11"/>
  <c r="X71" i="11"/>
  <c r="R56" i="8"/>
  <c r="D71" i="11"/>
  <c r="AH71" i="11"/>
  <c r="X72" i="11"/>
  <c r="R58" i="8"/>
  <c r="D72" i="11"/>
  <c r="AH72" i="11"/>
  <c r="X73" i="11"/>
  <c r="R59" i="8"/>
  <c r="D73" i="11"/>
  <c r="AH73" i="11"/>
  <c r="X74" i="11"/>
  <c r="R60" i="8"/>
  <c r="D74" i="11"/>
  <c r="AH74" i="11"/>
  <c r="X75" i="11"/>
  <c r="D75" i="11"/>
  <c r="AH75" i="11"/>
  <c r="X76" i="11"/>
  <c r="D76" i="11"/>
  <c r="AH76" i="11"/>
  <c r="X77" i="11"/>
  <c r="D77" i="11"/>
  <c r="AH77" i="11"/>
  <c r="X78" i="11"/>
  <c r="D78" i="11"/>
  <c r="AH78" i="11"/>
  <c r="X79" i="11"/>
  <c r="D79" i="11"/>
  <c r="AH79" i="11"/>
  <c r="X80" i="11"/>
  <c r="D80" i="11"/>
  <c r="AH80" i="11"/>
  <c r="X81" i="11"/>
  <c r="D81" i="11"/>
  <c r="AH81" i="11"/>
  <c r="X82" i="11"/>
  <c r="R74" i="8"/>
  <c r="D82" i="11"/>
  <c r="AH82" i="11"/>
  <c r="X83" i="11"/>
  <c r="R75" i="8"/>
  <c r="D83" i="11"/>
  <c r="AH83" i="11"/>
  <c r="X84" i="11"/>
  <c r="R80" i="8"/>
  <c r="D84" i="11"/>
  <c r="AH84" i="11"/>
  <c r="X85" i="11"/>
  <c r="R79" i="8"/>
  <c r="D85" i="11"/>
  <c r="AH85" i="11"/>
  <c r="X86" i="11"/>
  <c r="D86" i="11"/>
  <c r="AH86" i="11"/>
  <c r="X87" i="11"/>
  <c r="R81" i="8"/>
  <c r="D87" i="11"/>
  <c r="AH87" i="11"/>
  <c r="X88" i="11"/>
  <c r="R82" i="8"/>
  <c r="D88" i="11"/>
  <c r="AH88" i="11"/>
  <c r="X89" i="11"/>
  <c r="R85" i="8"/>
  <c r="D89" i="11"/>
  <c r="AH89" i="11"/>
  <c r="X90" i="11"/>
  <c r="R87" i="8"/>
  <c r="D90" i="11"/>
  <c r="AH90" i="11"/>
  <c r="X91" i="11"/>
  <c r="R91" i="8"/>
  <c r="D91" i="11"/>
  <c r="AH91" i="11"/>
  <c r="X92" i="11"/>
  <c r="R94" i="8"/>
  <c r="D92" i="11"/>
  <c r="AH92" i="11"/>
  <c r="X93" i="11"/>
  <c r="R95" i="8"/>
  <c r="D93" i="11"/>
  <c r="AH93" i="11"/>
  <c r="X94" i="11"/>
  <c r="R96" i="8"/>
  <c r="D94" i="11"/>
  <c r="AH94" i="11"/>
  <c r="X95" i="11"/>
  <c r="R97" i="8"/>
  <c r="D95" i="11"/>
  <c r="AH95" i="11"/>
  <c r="X96" i="11"/>
  <c r="R98" i="8"/>
  <c r="D96" i="11"/>
  <c r="AH96" i="11"/>
  <c r="X97" i="11"/>
  <c r="R99" i="8"/>
  <c r="D97" i="11"/>
  <c r="AH97" i="11"/>
  <c r="X98" i="11"/>
  <c r="R100" i="8"/>
  <c r="D98" i="11"/>
  <c r="AH98" i="11"/>
  <c r="X99" i="11"/>
  <c r="D99" i="11"/>
  <c r="AH99" i="11"/>
  <c r="X100" i="11"/>
  <c r="D100" i="11"/>
  <c r="AH100" i="11"/>
  <c r="X101" i="11"/>
  <c r="R104" i="8"/>
  <c r="D101" i="11"/>
  <c r="AH101" i="11"/>
  <c r="X102" i="11"/>
  <c r="R107" i="8"/>
  <c r="D102" i="11"/>
  <c r="AH102" i="11"/>
  <c r="X103" i="11"/>
  <c r="R108" i="8"/>
  <c r="D103" i="11"/>
  <c r="AH103" i="11"/>
  <c r="X104" i="11"/>
  <c r="R110" i="8"/>
  <c r="D104" i="11"/>
  <c r="AH104" i="11"/>
  <c r="X105" i="11"/>
  <c r="R111" i="8"/>
  <c r="D105" i="11"/>
  <c r="AH105" i="11"/>
  <c r="X106" i="11"/>
  <c r="R114" i="8"/>
  <c r="D106" i="11"/>
  <c r="AH106" i="11"/>
  <c r="X107" i="11"/>
  <c r="R116" i="8"/>
  <c r="D107" i="11"/>
  <c r="AH107" i="11"/>
  <c r="X108" i="11"/>
  <c r="R117" i="8"/>
  <c r="D108" i="11"/>
  <c r="AH108" i="11"/>
  <c r="X109" i="11"/>
  <c r="R118" i="8"/>
  <c r="D109" i="11"/>
  <c r="AH109" i="11"/>
  <c r="X110" i="11"/>
  <c r="R120" i="8"/>
  <c r="D110" i="11"/>
  <c r="AH110" i="11"/>
  <c r="X111" i="11"/>
  <c r="R122" i="8"/>
  <c r="D111" i="11"/>
  <c r="AH111" i="11"/>
  <c r="X112" i="11"/>
  <c r="R125" i="8"/>
  <c r="D112" i="11"/>
  <c r="AH112" i="11"/>
  <c r="X113" i="11"/>
  <c r="R126" i="8"/>
  <c r="D113" i="11"/>
  <c r="AH113" i="11"/>
  <c r="X114" i="11"/>
  <c r="R127" i="8"/>
  <c r="D114" i="11"/>
  <c r="AH114" i="11"/>
  <c r="X115" i="11"/>
  <c r="R128" i="8"/>
  <c r="D115" i="11"/>
  <c r="AH115" i="11"/>
  <c r="X116" i="11"/>
  <c r="R136" i="8"/>
  <c r="D116" i="11"/>
  <c r="AH116" i="11"/>
  <c r="X117" i="11"/>
  <c r="R137" i="8"/>
  <c r="D117" i="11"/>
  <c r="AH117" i="11"/>
  <c r="X118" i="11"/>
  <c r="R139" i="8"/>
  <c r="D118" i="11"/>
  <c r="AH118" i="11"/>
  <c r="X119" i="11"/>
  <c r="R140" i="8"/>
  <c r="D119" i="11"/>
  <c r="AH119" i="11"/>
  <c r="X120" i="11"/>
  <c r="R142" i="8"/>
  <c r="D120" i="11"/>
  <c r="AH120" i="11"/>
  <c r="X121" i="11"/>
  <c r="R144" i="8"/>
  <c r="D121" i="11"/>
  <c r="AH121" i="11"/>
  <c r="X122" i="11"/>
  <c r="R145" i="8"/>
  <c r="D122" i="11"/>
  <c r="AH122" i="11"/>
  <c r="X123" i="11"/>
  <c r="R146" i="8"/>
  <c r="D123" i="11"/>
  <c r="AH123" i="11"/>
  <c r="X124" i="11"/>
  <c r="R147" i="8"/>
  <c r="D124" i="11"/>
  <c r="AH124" i="11"/>
  <c r="X125" i="11"/>
  <c r="R148" i="8"/>
  <c r="D125" i="11"/>
  <c r="AH125" i="11"/>
  <c r="X126" i="11"/>
  <c r="R152" i="8"/>
  <c r="D126" i="11"/>
  <c r="AH126" i="11"/>
  <c r="X127" i="11"/>
  <c r="R153" i="8"/>
  <c r="D127" i="11"/>
  <c r="AH127" i="11"/>
  <c r="X128" i="11"/>
  <c r="R155" i="8"/>
  <c r="D128" i="11"/>
  <c r="AH128" i="11"/>
  <c r="X129" i="11"/>
  <c r="R156" i="8"/>
  <c r="D129" i="11"/>
  <c r="AH129" i="11"/>
  <c r="X130" i="11"/>
  <c r="R157" i="8"/>
  <c r="D130" i="11"/>
  <c r="AH130" i="11"/>
  <c r="X131" i="11"/>
  <c r="R162" i="8"/>
  <c r="D131" i="11"/>
  <c r="AH131" i="11"/>
  <c r="X132" i="11"/>
  <c r="R164" i="8"/>
  <c r="D132" i="11"/>
  <c r="AH132" i="11"/>
  <c r="X133" i="11"/>
  <c r="R165" i="8"/>
  <c r="D133" i="11"/>
  <c r="AH133" i="11"/>
  <c r="X134" i="11"/>
  <c r="R170" i="8"/>
  <c r="D134" i="11"/>
  <c r="AH134" i="11"/>
  <c r="X135" i="11"/>
  <c r="R173" i="8"/>
  <c r="D135" i="11"/>
  <c r="AH135" i="11"/>
  <c r="X136" i="11"/>
  <c r="R176" i="8"/>
  <c r="D136" i="11"/>
  <c r="AH136" i="11"/>
  <c r="X137" i="11"/>
  <c r="R177" i="8"/>
  <c r="D137" i="11"/>
  <c r="AH137" i="11"/>
  <c r="X138" i="11"/>
  <c r="R180" i="8"/>
  <c r="D138" i="11"/>
  <c r="AH138" i="11"/>
  <c r="X139" i="11"/>
  <c r="R181" i="8"/>
  <c r="D139" i="11"/>
  <c r="AH139" i="11"/>
  <c r="X140" i="11"/>
  <c r="R182" i="8"/>
  <c r="D140" i="11"/>
  <c r="AH140" i="11"/>
  <c r="X141" i="11"/>
  <c r="R183" i="8"/>
  <c r="D141" i="11"/>
  <c r="AH141" i="11"/>
  <c r="X142" i="11"/>
  <c r="D142" i="11"/>
  <c r="AH142" i="11"/>
  <c r="X143" i="11"/>
  <c r="R191" i="8"/>
  <c r="D143" i="11"/>
  <c r="AH143" i="11"/>
  <c r="X144" i="11"/>
  <c r="R192" i="8"/>
  <c r="D144" i="11"/>
  <c r="AH144" i="11"/>
  <c r="AH145" i="11"/>
  <c r="Y44" i="11"/>
  <c r="S3" i="8"/>
  <c r="E44" i="11"/>
  <c r="AI44" i="11"/>
  <c r="Y45" i="11"/>
  <c r="S4" i="8"/>
  <c r="E45" i="11"/>
  <c r="AI45" i="11"/>
  <c r="Y46" i="11"/>
  <c r="S5" i="8"/>
  <c r="E46" i="11"/>
  <c r="AI46" i="11"/>
  <c r="Y47" i="11"/>
  <c r="S10" i="8"/>
  <c r="E47" i="11"/>
  <c r="AI47" i="11"/>
  <c r="Y48" i="11"/>
  <c r="S13" i="8"/>
  <c r="E48" i="11"/>
  <c r="AI48" i="11"/>
  <c r="Y49" i="11"/>
  <c r="S16" i="8"/>
  <c r="E49" i="11"/>
  <c r="AI49" i="11"/>
  <c r="Y50" i="11"/>
  <c r="S17" i="8"/>
  <c r="E50" i="11"/>
  <c r="AI50" i="11"/>
  <c r="Y51" i="11"/>
  <c r="S19" i="8"/>
  <c r="E51" i="11"/>
  <c r="AI51" i="11"/>
  <c r="Y52" i="11"/>
  <c r="S22" i="8"/>
  <c r="E52" i="11"/>
  <c r="AI52" i="11"/>
  <c r="Y53" i="11"/>
  <c r="S23" i="8"/>
  <c r="E53" i="11"/>
  <c r="AI53" i="11"/>
  <c r="Y54" i="11"/>
  <c r="S26" i="8"/>
  <c r="E54" i="11"/>
  <c r="AI54" i="11"/>
  <c r="Y55" i="11"/>
  <c r="S27" i="8"/>
  <c r="E55" i="11"/>
  <c r="AI55" i="11"/>
  <c r="Y56" i="11"/>
  <c r="S28" i="8"/>
  <c r="E56" i="11"/>
  <c r="AI56" i="11"/>
  <c r="Y57" i="11"/>
  <c r="S31" i="8"/>
  <c r="E57" i="11"/>
  <c r="AI57" i="11"/>
  <c r="Y58" i="11"/>
  <c r="S29" i="8"/>
  <c r="E58" i="11"/>
  <c r="AI58" i="11"/>
  <c r="Y59" i="11"/>
  <c r="S33" i="8"/>
  <c r="E59" i="11"/>
  <c r="AI59" i="11"/>
  <c r="Y60" i="11"/>
  <c r="S34" i="8"/>
  <c r="E60" i="11"/>
  <c r="AI60" i="11"/>
  <c r="Y61" i="11"/>
  <c r="S38" i="8"/>
  <c r="E61" i="11"/>
  <c r="AI61" i="11"/>
  <c r="Y62" i="11"/>
  <c r="S43" i="8"/>
  <c r="E62" i="11"/>
  <c r="AI62" i="11"/>
  <c r="Y63" i="11"/>
  <c r="S44" i="8"/>
  <c r="E63" i="11"/>
  <c r="AI63" i="11"/>
  <c r="Y64" i="11"/>
  <c r="S45" i="8"/>
  <c r="E64" i="11"/>
  <c r="AI64" i="11"/>
  <c r="Y65" i="11"/>
  <c r="E65" i="11"/>
  <c r="AI65" i="11"/>
  <c r="Y66" i="11"/>
  <c r="S46" i="8"/>
  <c r="E66" i="11"/>
  <c r="AI66" i="11"/>
  <c r="Y67" i="11"/>
  <c r="S47" i="8"/>
  <c r="E67" i="11"/>
  <c r="AI67" i="11"/>
  <c r="Y68" i="11"/>
  <c r="S53" i="8"/>
  <c r="E68" i="11"/>
  <c r="AI68" i="11"/>
  <c r="Y69" i="11"/>
  <c r="S54" i="8"/>
  <c r="E69" i="11"/>
  <c r="AI69" i="11"/>
  <c r="Y70" i="11"/>
  <c r="S55" i="8"/>
  <c r="E70" i="11"/>
  <c r="AI70" i="11"/>
  <c r="Y71" i="11"/>
  <c r="S56" i="8"/>
  <c r="E71" i="11"/>
  <c r="AI71" i="11"/>
  <c r="Y72" i="11"/>
  <c r="S58" i="8"/>
  <c r="E72" i="11"/>
  <c r="AI72" i="11"/>
  <c r="Y73" i="11"/>
  <c r="S59" i="8"/>
  <c r="E73" i="11"/>
  <c r="AI73" i="11"/>
  <c r="Y74" i="11"/>
  <c r="S60" i="8"/>
  <c r="E74" i="11"/>
  <c r="AI74" i="11"/>
  <c r="Y75" i="11"/>
  <c r="E75" i="11"/>
  <c r="AI75" i="11"/>
  <c r="Y76" i="11"/>
  <c r="E76" i="11"/>
  <c r="AI76" i="11"/>
  <c r="Y77" i="11"/>
  <c r="E77" i="11"/>
  <c r="AI77" i="11"/>
  <c r="Y78" i="11"/>
  <c r="E78" i="11"/>
  <c r="AI78" i="11"/>
  <c r="Y79" i="11"/>
  <c r="E79" i="11"/>
  <c r="AI79" i="11"/>
  <c r="Y80" i="11"/>
  <c r="E80" i="11"/>
  <c r="AI80" i="11"/>
  <c r="Y81" i="11"/>
  <c r="E81" i="11"/>
  <c r="AI81" i="11"/>
  <c r="Y82" i="11"/>
  <c r="S74" i="8"/>
  <c r="E82" i="11"/>
  <c r="AI82" i="11"/>
  <c r="Y83" i="11"/>
  <c r="S75" i="8"/>
  <c r="E83" i="11"/>
  <c r="AI83" i="11"/>
  <c r="Y84" i="11"/>
  <c r="S80" i="8"/>
  <c r="E84" i="11"/>
  <c r="AI84" i="11"/>
  <c r="Y85" i="11"/>
  <c r="S79" i="8"/>
  <c r="E85" i="11"/>
  <c r="AI85" i="11"/>
  <c r="Y86" i="11"/>
  <c r="E86" i="11"/>
  <c r="AI86" i="11"/>
  <c r="Y87" i="11"/>
  <c r="S81" i="8"/>
  <c r="E87" i="11"/>
  <c r="AI87" i="11"/>
  <c r="Y88" i="11"/>
  <c r="S82" i="8"/>
  <c r="E88" i="11"/>
  <c r="AI88" i="11"/>
  <c r="Y89" i="11"/>
  <c r="S85" i="8"/>
  <c r="E89" i="11"/>
  <c r="AI89" i="11"/>
  <c r="Y90" i="11"/>
  <c r="S87" i="8"/>
  <c r="E90" i="11"/>
  <c r="AI90" i="11"/>
  <c r="Y91" i="11"/>
  <c r="S91" i="8"/>
  <c r="E91" i="11"/>
  <c r="AI91" i="11"/>
  <c r="Y92" i="11"/>
  <c r="S94" i="8"/>
  <c r="E92" i="11"/>
  <c r="AI92" i="11"/>
  <c r="Y93" i="11"/>
  <c r="S95" i="8"/>
  <c r="E93" i="11"/>
  <c r="AI93" i="11"/>
  <c r="Y94" i="11"/>
  <c r="S96" i="8"/>
  <c r="E94" i="11"/>
  <c r="AI94" i="11"/>
  <c r="Y95" i="11"/>
  <c r="S97" i="8"/>
  <c r="E95" i="11"/>
  <c r="AI95" i="11"/>
  <c r="Y96" i="11"/>
  <c r="S98" i="8"/>
  <c r="E96" i="11"/>
  <c r="AI96" i="11"/>
  <c r="Y97" i="11"/>
  <c r="S99" i="8"/>
  <c r="E97" i="11"/>
  <c r="AI97" i="11"/>
  <c r="Y98" i="11"/>
  <c r="S100" i="8"/>
  <c r="E98" i="11"/>
  <c r="AI98" i="11"/>
  <c r="Y99" i="11"/>
  <c r="E99" i="11"/>
  <c r="AI99" i="11"/>
  <c r="Y100" i="11"/>
  <c r="E100" i="11"/>
  <c r="AI100" i="11"/>
  <c r="Y101" i="11"/>
  <c r="S104" i="8"/>
  <c r="E101" i="11"/>
  <c r="AI101" i="11"/>
  <c r="Y102" i="11"/>
  <c r="S107" i="8"/>
  <c r="E102" i="11"/>
  <c r="AI102" i="11"/>
  <c r="Y103" i="11"/>
  <c r="S108" i="8"/>
  <c r="E103" i="11"/>
  <c r="AI103" i="11"/>
  <c r="Y104" i="11"/>
  <c r="S110" i="8"/>
  <c r="E104" i="11"/>
  <c r="AI104" i="11"/>
  <c r="Y105" i="11"/>
  <c r="S111" i="8"/>
  <c r="E105" i="11"/>
  <c r="AI105" i="11"/>
  <c r="Y106" i="11"/>
  <c r="S114" i="8"/>
  <c r="E106" i="11"/>
  <c r="AI106" i="11"/>
  <c r="Y107" i="11"/>
  <c r="S116" i="8"/>
  <c r="E107" i="11"/>
  <c r="AI107" i="11"/>
  <c r="Y108" i="11"/>
  <c r="S117" i="8"/>
  <c r="E108" i="11"/>
  <c r="AI108" i="11"/>
  <c r="Y109" i="11"/>
  <c r="S118" i="8"/>
  <c r="E109" i="11"/>
  <c r="AI109" i="11"/>
  <c r="Y110" i="11"/>
  <c r="S120" i="8"/>
  <c r="E110" i="11"/>
  <c r="AI110" i="11"/>
  <c r="Y111" i="11"/>
  <c r="S122" i="8"/>
  <c r="E111" i="11"/>
  <c r="AI111" i="11"/>
  <c r="Y112" i="11"/>
  <c r="S125" i="8"/>
  <c r="E112" i="11"/>
  <c r="AI112" i="11"/>
  <c r="Y113" i="11"/>
  <c r="S126" i="8"/>
  <c r="E113" i="11"/>
  <c r="AI113" i="11"/>
  <c r="Y114" i="11"/>
  <c r="S127" i="8"/>
  <c r="E114" i="11"/>
  <c r="AI114" i="11"/>
  <c r="Y115" i="11"/>
  <c r="S128" i="8"/>
  <c r="E115" i="11"/>
  <c r="AI115" i="11"/>
  <c r="Y116" i="11"/>
  <c r="S136" i="8"/>
  <c r="E116" i="11"/>
  <c r="AI116" i="11"/>
  <c r="Y117" i="11"/>
  <c r="S137" i="8"/>
  <c r="E117" i="11"/>
  <c r="AI117" i="11"/>
  <c r="Y118" i="11"/>
  <c r="S139" i="8"/>
  <c r="E118" i="11"/>
  <c r="AI118" i="11"/>
  <c r="Y119" i="11"/>
  <c r="S140" i="8"/>
  <c r="E119" i="11"/>
  <c r="AI119" i="11"/>
  <c r="Y120" i="11"/>
  <c r="S142" i="8"/>
  <c r="E120" i="11"/>
  <c r="AI120" i="11"/>
  <c r="Y121" i="11"/>
  <c r="S144" i="8"/>
  <c r="E121" i="11"/>
  <c r="AI121" i="11"/>
  <c r="Y122" i="11"/>
  <c r="S145" i="8"/>
  <c r="E122" i="11"/>
  <c r="AI122" i="11"/>
  <c r="Y123" i="11"/>
  <c r="S146" i="8"/>
  <c r="E123" i="11"/>
  <c r="AI123" i="11"/>
  <c r="Y124" i="11"/>
  <c r="S147" i="8"/>
  <c r="E124" i="11"/>
  <c r="AI124" i="11"/>
  <c r="Y125" i="11"/>
  <c r="S148" i="8"/>
  <c r="E125" i="11"/>
  <c r="AI125" i="11"/>
  <c r="Y126" i="11"/>
  <c r="S152" i="8"/>
  <c r="E126" i="11"/>
  <c r="AI126" i="11"/>
  <c r="Y127" i="11"/>
  <c r="S153" i="8"/>
  <c r="E127" i="11"/>
  <c r="AI127" i="11"/>
  <c r="Y128" i="11"/>
  <c r="S155" i="8"/>
  <c r="E128" i="11"/>
  <c r="AI128" i="11"/>
  <c r="Y129" i="11"/>
  <c r="S156" i="8"/>
  <c r="E129" i="11"/>
  <c r="AI129" i="11"/>
  <c r="Y130" i="11"/>
  <c r="S157" i="8"/>
  <c r="E130" i="11"/>
  <c r="AI130" i="11"/>
  <c r="Y131" i="11"/>
  <c r="S162" i="8"/>
  <c r="E131" i="11"/>
  <c r="AI131" i="11"/>
  <c r="Y132" i="11"/>
  <c r="S164" i="8"/>
  <c r="E132" i="11"/>
  <c r="AI132" i="11"/>
  <c r="Y133" i="11"/>
  <c r="S165" i="8"/>
  <c r="E133" i="11"/>
  <c r="AI133" i="11"/>
  <c r="Y134" i="11"/>
  <c r="S170" i="8"/>
  <c r="E134" i="11"/>
  <c r="AI134" i="11"/>
  <c r="Y135" i="11"/>
  <c r="S173" i="8"/>
  <c r="E135" i="11"/>
  <c r="AI135" i="11"/>
  <c r="Y136" i="11"/>
  <c r="S176" i="8"/>
  <c r="E136" i="11"/>
  <c r="AI136" i="11"/>
  <c r="Y137" i="11"/>
  <c r="S177" i="8"/>
  <c r="E137" i="11"/>
  <c r="AI137" i="11"/>
  <c r="Y138" i="11"/>
  <c r="S180" i="8"/>
  <c r="E138" i="11"/>
  <c r="AI138" i="11"/>
  <c r="Y139" i="11"/>
  <c r="S181" i="8"/>
  <c r="E139" i="11"/>
  <c r="AI139" i="11"/>
  <c r="Y140" i="11"/>
  <c r="S182" i="8"/>
  <c r="E140" i="11"/>
  <c r="AI140" i="11"/>
  <c r="Y141" i="11"/>
  <c r="S183" i="8"/>
  <c r="E141" i="11"/>
  <c r="AI141" i="11"/>
  <c r="Y142" i="11"/>
  <c r="E142" i="11"/>
  <c r="AI142" i="11"/>
  <c r="Y143" i="11"/>
  <c r="S191" i="8"/>
  <c r="E143" i="11"/>
  <c r="AI143" i="11"/>
  <c r="Y144" i="11"/>
  <c r="S192" i="8"/>
  <c r="E144" i="11"/>
  <c r="AI144" i="11"/>
  <c r="AI145" i="11"/>
  <c r="Z44" i="11"/>
  <c r="T3" i="8"/>
  <c r="F44" i="11"/>
  <c r="AJ44" i="11"/>
  <c r="Z45" i="11"/>
  <c r="T4" i="8"/>
  <c r="F45" i="11"/>
  <c r="AJ45" i="11"/>
  <c r="Z46" i="11"/>
  <c r="T5" i="8"/>
  <c r="F46" i="11"/>
  <c r="AJ46" i="11"/>
  <c r="Z47" i="11"/>
  <c r="T10" i="8"/>
  <c r="F47" i="11"/>
  <c r="AJ47" i="11"/>
  <c r="Z48" i="11"/>
  <c r="T13" i="8"/>
  <c r="F48" i="11"/>
  <c r="AJ48" i="11"/>
  <c r="Z49" i="11"/>
  <c r="T16" i="8"/>
  <c r="F49" i="11"/>
  <c r="AJ49" i="11"/>
  <c r="Z50" i="11"/>
  <c r="T17" i="8"/>
  <c r="F50" i="11"/>
  <c r="AJ50" i="11"/>
  <c r="Z51" i="11"/>
  <c r="T19" i="8"/>
  <c r="F51" i="11"/>
  <c r="AJ51" i="11"/>
  <c r="Z52" i="11"/>
  <c r="T22" i="8"/>
  <c r="F52" i="11"/>
  <c r="AJ52" i="11"/>
  <c r="Z53" i="11"/>
  <c r="T23" i="8"/>
  <c r="F53" i="11"/>
  <c r="AJ53" i="11"/>
  <c r="Z54" i="11"/>
  <c r="T26" i="8"/>
  <c r="F54" i="11"/>
  <c r="AJ54" i="11"/>
  <c r="Z55" i="11"/>
  <c r="T27" i="8"/>
  <c r="F55" i="11"/>
  <c r="AJ55" i="11"/>
  <c r="Z56" i="11"/>
  <c r="T28" i="8"/>
  <c r="F56" i="11"/>
  <c r="AJ56" i="11"/>
  <c r="Z57" i="11"/>
  <c r="T31" i="8"/>
  <c r="F57" i="11"/>
  <c r="AJ57" i="11"/>
  <c r="Z58" i="11"/>
  <c r="T29" i="8"/>
  <c r="F58" i="11"/>
  <c r="AJ58" i="11"/>
  <c r="Z59" i="11"/>
  <c r="T33" i="8"/>
  <c r="F59" i="11"/>
  <c r="AJ59" i="11"/>
  <c r="Z60" i="11"/>
  <c r="T34" i="8"/>
  <c r="F60" i="11"/>
  <c r="AJ60" i="11"/>
  <c r="Z61" i="11"/>
  <c r="T38" i="8"/>
  <c r="F61" i="11"/>
  <c r="AJ61" i="11"/>
  <c r="Z62" i="11"/>
  <c r="T43" i="8"/>
  <c r="F62" i="11"/>
  <c r="AJ62" i="11"/>
  <c r="Z63" i="11"/>
  <c r="T44" i="8"/>
  <c r="F63" i="11"/>
  <c r="AJ63" i="11"/>
  <c r="Z64" i="11"/>
  <c r="T45" i="8"/>
  <c r="F64" i="11"/>
  <c r="AJ64" i="11"/>
  <c r="Z65" i="11"/>
  <c r="F65" i="11"/>
  <c r="AJ65" i="11"/>
  <c r="Z66" i="11"/>
  <c r="T46" i="8"/>
  <c r="F66" i="11"/>
  <c r="AJ66" i="11"/>
  <c r="Z67" i="11"/>
  <c r="T47" i="8"/>
  <c r="F67" i="11"/>
  <c r="AJ67" i="11"/>
  <c r="Z68" i="11"/>
  <c r="T53" i="8"/>
  <c r="F68" i="11"/>
  <c r="AJ68" i="11"/>
  <c r="Z69" i="11"/>
  <c r="T54" i="8"/>
  <c r="F69" i="11"/>
  <c r="AJ69" i="11"/>
  <c r="Z70" i="11"/>
  <c r="T55" i="8"/>
  <c r="F70" i="11"/>
  <c r="AJ70" i="11"/>
  <c r="Z71" i="11"/>
  <c r="T56" i="8"/>
  <c r="F71" i="11"/>
  <c r="AJ71" i="11"/>
  <c r="Z72" i="11"/>
  <c r="T58" i="8"/>
  <c r="F72" i="11"/>
  <c r="AJ72" i="11"/>
  <c r="Z73" i="11"/>
  <c r="T59" i="8"/>
  <c r="F73" i="11"/>
  <c r="AJ73" i="11"/>
  <c r="Z74" i="11"/>
  <c r="T60" i="8"/>
  <c r="F74" i="11"/>
  <c r="AJ74" i="11"/>
  <c r="Z75" i="11"/>
  <c r="F75" i="11"/>
  <c r="AJ75" i="11"/>
  <c r="Z76" i="11"/>
  <c r="F76" i="11"/>
  <c r="AJ76" i="11"/>
  <c r="Z77" i="11"/>
  <c r="F77" i="11"/>
  <c r="AJ77" i="11"/>
  <c r="Z78" i="11"/>
  <c r="F78" i="11"/>
  <c r="AJ78" i="11"/>
  <c r="Z79" i="11"/>
  <c r="F79" i="11"/>
  <c r="AJ79" i="11"/>
  <c r="Z80" i="11"/>
  <c r="F80" i="11"/>
  <c r="AJ80" i="11"/>
  <c r="Z81" i="11"/>
  <c r="F81" i="11"/>
  <c r="AJ81" i="11"/>
  <c r="Z82" i="11"/>
  <c r="T74" i="8"/>
  <c r="F82" i="11"/>
  <c r="AJ82" i="11"/>
  <c r="Z83" i="11"/>
  <c r="T75" i="8"/>
  <c r="F83" i="11"/>
  <c r="AJ83" i="11"/>
  <c r="Z84" i="11"/>
  <c r="T80" i="8"/>
  <c r="F84" i="11"/>
  <c r="AJ84" i="11"/>
  <c r="Z85" i="11"/>
  <c r="T79" i="8"/>
  <c r="F85" i="11"/>
  <c r="AJ85" i="11"/>
  <c r="Z86" i="11"/>
  <c r="F86" i="11"/>
  <c r="AJ86" i="11"/>
  <c r="Z87" i="11"/>
  <c r="T81" i="8"/>
  <c r="F87" i="11"/>
  <c r="AJ87" i="11"/>
  <c r="Z88" i="11"/>
  <c r="T82" i="8"/>
  <c r="F88" i="11"/>
  <c r="AJ88" i="11"/>
  <c r="Z89" i="11"/>
  <c r="T85" i="8"/>
  <c r="F89" i="11"/>
  <c r="AJ89" i="11"/>
  <c r="Z90" i="11"/>
  <c r="T87" i="8"/>
  <c r="F90" i="11"/>
  <c r="AJ90" i="11"/>
  <c r="Z91" i="11"/>
  <c r="T91" i="8"/>
  <c r="F91" i="11"/>
  <c r="AJ91" i="11"/>
  <c r="Z92" i="11"/>
  <c r="T94" i="8"/>
  <c r="F92" i="11"/>
  <c r="AJ92" i="11"/>
  <c r="Z93" i="11"/>
  <c r="T95" i="8"/>
  <c r="F93" i="11"/>
  <c r="AJ93" i="11"/>
  <c r="Z94" i="11"/>
  <c r="T96" i="8"/>
  <c r="F94" i="11"/>
  <c r="AJ94" i="11"/>
  <c r="Z95" i="11"/>
  <c r="T97" i="8"/>
  <c r="F95" i="11"/>
  <c r="AJ95" i="11"/>
  <c r="Z96" i="11"/>
  <c r="T98" i="8"/>
  <c r="F96" i="11"/>
  <c r="AJ96" i="11"/>
  <c r="Z97" i="11"/>
  <c r="T99" i="8"/>
  <c r="F97" i="11"/>
  <c r="AJ97" i="11"/>
  <c r="Z98" i="11"/>
  <c r="T100" i="8"/>
  <c r="F98" i="11"/>
  <c r="AJ98" i="11"/>
  <c r="Z99" i="11"/>
  <c r="F99" i="11"/>
  <c r="AJ99" i="11"/>
  <c r="Z100" i="11"/>
  <c r="F100" i="11"/>
  <c r="AJ100" i="11"/>
  <c r="Z101" i="11"/>
  <c r="T104" i="8"/>
  <c r="F101" i="11"/>
  <c r="AJ101" i="11"/>
  <c r="Z102" i="11"/>
  <c r="T107" i="8"/>
  <c r="F102" i="11"/>
  <c r="AJ102" i="11"/>
  <c r="Z103" i="11"/>
  <c r="T108" i="8"/>
  <c r="F103" i="11"/>
  <c r="AJ103" i="11"/>
  <c r="Z104" i="11"/>
  <c r="T110" i="8"/>
  <c r="F104" i="11"/>
  <c r="AJ104" i="11"/>
  <c r="Z105" i="11"/>
  <c r="T111" i="8"/>
  <c r="F105" i="11"/>
  <c r="AJ105" i="11"/>
  <c r="Z106" i="11"/>
  <c r="T114" i="8"/>
  <c r="F106" i="11"/>
  <c r="AJ106" i="11"/>
  <c r="Z107" i="11"/>
  <c r="T116" i="8"/>
  <c r="F107" i="11"/>
  <c r="AJ107" i="11"/>
  <c r="Z108" i="11"/>
  <c r="T117" i="8"/>
  <c r="F108" i="11"/>
  <c r="AJ108" i="11"/>
  <c r="Z109" i="11"/>
  <c r="T118" i="8"/>
  <c r="F109" i="11"/>
  <c r="AJ109" i="11"/>
  <c r="Z110" i="11"/>
  <c r="T120" i="8"/>
  <c r="F110" i="11"/>
  <c r="AJ110" i="11"/>
  <c r="Z111" i="11"/>
  <c r="T122" i="8"/>
  <c r="F111" i="11"/>
  <c r="AJ111" i="11"/>
  <c r="Z112" i="11"/>
  <c r="T125" i="8"/>
  <c r="F112" i="11"/>
  <c r="AJ112" i="11"/>
  <c r="Z113" i="11"/>
  <c r="T126" i="8"/>
  <c r="F113" i="11"/>
  <c r="AJ113" i="11"/>
  <c r="Z114" i="11"/>
  <c r="T127" i="8"/>
  <c r="F114" i="11"/>
  <c r="AJ114" i="11"/>
  <c r="Z115" i="11"/>
  <c r="T128" i="8"/>
  <c r="F115" i="11"/>
  <c r="AJ115" i="11"/>
  <c r="Z116" i="11"/>
  <c r="T136" i="8"/>
  <c r="F116" i="11"/>
  <c r="AJ116" i="11"/>
  <c r="Z117" i="11"/>
  <c r="T137" i="8"/>
  <c r="F117" i="11"/>
  <c r="AJ117" i="11"/>
  <c r="Z118" i="11"/>
  <c r="T139" i="8"/>
  <c r="F118" i="11"/>
  <c r="AJ118" i="11"/>
  <c r="Z119" i="11"/>
  <c r="T140" i="8"/>
  <c r="F119" i="11"/>
  <c r="AJ119" i="11"/>
  <c r="Z120" i="11"/>
  <c r="T142" i="8"/>
  <c r="F120" i="11"/>
  <c r="AJ120" i="11"/>
  <c r="Z121" i="11"/>
  <c r="T144" i="8"/>
  <c r="F121" i="11"/>
  <c r="AJ121" i="11"/>
  <c r="Z122" i="11"/>
  <c r="T145" i="8"/>
  <c r="F122" i="11"/>
  <c r="AJ122" i="11"/>
  <c r="Z123" i="11"/>
  <c r="T146" i="8"/>
  <c r="F123" i="11"/>
  <c r="AJ123" i="11"/>
  <c r="Z124" i="11"/>
  <c r="T147" i="8"/>
  <c r="F124" i="11"/>
  <c r="AJ124" i="11"/>
  <c r="Z125" i="11"/>
  <c r="T148" i="8"/>
  <c r="F125" i="11"/>
  <c r="AJ125" i="11"/>
  <c r="Z126" i="11"/>
  <c r="T152" i="8"/>
  <c r="F126" i="11"/>
  <c r="AJ126" i="11"/>
  <c r="Z127" i="11"/>
  <c r="T153" i="8"/>
  <c r="F127" i="11"/>
  <c r="AJ127" i="11"/>
  <c r="Z128" i="11"/>
  <c r="T155" i="8"/>
  <c r="F128" i="11"/>
  <c r="AJ128" i="11"/>
  <c r="Z129" i="11"/>
  <c r="T156" i="8"/>
  <c r="F129" i="11"/>
  <c r="AJ129" i="11"/>
  <c r="Z130" i="11"/>
  <c r="T157" i="8"/>
  <c r="F130" i="11"/>
  <c r="AJ130" i="11"/>
  <c r="Z131" i="11"/>
  <c r="T162" i="8"/>
  <c r="F131" i="11"/>
  <c r="AJ131" i="11"/>
  <c r="Z132" i="11"/>
  <c r="T164" i="8"/>
  <c r="F132" i="11"/>
  <c r="AJ132" i="11"/>
  <c r="Z133" i="11"/>
  <c r="T165" i="8"/>
  <c r="F133" i="11"/>
  <c r="AJ133" i="11"/>
  <c r="Z134" i="11"/>
  <c r="T170" i="8"/>
  <c r="F134" i="11"/>
  <c r="AJ134" i="11"/>
  <c r="Z135" i="11"/>
  <c r="T173" i="8"/>
  <c r="F135" i="11"/>
  <c r="AJ135" i="11"/>
  <c r="Z136" i="11"/>
  <c r="T176" i="8"/>
  <c r="F136" i="11"/>
  <c r="AJ136" i="11"/>
  <c r="Z137" i="11"/>
  <c r="T177" i="8"/>
  <c r="F137" i="11"/>
  <c r="AJ137" i="11"/>
  <c r="Z138" i="11"/>
  <c r="T180" i="8"/>
  <c r="F138" i="11"/>
  <c r="AJ138" i="11"/>
  <c r="Z139" i="11"/>
  <c r="T181" i="8"/>
  <c r="F139" i="11"/>
  <c r="AJ139" i="11"/>
  <c r="Z140" i="11"/>
  <c r="T182" i="8"/>
  <c r="F140" i="11"/>
  <c r="AJ140" i="11"/>
  <c r="Z141" i="11"/>
  <c r="T183" i="8"/>
  <c r="F141" i="11"/>
  <c r="AJ141" i="11"/>
  <c r="Z142" i="11"/>
  <c r="F142" i="11"/>
  <c r="AJ142" i="11"/>
  <c r="Z143" i="11"/>
  <c r="T191" i="8"/>
  <c r="F143" i="11"/>
  <c r="AJ143" i="11"/>
  <c r="Z144" i="11"/>
  <c r="T192" i="8"/>
  <c r="F144" i="11"/>
  <c r="AJ144" i="11"/>
  <c r="AJ145" i="11"/>
  <c r="AA44" i="11"/>
  <c r="U3" i="8"/>
  <c r="G44" i="11"/>
  <c r="AK44" i="11"/>
  <c r="AA45" i="11"/>
  <c r="U4" i="8"/>
  <c r="G45" i="11"/>
  <c r="AK45" i="11"/>
  <c r="AA46" i="11"/>
  <c r="U5" i="8"/>
  <c r="G46" i="11"/>
  <c r="AK46" i="11"/>
  <c r="AA47" i="11"/>
  <c r="U10" i="8"/>
  <c r="G47" i="11"/>
  <c r="AK47" i="11"/>
  <c r="AA48" i="11"/>
  <c r="U13" i="8"/>
  <c r="G48" i="11"/>
  <c r="AK48" i="11"/>
  <c r="AA49" i="11"/>
  <c r="U16" i="8"/>
  <c r="G49" i="11"/>
  <c r="AK49" i="11"/>
  <c r="AA50" i="11"/>
  <c r="U17" i="8"/>
  <c r="G50" i="11"/>
  <c r="AK50" i="11"/>
  <c r="AA51" i="11"/>
  <c r="U19" i="8"/>
  <c r="G51" i="11"/>
  <c r="AK51" i="11"/>
  <c r="AA52" i="11"/>
  <c r="U22" i="8"/>
  <c r="G52" i="11"/>
  <c r="AK52" i="11"/>
  <c r="AA53" i="11"/>
  <c r="U23" i="8"/>
  <c r="G53" i="11"/>
  <c r="AK53" i="11"/>
  <c r="AA54" i="11"/>
  <c r="U26" i="8"/>
  <c r="G54" i="11"/>
  <c r="AK54" i="11"/>
  <c r="AA55" i="11"/>
  <c r="U27" i="8"/>
  <c r="G55" i="11"/>
  <c r="AK55" i="11"/>
  <c r="AA56" i="11"/>
  <c r="U28" i="8"/>
  <c r="G56" i="11"/>
  <c r="AK56" i="11"/>
  <c r="AA57" i="11"/>
  <c r="U31" i="8"/>
  <c r="G57" i="11"/>
  <c r="AK57" i="11"/>
  <c r="AA58" i="11"/>
  <c r="U29" i="8"/>
  <c r="G58" i="11"/>
  <c r="AK58" i="11"/>
  <c r="AA59" i="11"/>
  <c r="U33" i="8"/>
  <c r="G59" i="11"/>
  <c r="AK59" i="11"/>
  <c r="AA60" i="11"/>
  <c r="U34" i="8"/>
  <c r="G60" i="11"/>
  <c r="AK60" i="11"/>
  <c r="AA61" i="11"/>
  <c r="U38" i="8"/>
  <c r="G61" i="11"/>
  <c r="AK61" i="11"/>
  <c r="AA62" i="11"/>
  <c r="U43" i="8"/>
  <c r="G62" i="11"/>
  <c r="AK62" i="11"/>
  <c r="AA63" i="11"/>
  <c r="U44" i="8"/>
  <c r="G63" i="11"/>
  <c r="AK63" i="11"/>
  <c r="AA64" i="11"/>
  <c r="U45" i="8"/>
  <c r="G64" i="11"/>
  <c r="AK64" i="11"/>
  <c r="AA65" i="11"/>
  <c r="G65" i="11"/>
  <c r="AK65" i="11"/>
  <c r="AA66" i="11"/>
  <c r="U46" i="8"/>
  <c r="G66" i="11"/>
  <c r="AK66" i="11"/>
  <c r="AA67" i="11"/>
  <c r="U47" i="8"/>
  <c r="G67" i="11"/>
  <c r="AK67" i="11"/>
  <c r="AA68" i="11"/>
  <c r="U53" i="8"/>
  <c r="G68" i="11"/>
  <c r="AK68" i="11"/>
  <c r="AA69" i="11"/>
  <c r="U54" i="8"/>
  <c r="G69" i="11"/>
  <c r="AK69" i="11"/>
  <c r="AA70" i="11"/>
  <c r="U55" i="8"/>
  <c r="G70" i="11"/>
  <c r="AK70" i="11"/>
  <c r="AA71" i="11"/>
  <c r="U56" i="8"/>
  <c r="G71" i="11"/>
  <c r="AK71" i="11"/>
  <c r="AA72" i="11"/>
  <c r="U58" i="8"/>
  <c r="G72" i="11"/>
  <c r="AK72" i="11"/>
  <c r="AA73" i="11"/>
  <c r="U59" i="8"/>
  <c r="G73" i="11"/>
  <c r="AK73" i="11"/>
  <c r="AA74" i="11"/>
  <c r="U60" i="8"/>
  <c r="G74" i="11"/>
  <c r="AK74" i="11"/>
  <c r="AA75" i="11"/>
  <c r="G75" i="11"/>
  <c r="AK75" i="11"/>
  <c r="AA76" i="11"/>
  <c r="G76" i="11"/>
  <c r="AK76" i="11"/>
  <c r="AA77" i="11"/>
  <c r="G77" i="11"/>
  <c r="AK77" i="11"/>
  <c r="AA78" i="11"/>
  <c r="G78" i="11"/>
  <c r="AK78" i="11"/>
  <c r="AA79" i="11"/>
  <c r="G79" i="11"/>
  <c r="AK79" i="11"/>
  <c r="AA80" i="11"/>
  <c r="G80" i="11"/>
  <c r="AK80" i="11"/>
  <c r="AA81" i="11"/>
  <c r="G81" i="11"/>
  <c r="AK81" i="11"/>
  <c r="AA82" i="11"/>
  <c r="U74" i="8"/>
  <c r="G82" i="11"/>
  <c r="AK82" i="11"/>
  <c r="AA83" i="11"/>
  <c r="U75" i="8"/>
  <c r="G83" i="11"/>
  <c r="AK83" i="11"/>
  <c r="AA84" i="11"/>
  <c r="U80" i="8"/>
  <c r="G84" i="11"/>
  <c r="AK84" i="11"/>
  <c r="AA85" i="11"/>
  <c r="U79" i="8"/>
  <c r="G85" i="11"/>
  <c r="AK85" i="11"/>
  <c r="AA86" i="11"/>
  <c r="G86" i="11"/>
  <c r="AK86" i="11"/>
  <c r="AA87" i="11"/>
  <c r="U81" i="8"/>
  <c r="G87" i="11"/>
  <c r="AK87" i="11"/>
  <c r="AA88" i="11"/>
  <c r="U82" i="8"/>
  <c r="G88" i="11"/>
  <c r="AK88" i="11"/>
  <c r="AA89" i="11"/>
  <c r="U85" i="8"/>
  <c r="G89" i="11"/>
  <c r="AK89" i="11"/>
  <c r="AA90" i="11"/>
  <c r="U87" i="8"/>
  <c r="G90" i="11"/>
  <c r="AK90" i="11"/>
  <c r="AA91" i="11"/>
  <c r="U91" i="8"/>
  <c r="G91" i="11"/>
  <c r="AK91" i="11"/>
  <c r="AA92" i="11"/>
  <c r="U94" i="8"/>
  <c r="G92" i="11"/>
  <c r="AK92" i="11"/>
  <c r="AA93" i="11"/>
  <c r="U95" i="8"/>
  <c r="G93" i="11"/>
  <c r="AK93" i="11"/>
  <c r="AA94" i="11"/>
  <c r="U96" i="8"/>
  <c r="G94" i="11"/>
  <c r="AK94" i="11"/>
  <c r="AA95" i="11"/>
  <c r="U97" i="8"/>
  <c r="G95" i="11"/>
  <c r="AK95" i="11"/>
  <c r="AA96" i="11"/>
  <c r="U98" i="8"/>
  <c r="G96" i="11"/>
  <c r="AK96" i="11"/>
  <c r="AA97" i="11"/>
  <c r="U99" i="8"/>
  <c r="G97" i="11"/>
  <c r="AK97" i="11"/>
  <c r="AA98" i="11"/>
  <c r="U100" i="8"/>
  <c r="G98" i="11"/>
  <c r="AK98" i="11"/>
  <c r="AA99" i="11"/>
  <c r="G99" i="11"/>
  <c r="AK99" i="11"/>
  <c r="AA100" i="11"/>
  <c r="G100" i="11"/>
  <c r="AK100" i="11"/>
  <c r="AA101" i="11"/>
  <c r="U104" i="8"/>
  <c r="G101" i="11"/>
  <c r="AK101" i="11"/>
  <c r="AA102" i="11"/>
  <c r="U107" i="8"/>
  <c r="G102" i="11"/>
  <c r="AK102" i="11"/>
  <c r="AA103" i="11"/>
  <c r="U108" i="8"/>
  <c r="G103" i="11"/>
  <c r="AK103" i="11"/>
  <c r="AA104" i="11"/>
  <c r="U110" i="8"/>
  <c r="G104" i="11"/>
  <c r="AK104" i="11"/>
  <c r="AA105" i="11"/>
  <c r="U111" i="8"/>
  <c r="G105" i="11"/>
  <c r="AK105" i="11"/>
  <c r="AA106" i="11"/>
  <c r="U114" i="8"/>
  <c r="G106" i="11"/>
  <c r="AK106" i="11"/>
  <c r="AA107" i="11"/>
  <c r="U116" i="8"/>
  <c r="G107" i="11"/>
  <c r="AK107" i="11"/>
  <c r="AA108" i="11"/>
  <c r="U117" i="8"/>
  <c r="G108" i="11"/>
  <c r="AK108" i="11"/>
  <c r="AA109" i="11"/>
  <c r="U118" i="8"/>
  <c r="G109" i="11"/>
  <c r="AK109" i="11"/>
  <c r="AA110" i="11"/>
  <c r="U120" i="8"/>
  <c r="G110" i="11"/>
  <c r="AK110" i="11"/>
  <c r="AA111" i="11"/>
  <c r="U122" i="8"/>
  <c r="G111" i="11"/>
  <c r="AK111" i="11"/>
  <c r="AA112" i="11"/>
  <c r="U125" i="8"/>
  <c r="G112" i="11"/>
  <c r="AK112" i="11"/>
  <c r="AA113" i="11"/>
  <c r="U126" i="8"/>
  <c r="G113" i="11"/>
  <c r="AK113" i="11"/>
  <c r="AA114" i="11"/>
  <c r="U127" i="8"/>
  <c r="G114" i="11"/>
  <c r="AK114" i="11"/>
  <c r="AA115" i="11"/>
  <c r="U128" i="8"/>
  <c r="G115" i="11"/>
  <c r="AK115" i="11"/>
  <c r="AA116" i="11"/>
  <c r="U136" i="8"/>
  <c r="G116" i="11"/>
  <c r="AK116" i="11"/>
  <c r="AA117" i="11"/>
  <c r="U137" i="8"/>
  <c r="G117" i="11"/>
  <c r="AK117" i="11"/>
  <c r="AA118" i="11"/>
  <c r="U139" i="8"/>
  <c r="G118" i="11"/>
  <c r="AK118" i="11"/>
  <c r="AA119" i="11"/>
  <c r="U140" i="8"/>
  <c r="G119" i="11"/>
  <c r="AK119" i="11"/>
  <c r="AA120" i="11"/>
  <c r="U142" i="8"/>
  <c r="G120" i="11"/>
  <c r="AK120" i="11"/>
  <c r="AA121" i="11"/>
  <c r="U144" i="8"/>
  <c r="G121" i="11"/>
  <c r="AK121" i="11"/>
  <c r="AA122" i="11"/>
  <c r="U145" i="8"/>
  <c r="G122" i="11"/>
  <c r="AK122" i="11"/>
  <c r="AA123" i="11"/>
  <c r="U146" i="8"/>
  <c r="G123" i="11"/>
  <c r="AK123" i="11"/>
  <c r="AA124" i="11"/>
  <c r="U147" i="8"/>
  <c r="G124" i="11"/>
  <c r="AK124" i="11"/>
  <c r="AA125" i="11"/>
  <c r="U148" i="8"/>
  <c r="G125" i="11"/>
  <c r="AK125" i="11"/>
  <c r="AA126" i="11"/>
  <c r="U152" i="8"/>
  <c r="G126" i="11"/>
  <c r="AK126" i="11"/>
  <c r="AA127" i="11"/>
  <c r="U153" i="8"/>
  <c r="G127" i="11"/>
  <c r="AK127" i="11"/>
  <c r="AA128" i="11"/>
  <c r="U155" i="8"/>
  <c r="G128" i="11"/>
  <c r="AK128" i="11"/>
  <c r="AA129" i="11"/>
  <c r="U156" i="8"/>
  <c r="G129" i="11"/>
  <c r="AK129" i="11"/>
  <c r="AA130" i="11"/>
  <c r="U157" i="8"/>
  <c r="G130" i="11"/>
  <c r="AK130" i="11"/>
  <c r="AA131" i="11"/>
  <c r="U162" i="8"/>
  <c r="G131" i="11"/>
  <c r="AK131" i="11"/>
  <c r="AA132" i="11"/>
  <c r="U164" i="8"/>
  <c r="G132" i="11"/>
  <c r="AK132" i="11"/>
  <c r="AA133" i="11"/>
  <c r="U165" i="8"/>
  <c r="G133" i="11"/>
  <c r="AK133" i="11"/>
  <c r="AA134" i="11"/>
  <c r="U170" i="8"/>
  <c r="G134" i="11"/>
  <c r="AK134" i="11"/>
  <c r="AA135" i="11"/>
  <c r="U173" i="8"/>
  <c r="G135" i="11"/>
  <c r="AK135" i="11"/>
  <c r="AA136" i="11"/>
  <c r="U176" i="8"/>
  <c r="G136" i="11"/>
  <c r="AK136" i="11"/>
  <c r="AA137" i="11"/>
  <c r="U177" i="8"/>
  <c r="G137" i="11"/>
  <c r="AK137" i="11"/>
  <c r="AA138" i="11"/>
  <c r="U180" i="8"/>
  <c r="G138" i="11"/>
  <c r="AK138" i="11"/>
  <c r="AA139" i="11"/>
  <c r="U181" i="8"/>
  <c r="G139" i="11"/>
  <c r="AK139" i="11"/>
  <c r="AA140" i="11"/>
  <c r="U182" i="8"/>
  <c r="G140" i="11"/>
  <c r="AK140" i="11"/>
  <c r="AA141" i="11"/>
  <c r="U183" i="8"/>
  <c r="G141" i="11"/>
  <c r="AK141" i="11"/>
  <c r="AA142" i="11"/>
  <c r="G142" i="11"/>
  <c r="AK142" i="11"/>
  <c r="AA143" i="11"/>
  <c r="U191" i="8"/>
  <c r="G143" i="11"/>
  <c r="AK143" i="11"/>
  <c r="AA144" i="11"/>
  <c r="U192" i="8"/>
  <c r="G144" i="11"/>
  <c r="AK144" i="11"/>
  <c r="AK145" i="11"/>
  <c r="AB44" i="11"/>
  <c r="V3" i="8"/>
  <c r="H44" i="11"/>
  <c r="AL44" i="11"/>
  <c r="AB45" i="11"/>
  <c r="V4" i="8"/>
  <c r="H45" i="11"/>
  <c r="AL45" i="11"/>
  <c r="AB46" i="11"/>
  <c r="V5" i="8"/>
  <c r="H46" i="11"/>
  <c r="AL46" i="11"/>
  <c r="AB47" i="11"/>
  <c r="V10" i="8"/>
  <c r="H47" i="11"/>
  <c r="AL47" i="11"/>
  <c r="AB48" i="11"/>
  <c r="V13" i="8"/>
  <c r="H48" i="11"/>
  <c r="AL48" i="11"/>
  <c r="AB49" i="11"/>
  <c r="V16" i="8"/>
  <c r="H49" i="11"/>
  <c r="AL49" i="11"/>
  <c r="AB50" i="11"/>
  <c r="V17" i="8"/>
  <c r="H50" i="11"/>
  <c r="AL50" i="11"/>
  <c r="AB51" i="11"/>
  <c r="V19" i="8"/>
  <c r="H51" i="11"/>
  <c r="AL51" i="11"/>
  <c r="AB52" i="11"/>
  <c r="V22" i="8"/>
  <c r="H52" i="11"/>
  <c r="AL52" i="11"/>
  <c r="AB53" i="11"/>
  <c r="V23" i="8"/>
  <c r="H53" i="11"/>
  <c r="AL53" i="11"/>
  <c r="AB54" i="11"/>
  <c r="V26" i="8"/>
  <c r="H54" i="11"/>
  <c r="AL54" i="11"/>
  <c r="AB55" i="11"/>
  <c r="V27" i="8"/>
  <c r="H55" i="11"/>
  <c r="AL55" i="11"/>
  <c r="AB56" i="11"/>
  <c r="V28" i="8"/>
  <c r="H56" i="11"/>
  <c r="AL56" i="11"/>
  <c r="AB57" i="11"/>
  <c r="V31" i="8"/>
  <c r="H57" i="11"/>
  <c r="AL57" i="11"/>
  <c r="AB58" i="11"/>
  <c r="V29" i="8"/>
  <c r="H58" i="11"/>
  <c r="AL58" i="11"/>
  <c r="AB59" i="11"/>
  <c r="V33" i="8"/>
  <c r="H59" i="11"/>
  <c r="AL59" i="11"/>
  <c r="AB60" i="11"/>
  <c r="V34" i="8"/>
  <c r="H60" i="11"/>
  <c r="AL60" i="11"/>
  <c r="AB61" i="11"/>
  <c r="V38" i="8"/>
  <c r="H61" i="11"/>
  <c r="AL61" i="11"/>
  <c r="AB62" i="11"/>
  <c r="V43" i="8"/>
  <c r="H62" i="11"/>
  <c r="AL62" i="11"/>
  <c r="AB63" i="11"/>
  <c r="V44" i="8"/>
  <c r="H63" i="11"/>
  <c r="AL63" i="11"/>
  <c r="AB64" i="11"/>
  <c r="V45" i="8"/>
  <c r="H64" i="11"/>
  <c r="AL64" i="11"/>
  <c r="AB65" i="11"/>
  <c r="H65" i="11"/>
  <c r="AL65" i="11"/>
  <c r="AB66" i="11"/>
  <c r="V46" i="8"/>
  <c r="H66" i="11"/>
  <c r="AL66" i="11"/>
  <c r="AB67" i="11"/>
  <c r="V47" i="8"/>
  <c r="H67" i="11"/>
  <c r="AL67" i="11"/>
  <c r="AB68" i="11"/>
  <c r="V53" i="8"/>
  <c r="H68" i="11"/>
  <c r="AL68" i="11"/>
  <c r="AB69" i="11"/>
  <c r="V54" i="8"/>
  <c r="H69" i="11"/>
  <c r="AL69" i="11"/>
  <c r="AB70" i="11"/>
  <c r="V55" i="8"/>
  <c r="H70" i="11"/>
  <c r="AL70" i="11"/>
  <c r="AB71" i="11"/>
  <c r="V56" i="8"/>
  <c r="H71" i="11"/>
  <c r="AL71" i="11"/>
  <c r="AB72" i="11"/>
  <c r="V58" i="8"/>
  <c r="H72" i="11"/>
  <c r="AL72" i="11"/>
  <c r="AB73" i="11"/>
  <c r="V59" i="8"/>
  <c r="H73" i="11"/>
  <c r="AL73" i="11"/>
  <c r="AB74" i="11"/>
  <c r="V60" i="8"/>
  <c r="H74" i="11"/>
  <c r="AL74" i="11"/>
  <c r="AB75" i="11"/>
  <c r="H75" i="11"/>
  <c r="AL75" i="11"/>
  <c r="AB76" i="11"/>
  <c r="H76" i="11"/>
  <c r="AL76" i="11"/>
  <c r="AB77" i="11"/>
  <c r="H77" i="11"/>
  <c r="AL77" i="11"/>
  <c r="AB78" i="11"/>
  <c r="H78" i="11"/>
  <c r="AL78" i="11"/>
  <c r="AB79" i="11"/>
  <c r="H79" i="11"/>
  <c r="AL79" i="11"/>
  <c r="AB80" i="11"/>
  <c r="H80" i="11"/>
  <c r="AL80" i="11"/>
  <c r="AB81" i="11"/>
  <c r="H81" i="11"/>
  <c r="AL81" i="11"/>
  <c r="AB82" i="11"/>
  <c r="V74" i="8"/>
  <c r="H82" i="11"/>
  <c r="AL82" i="11"/>
  <c r="AB83" i="11"/>
  <c r="V75" i="8"/>
  <c r="H83" i="11"/>
  <c r="AL83" i="11"/>
  <c r="AB84" i="11"/>
  <c r="V80" i="8"/>
  <c r="H84" i="11"/>
  <c r="AL84" i="11"/>
  <c r="AB85" i="11"/>
  <c r="V79" i="8"/>
  <c r="H85" i="11"/>
  <c r="AL85" i="11"/>
  <c r="AB86" i="11"/>
  <c r="H86" i="11"/>
  <c r="AL86" i="11"/>
  <c r="AB87" i="11"/>
  <c r="V81" i="8"/>
  <c r="H87" i="11"/>
  <c r="AL87" i="11"/>
  <c r="AB88" i="11"/>
  <c r="V82" i="8"/>
  <c r="H88" i="11"/>
  <c r="AL88" i="11"/>
  <c r="AB89" i="11"/>
  <c r="V85" i="8"/>
  <c r="H89" i="11"/>
  <c r="AL89" i="11"/>
  <c r="AB90" i="11"/>
  <c r="V87" i="8"/>
  <c r="H90" i="11"/>
  <c r="AL90" i="11"/>
  <c r="AB91" i="11"/>
  <c r="V91" i="8"/>
  <c r="H91" i="11"/>
  <c r="AL91" i="11"/>
  <c r="AB92" i="11"/>
  <c r="V94" i="8"/>
  <c r="H92" i="11"/>
  <c r="AL92" i="11"/>
  <c r="AB93" i="11"/>
  <c r="V95" i="8"/>
  <c r="H93" i="11"/>
  <c r="AL93" i="11"/>
  <c r="AB94" i="11"/>
  <c r="V96" i="8"/>
  <c r="H94" i="11"/>
  <c r="AL94" i="11"/>
  <c r="AB95" i="11"/>
  <c r="V97" i="8"/>
  <c r="H95" i="11"/>
  <c r="AL95" i="11"/>
  <c r="AB96" i="11"/>
  <c r="V98" i="8"/>
  <c r="H96" i="11"/>
  <c r="AL96" i="11"/>
  <c r="AB97" i="11"/>
  <c r="V99" i="8"/>
  <c r="H97" i="11"/>
  <c r="AL97" i="11"/>
  <c r="AB98" i="11"/>
  <c r="V100" i="8"/>
  <c r="H98" i="11"/>
  <c r="AL98" i="11"/>
  <c r="AB99" i="11"/>
  <c r="H99" i="11"/>
  <c r="AL99" i="11"/>
  <c r="AB100" i="11"/>
  <c r="H100" i="11"/>
  <c r="AL100" i="11"/>
  <c r="AB101" i="11"/>
  <c r="V104" i="8"/>
  <c r="H101" i="11"/>
  <c r="AL101" i="11"/>
  <c r="AB102" i="11"/>
  <c r="V107" i="8"/>
  <c r="H102" i="11"/>
  <c r="AL102" i="11"/>
  <c r="AB103" i="11"/>
  <c r="V108" i="8"/>
  <c r="H103" i="11"/>
  <c r="AL103" i="11"/>
  <c r="AB104" i="11"/>
  <c r="V110" i="8"/>
  <c r="H104" i="11"/>
  <c r="AL104" i="11"/>
  <c r="AB105" i="11"/>
  <c r="V111" i="8"/>
  <c r="H105" i="11"/>
  <c r="AL105" i="11"/>
  <c r="AB106" i="11"/>
  <c r="V114" i="8"/>
  <c r="H106" i="11"/>
  <c r="AL106" i="11"/>
  <c r="AB107" i="11"/>
  <c r="V116" i="8"/>
  <c r="H107" i="11"/>
  <c r="AL107" i="11"/>
  <c r="AB108" i="11"/>
  <c r="V117" i="8"/>
  <c r="H108" i="11"/>
  <c r="AL108" i="11"/>
  <c r="AB109" i="11"/>
  <c r="V118" i="8"/>
  <c r="H109" i="11"/>
  <c r="AL109" i="11"/>
  <c r="AB110" i="11"/>
  <c r="V120" i="8"/>
  <c r="H110" i="11"/>
  <c r="AL110" i="11"/>
  <c r="AB111" i="11"/>
  <c r="V122" i="8"/>
  <c r="H111" i="11"/>
  <c r="AL111" i="11"/>
  <c r="AB112" i="11"/>
  <c r="V125" i="8"/>
  <c r="H112" i="11"/>
  <c r="AL112" i="11"/>
  <c r="AB113" i="11"/>
  <c r="V126" i="8"/>
  <c r="H113" i="11"/>
  <c r="AL113" i="11"/>
  <c r="AB114" i="11"/>
  <c r="V127" i="8"/>
  <c r="H114" i="11"/>
  <c r="AL114" i="11"/>
  <c r="AB115" i="11"/>
  <c r="V128" i="8"/>
  <c r="H115" i="11"/>
  <c r="AL115" i="11"/>
  <c r="AB116" i="11"/>
  <c r="V136" i="8"/>
  <c r="H116" i="11"/>
  <c r="AL116" i="11"/>
  <c r="AB117" i="11"/>
  <c r="V137" i="8"/>
  <c r="H117" i="11"/>
  <c r="AL117" i="11"/>
  <c r="AB118" i="11"/>
  <c r="V139" i="8"/>
  <c r="H118" i="11"/>
  <c r="AL118" i="11"/>
  <c r="AB119" i="11"/>
  <c r="V140" i="8"/>
  <c r="H119" i="11"/>
  <c r="AL119" i="11"/>
  <c r="AB120" i="11"/>
  <c r="V142" i="8"/>
  <c r="H120" i="11"/>
  <c r="AL120" i="11"/>
  <c r="AB121" i="11"/>
  <c r="V144" i="8"/>
  <c r="H121" i="11"/>
  <c r="AL121" i="11"/>
  <c r="AB122" i="11"/>
  <c r="V145" i="8"/>
  <c r="H122" i="11"/>
  <c r="AL122" i="11"/>
  <c r="AB123" i="11"/>
  <c r="V146" i="8"/>
  <c r="H123" i="11"/>
  <c r="AL123" i="11"/>
  <c r="AB124" i="11"/>
  <c r="V147" i="8"/>
  <c r="H124" i="11"/>
  <c r="AL124" i="11"/>
  <c r="AB125" i="11"/>
  <c r="V148" i="8"/>
  <c r="H125" i="11"/>
  <c r="AL125" i="11"/>
  <c r="AB126" i="11"/>
  <c r="V152" i="8"/>
  <c r="H126" i="11"/>
  <c r="AL126" i="11"/>
  <c r="AB127" i="11"/>
  <c r="V153" i="8"/>
  <c r="H127" i="11"/>
  <c r="AL127" i="11"/>
  <c r="AB128" i="11"/>
  <c r="V155" i="8"/>
  <c r="H128" i="11"/>
  <c r="AL128" i="11"/>
  <c r="AB129" i="11"/>
  <c r="V156" i="8"/>
  <c r="H129" i="11"/>
  <c r="AL129" i="11"/>
  <c r="AB130" i="11"/>
  <c r="V157" i="8"/>
  <c r="H130" i="11"/>
  <c r="AL130" i="11"/>
  <c r="AB131" i="11"/>
  <c r="V162" i="8"/>
  <c r="H131" i="11"/>
  <c r="AL131" i="11"/>
  <c r="AB132" i="11"/>
  <c r="V164" i="8"/>
  <c r="H132" i="11"/>
  <c r="AL132" i="11"/>
  <c r="AB133" i="11"/>
  <c r="V165" i="8"/>
  <c r="H133" i="11"/>
  <c r="AL133" i="11"/>
  <c r="AB134" i="11"/>
  <c r="V170" i="8"/>
  <c r="H134" i="11"/>
  <c r="AL134" i="11"/>
  <c r="AB135" i="11"/>
  <c r="V173" i="8"/>
  <c r="H135" i="11"/>
  <c r="AL135" i="11"/>
  <c r="AB136" i="11"/>
  <c r="V176" i="8"/>
  <c r="H136" i="11"/>
  <c r="AL136" i="11"/>
  <c r="AB137" i="11"/>
  <c r="V177" i="8"/>
  <c r="H137" i="11"/>
  <c r="AL137" i="11"/>
  <c r="AB138" i="11"/>
  <c r="V180" i="8"/>
  <c r="H138" i="11"/>
  <c r="AL138" i="11"/>
  <c r="AB139" i="11"/>
  <c r="V181" i="8"/>
  <c r="H139" i="11"/>
  <c r="AL139" i="11"/>
  <c r="AB140" i="11"/>
  <c r="V182" i="8"/>
  <c r="H140" i="11"/>
  <c r="AL140" i="11"/>
  <c r="AB141" i="11"/>
  <c r="V183" i="8"/>
  <c r="H141" i="11"/>
  <c r="AL141" i="11"/>
  <c r="AB142" i="11"/>
  <c r="H142" i="11"/>
  <c r="AL142" i="11"/>
  <c r="AB143" i="11"/>
  <c r="V191" i="8"/>
  <c r="H143" i="11"/>
  <c r="AL143" i="11"/>
  <c r="AB144" i="11"/>
  <c r="V192" i="8"/>
  <c r="H144" i="11"/>
  <c r="AL144" i="11"/>
  <c r="AL145" i="11"/>
  <c r="AC44" i="11"/>
  <c r="W3" i="8"/>
  <c r="I44" i="11"/>
  <c r="AM44" i="11"/>
  <c r="AC45" i="11"/>
  <c r="W4" i="8"/>
  <c r="I45" i="11"/>
  <c r="AM45" i="11"/>
  <c r="AC46" i="11"/>
  <c r="W5" i="8"/>
  <c r="I46" i="11"/>
  <c r="AM46" i="11"/>
  <c r="AC47" i="11"/>
  <c r="W10" i="8"/>
  <c r="I47" i="11"/>
  <c r="AM47" i="11"/>
  <c r="AC48" i="11"/>
  <c r="W13" i="8"/>
  <c r="I48" i="11"/>
  <c r="AM48" i="11"/>
  <c r="AC49" i="11"/>
  <c r="W16" i="8"/>
  <c r="I49" i="11"/>
  <c r="AM49" i="11"/>
  <c r="AC50" i="11"/>
  <c r="W17" i="8"/>
  <c r="I50" i="11"/>
  <c r="AM50" i="11"/>
  <c r="AC51" i="11"/>
  <c r="W19" i="8"/>
  <c r="I51" i="11"/>
  <c r="AM51" i="11"/>
  <c r="AC52" i="11"/>
  <c r="W22" i="8"/>
  <c r="I52" i="11"/>
  <c r="AM52" i="11"/>
  <c r="AC53" i="11"/>
  <c r="W23" i="8"/>
  <c r="I53" i="11"/>
  <c r="AM53" i="11"/>
  <c r="AC54" i="11"/>
  <c r="W26" i="8"/>
  <c r="I54" i="11"/>
  <c r="AM54" i="11"/>
  <c r="AC55" i="11"/>
  <c r="W27" i="8"/>
  <c r="I55" i="11"/>
  <c r="AM55" i="11"/>
  <c r="AC56" i="11"/>
  <c r="W28" i="8"/>
  <c r="I56" i="11"/>
  <c r="AM56" i="11"/>
  <c r="AC57" i="11"/>
  <c r="W31" i="8"/>
  <c r="I57" i="11"/>
  <c r="AM57" i="11"/>
  <c r="AC58" i="11"/>
  <c r="W29" i="8"/>
  <c r="I58" i="11"/>
  <c r="AM58" i="11"/>
  <c r="AC59" i="11"/>
  <c r="W33" i="8"/>
  <c r="I59" i="11"/>
  <c r="AM59" i="11"/>
  <c r="AC60" i="11"/>
  <c r="W34" i="8"/>
  <c r="I60" i="11"/>
  <c r="AM60" i="11"/>
  <c r="AC61" i="11"/>
  <c r="W38" i="8"/>
  <c r="I61" i="11"/>
  <c r="AM61" i="11"/>
  <c r="AC62" i="11"/>
  <c r="W43" i="8"/>
  <c r="I62" i="11"/>
  <c r="AM62" i="11"/>
  <c r="AC63" i="11"/>
  <c r="W44" i="8"/>
  <c r="W36" i="8"/>
  <c r="I63" i="11"/>
  <c r="AM63" i="11"/>
  <c r="AC64" i="11"/>
  <c r="W45" i="8"/>
  <c r="I64" i="11"/>
  <c r="AM64" i="11"/>
  <c r="AC65" i="11"/>
  <c r="I65" i="11"/>
  <c r="AM65" i="11"/>
  <c r="AC66" i="11"/>
  <c r="W46" i="8"/>
  <c r="I66" i="11"/>
  <c r="AM66" i="11"/>
  <c r="AC67" i="11"/>
  <c r="W47" i="8"/>
  <c r="I67" i="11"/>
  <c r="AM67" i="11"/>
  <c r="AC68" i="11"/>
  <c r="W53" i="8"/>
  <c r="I68" i="11"/>
  <c r="AM68" i="11"/>
  <c r="AC69" i="11"/>
  <c r="W54" i="8"/>
  <c r="I69" i="11"/>
  <c r="AM69" i="11"/>
  <c r="AC70" i="11"/>
  <c r="W55" i="8"/>
  <c r="I70" i="11"/>
  <c r="AM70" i="11"/>
  <c r="AC71" i="11"/>
  <c r="W56" i="8"/>
  <c r="I71" i="11"/>
  <c r="AM71" i="11"/>
  <c r="AC72" i="11"/>
  <c r="W58" i="8"/>
  <c r="I72" i="11"/>
  <c r="AM72" i="11"/>
  <c r="AC73" i="11"/>
  <c r="W59" i="8"/>
  <c r="I73" i="11"/>
  <c r="AM73" i="11"/>
  <c r="AC74" i="11"/>
  <c r="W60" i="8"/>
  <c r="I74" i="11"/>
  <c r="AM74" i="11"/>
  <c r="AC75" i="11"/>
  <c r="W171" i="8"/>
  <c r="I75" i="11"/>
  <c r="AM75" i="11"/>
  <c r="AC76" i="11"/>
  <c r="I76" i="11"/>
  <c r="AM76" i="11"/>
  <c r="AC77" i="11"/>
  <c r="I77" i="11"/>
  <c r="AM77" i="11"/>
  <c r="AC78" i="11"/>
  <c r="I78" i="11"/>
  <c r="AM78" i="11"/>
  <c r="AC79" i="11"/>
  <c r="I79" i="11"/>
  <c r="AM79" i="11"/>
  <c r="AC80" i="11"/>
  <c r="I80" i="11"/>
  <c r="AM80" i="11"/>
  <c r="AC81" i="11"/>
  <c r="I81" i="11"/>
  <c r="AM81" i="11"/>
  <c r="AC82" i="11"/>
  <c r="W74" i="8"/>
  <c r="I82" i="11"/>
  <c r="AM82" i="11"/>
  <c r="AC83" i="11"/>
  <c r="W75" i="8"/>
  <c r="I83" i="11"/>
  <c r="AM83" i="11"/>
  <c r="AC84" i="11"/>
  <c r="W80" i="8"/>
  <c r="I84" i="11"/>
  <c r="AM84" i="11"/>
  <c r="AC85" i="11"/>
  <c r="W79" i="8"/>
  <c r="I85" i="11"/>
  <c r="AM85" i="11"/>
  <c r="AC86" i="11"/>
  <c r="I86" i="11"/>
  <c r="AM86" i="11"/>
  <c r="AC87" i="11"/>
  <c r="W81" i="8"/>
  <c r="I87" i="11"/>
  <c r="AM87" i="11"/>
  <c r="AC88" i="11"/>
  <c r="W82" i="8"/>
  <c r="I88" i="11"/>
  <c r="AM88" i="11"/>
  <c r="AC89" i="11"/>
  <c r="W85" i="8"/>
  <c r="I89" i="11"/>
  <c r="AM89" i="11"/>
  <c r="AC90" i="11"/>
  <c r="W87" i="8"/>
  <c r="I90" i="11"/>
  <c r="AM90" i="11"/>
  <c r="AC91" i="11"/>
  <c r="W91" i="8"/>
  <c r="I91" i="11"/>
  <c r="AM91" i="11"/>
  <c r="AC92" i="11"/>
  <c r="W94" i="8"/>
  <c r="I92" i="11"/>
  <c r="AM92" i="11"/>
  <c r="AC93" i="11"/>
  <c r="W95" i="8"/>
  <c r="I93" i="11"/>
  <c r="AM93" i="11"/>
  <c r="AC94" i="11"/>
  <c r="W96" i="8"/>
  <c r="I94" i="11"/>
  <c r="AM94" i="11"/>
  <c r="AC95" i="11"/>
  <c r="W97" i="8"/>
  <c r="I95" i="11"/>
  <c r="AM95" i="11"/>
  <c r="AC96" i="11"/>
  <c r="W98" i="8"/>
  <c r="I96" i="11"/>
  <c r="AM96" i="11"/>
  <c r="AC97" i="11"/>
  <c r="W99" i="8"/>
  <c r="I97" i="11"/>
  <c r="AM97" i="11"/>
  <c r="AC98" i="11"/>
  <c r="W100" i="8"/>
  <c r="I98" i="11"/>
  <c r="AM98" i="11"/>
  <c r="AC99" i="11"/>
  <c r="I99" i="11"/>
  <c r="AM99" i="11"/>
  <c r="AC100" i="11"/>
  <c r="W103" i="8"/>
  <c r="I100" i="11"/>
  <c r="AM100" i="11"/>
  <c r="AC101" i="11"/>
  <c r="W104" i="8"/>
  <c r="I101" i="11"/>
  <c r="AM101" i="11"/>
  <c r="AC102" i="11"/>
  <c r="W107" i="8"/>
  <c r="I102" i="11"/>
  <c r="AM102" i="11"/>
  <c r="AC103" i="11"/>
  <c r="W108" i="8"/>
  <c r="I103" i="11"/>
  <c r="AM103" i="11"/>
  <c r="AC104" i="11"/>
  <c r="W110" i="8"/>
  <c r="I104" i="11"/>
  <c r="AM104" i="11"/>
  <c r="AC105" i="11"/>
  <c r="W111" i="8"/>
  <c r="I105" i="11"/>
  <c r="AM105" i="11"/>
  <c r="AC106" i="11"/>
  <c r="W114" i="8"/>
  <c r="I106" i="11"/>
  <c r="AM106" i="11"/>
  <c r="AC107" i="11"/>
  <c r="W116" i="8"/>
  <c r="I107" i="11"/>
  <c r="AM107" i="11"/>
  <c r="AC108" i="11"/>
  <c r="W117" i="8"/>
  <c r="I108" i="11"/>
  <c r="AM108" i="11"/>
  <c r="AC109" i="11"/>
  <c r="W118" i="8"/>
  <c r="I109" i="11"/>
  <c r="AM109" i="11"/>
  <c r="AC110" i="11"/>
  <c r="W120" i="8"/>
  <c r="I110" i="11"/>
  <c r="AM110" i="11"/>
  <c r="AC111" i="11"/>
  <c r="W122" i="8"/>
  <c r="I111" i="11"/>
  <c r="AM111" i="11"/>
  <c r="AC112" i="11"/>
  <c r="W125" i="8"/>
  <c r="I112" i="11"/>
  <c r="AM112" i="11"/>
  <c r="AC113" i="11"/>
  <c r="W126" i="8"/>
  <c r="I113" i="11"/>
  <c r="AM113" i="11"/>
  <c r="AC114" i="11"/>
  <c r="W127" i="8"/>
  <c r="I114" i="11"/>
  <c r="AM114" i="11"/>
  <c r="AC115" i="11"/>
  <c r="W128" i="8"/>
  <c r="I115" i="11"/>
  <c r="AM115" i="11"/>
  <c r="AC116" i="11"/>
  <c r="W136" i="8"/>
  <c r="I116" i="11"/>
  <c r="AM116" i="11"/>
  <c r="AC117" i="11"/>
  <c r="W137" i="8"/>
  <c r="I117" i="11"/>
  <c r="AM117" i="11"/>
  <c r="AC118" i="11"/>
  <c r="W139" i="8"/>
  <c r="I118" i="11"/>
  <c r="AM118" i="11"/>
  <c r="AC119" i="11"/>
  <c r="W140" i="8"/>
  <c r="I119" i="11"/>
  <c r="AM119" i="11"/>
  <c r="AC120" i="11"/>
  <c r="W142" i="8"/>
  <c r="I120" i="11"/>
  <c r="AM120" i="11"/>
  <c r="AC121" i="11"/>
  <c r="W144" i="8"/>
  <c r="I121" i="11"/>
  <c r="AM121" i="11"/>
  <c r="AC122" i="11"/>
  <c r="W145" i="8"/>
  <c r="I122" i="11"/>
  <c r="AM122" i="11"/>
  <c r="AC123" i="11"/>
  <c r="W146" i="8"/>
  <c r="I123" i="11"/>
  <c r="AM123" i="11"/>
  <c r="AC124" i="11"/>
  <c r="W147" i="8"/>
  <c r="I124" i="11"/>
  <c r="AM124" i="11"/>
  <c r="AC125" i="11"/>
  <c r="W148" i="8"/>
  <c r="I125" i="11"/>
  <c r="AM125" i="11"/>
  <c r="AC126" i="11"/>
  <c r="W152" i="8"/>
  <c r="I126" i="11"/>
  <c r="AM126" i="11"/>
  <c r="AC127" i="11"/>
  <c r="W153" i="8"/>
  <c r="I127" i="11"/>
  <c r="AM127" i="11"/>
  <c r="AC128" i="11"/>
  <c r="W155" i="8"/>
  <c r="I128" i="11"/>
  <c r="AM128" i="11"/>
  <c r="AC129" i="11"/>
  <c r="W156" i="8"/>
  <c r="I129" i="11"/>
  <c r="AM129" i="11"/>
  <c r="AC130" i="11"/>
  <c r="W157" i="8"/>
  <c r="I130" i="11"/>
  <c r="AM130" i="11"/>
  <c r="AC131" i="11"/>
  <c r="W162" i="8"/>
  <c r="I131" i="11"/>
  <c r="AM131" i="11"/>
  <c r="AC132" i="11"/>
  <c r="W164" i="8"/>
  <c r="I132" i="11"/>
  <c r="AM132" i="11"/>
  <c r="AC133" i="11"/>
  <c r="W165" i="8"/>
  <c r="I133" i="11"/>
  <c r="AM133" i="11"/>
  <c r="AC134" i="11"/>
  <c r="W170" i="8"/>
  <c r="I134" i="11"/>
  <c r="AM134" i="11"/>
  <c r="AC135" i="11"/>
  <c r="W173" i="8"/>
  <c r="I135" i="11"/>
  <c r="AM135" i="11"/>
  <c r="AC136" i="11"/>
  <c r="W176" i="8"/>
  <c r="I136" i="11"/>
  <c r="AM136" i="11"/>
  <c r="AC137" i="11"/>
  <c r="W177" i="8"/>
  <c r="I137" i="11"/>
  <c r="AM137" i="11"/>
  <c r="AC138" i="11"/>
  <c r="W180" i="8"/>
  <c r="I138" i="11"/>
  <c r="AM138" i="11"/>
  <c r="AC139" i="11"/>
  <c r="W181" i="8"/>
  <c r="I139" i="11"/>
  <c r="AM139" i="11"/>
  <c r="AC140" i="11"/>
  <c r="W182" i="8"/>
  <c r="I140" i="11"/>
  <c r="AM140" i="11"/>
  <c r="AC141" i="11"/>
  <c r="W183" i="8"/>
  <c r="I141" i="11"/>
  <c r="AM141" i="11"/>
  <c r="AC142" i="11"/>
  <c r="W190" i="8"/>
  <c r="I142" i="11"/>
  <c r="AM142" i="11"/>
  <c r="AC143" i="11"/>
  <c r="W191" i="8"/>
  <c r="I143" i="11"/>
  <c r="AM143" i="11"/>
  <c r="AC144" i="11"/>
  <c r="W192" i="8"/>
  <c r="I144" i="11"/>
  <c r="AM144" i="11"/>
  <c r="AM145" i="11"/>
  <c r="V44" i="11"/>
  <c r="P3" i="8"/>
  <c r="B44" i="11"/>
  <c r="AF44" i="11"/>
  <c r="V45" i="11"/>
  <c r="P4" i="8"/>
  <c r="B45" i="11"/>
  <c r="AF45" i="11"/>
  <c r="V46" i="11"/>
  <c r="P5" i="8"/>
  <c r="B46" i="11"/>
  <c r="AF46" i="11"/>
  <c r="V47" i="11"/>
  <c r="P10" i="8"/>
  <c r="B47" i="11"/>
  <c r="AF47" i="11"/>
  <c r="V48" i="11"/>
  <c r="P13" i="8"/>
  <c r="B48" i="11"/>
  <c r="AF48" i="11"/>
  <c r="V49" i="11"/>
  <c r="P16" i="8"/>
  <c r="B49" i="11"/>
  <c r="AF49" i="11"/>
  <c r="V50" i="11"/>
  <c r="P17" i="8"/>
  <c r="B50" i="11"/>
  <c r="AF50" i="11"/>
  <c r="V51" i="11"/>
  <c r="P19" i="8"/>
  <c r="B51" i="11"/>
  <c r="AF51" i="11"/>
  <c r="V52" i="11"/>
  <c r="P22" i="8"/>
  <c r="B52" i="11"/>
  <c r="AF52" i="11"/>
  <c r="V53" i="11"/>
  <c r="P23" i="8"/>
  <c r="B53" i="11"/>
  <c r="AF53" i="11"/>
  <c r="V54" i="11"/>
  <c r="P26" i="8"/>
  <c r="B54" i="11"/>
  <c r="AF54" i="11"/>
  <c r="V55" i="11"/>
  <c r="P27" i="8"/>
  <c r="B55" i="11"/>
  <c r="AF55" i="11"/>
  <c r="V56" i="11"/>
  <c r="P28" i="8"/>
  <c r="B56" i="11"/>
  <c r="AF56" i="11"/>
  <c r="V57" i="11"/>
  <c r="P31" i="8"/>
  <c r="B57" i="11"/>
  <c r="AF57" i="11"/>
  <c r="V58" i="11"/>
  <c r="P29" i="8"/>
  <c r="B58" i="11"/>
  <c r="AF58" i="11"/>
  <c r="V59" i="11"/>
  <c r="P33" i="8"/>
  <c r="B59" i="11"/>
  <c r="AF59" i="11"/>
  <c r="V60" i="11"/>
  <c r="P34" i="8"/>
  <c r="B60" i="11"/>
  <c r="AF60" i="11"/>
  <c r="V61" i="11"/>
  <c r="P38" i="8"/>
  <c r="B61" i="11"/>
  <c r="AF61" i="11"/>
  <c r="V62" i="11"/>
  <c r="P43" i="8"/>
  <c r="B62" i="11"/>
  <c r="AF62" i="11"/>
  <c r="V63" i="11"/>
  <c r="P44" i="8"/>
  <c r="P36" i="8"/>
  <c r="B63" i="11"/>
  <c r="AF63" i="11"/>
  <c r="V64" i="11"/>
  <c r="P45" i="8"/>
  <c r="B64" i="11"/>
  <c r="AF64" i="11"/>
  <c r="V65" i="11"/>
  <c r="B65" i="11"/>
  <c r="AF65" i="11"/>
  <c r="V66" i="11"/>
  <c r="P46" i="8"/>
  <c r="B66" i="11"/>
  <c r="AF66" i="11"/>
  <c r="V67" i="11"/>
  <c r="P47" i="8"/>
  <c r="B67" i="11"/>
  <c r="AF67" i="11"/>
  <c r="V68" i="11"/>
  <c r="P53" i="8"/>
  <c r="B68" i="11"/>
  <c r="AF68" i="11"/>
  <c r="V69" i="11"/>
  <c r="P54" i="8"/>
  <c r="B69" i="11"/>
  <c r="AF69" i="11"/>
  <c r="V70" i="11"/>
  <c r="P55" i="8"/>
  <c r="B70" i="11"/>
  <c r="AF70" i="11"/>
  <c r="V71" i="11"/>
  <c r="P56" i="8"/>
  <c r="B71" i="11"/>
  <c r="AF71" i="11"/>
  <c r="V72" i="11"/>
  <c r="P58" i="8"/>
  <c r="B72" i="11"/>
  <c r="AF72" i="11"/>
  <c r="V73" i="11"/>
  <c r="P59" i="8"/>
  <c r="B73" i="11"/>
  <c r="AF73" i="11"/>
  <c r="V74" i="11"/>
  <c r="P60" i="8"/>
  <c r="B74" i="11"/>
  <c r="AF74" i="11"/>
  <c r="V75" i="11"/>
  <c r="P171" i="8"/>
  <c r="B75" i="11"/>
  <c r="AF75" i="11"/>
  <c r="V76" i="11"/>
  <c r="B76" i="11"/>
  <c r="AF76" i="11"/>
  <c r="V77" i="11"/>
  <c r="B77" i="11"/>
  <c r="AF77" i="11"/>
  <c r="V78" i="11"/>
  <c r="B78" i="11"/>
  <c r="AF78" i="11"/>
  <c r="V79" i="11"/>
  <c r="B79" i="11"/>
  <c r="AF79" i="11"/>
  <c r="V80" i="11"/>
  <c r="B80" i="11"/>
  <c r="AF80" i="11"/>
  <c r="V81" i="11"/>
  <c r="B81" i="11"/>
  <c r="AF81" i="11"/>
  <c r="V82" i="11"/>
  <c r="P74" i="8"/>
  <c r="B82" i="11"/>
  <c r="AF82" i="11"/>
  <c r="V83" i="11"/>
  <c r="P75" i="8"/>
  <c r="B83" i="11"/>
  <c r="AF83" i="11"/>
  <c r="V84" i="11"/>
  <c r="P80" i="8"/>
  <c r="B84" i="11"/>
  <c r="AF84" i="11"/>
  <c r="V85" i="11"/>
  <c r="P79" i="8"/>
  <c r="B85" i="11"/>
  <c r="AF85" i="11"/>
  <c r="V86" i="11"/>
  <c r="B86" i="11"/>
  <c r="AF86" i="11"/>
  <c r="V87" i="11"/>
  <c r="P81" i="8"/>
  <c r="B87" i="11"/>
  <c r="AF87" i="11"/>
  <c r="V88" i="11"/>
  <c r="P82" i="8"/>
  <c r="B88" i="11"/>
  <c r="AF88" i="11"/>
  <c r="V89" i="11"/>
  <c r="P85" i="8"/>
  <c r="B89" i="11"/>
  <c r="AF89" i="11"/>
  <c r="V90" i="11"/>
  <c r="P87" i="8"/>
  <c r="B90" i="11"/>
  <c r="AF90" i="11"/>
  <c r="V91" i="11"/>
  <c r="P91" i="8"/>
  <c r="B91" i="11"/>
  <c r="AF91" i="11"/>
  <c r="V92" i="11"/>
  <c r="P94" i="8"/>
  <c r="B92" i="11"/>
  <c r="AF92" i="11"/>
  <c r="V93" i="11"/>
  <c r="P95" i="8"/>
  <c r="B93" i="11"/>
  <c r="AF93" i="11"/>
  <c r="V94" i="11"/>
  <c r="P96" i="8"/>
  <c r="B94" i="11"/>
  <c r="AF94" i="11"/>
  <c r="V95" i="11"/>
  <c r="P97" i="8"/>
  <c r="B95" i="11"/>
  <c r="AF95" i="11"/>
  <c r="V96" i="11"/>
  <c r="P98" i="8"/>
  <c r="B96" i="11"/>
  <c r="AF96" i="11"/>
  <c r="V97" i="11"/>
  <c r="P99" i="8"/>
  <c r="B97" i="11"/>
  <c r="AF97" i="11"/>
  <c r="V98" i="11"/>
  <c r="P100" i="8"/>
  <c r="B98" i="11"/>
  <c r="AF98" i="11"/>
  <c r="V99" i="11"/>
  <c r="B99" i="11"/>
  <c r="AF99" i="11"/>
  <c r="V100" i="11"/>
  <c r="P103" i="8"/>
  <c r="B100" i="11"/>
  <c r="AF100" i="11"/>
  <c r="V101" i="11"/>
  <c r="P104" i="8"/>
  <c r="B101" i="11"/>
  <c r="AF101" i="11"/>
  <c r="V102" i="11"/>
  <c r="P107" i="8"/>
  <c r="B102" i="11"/>
  <c r="AF102" i="11"/>
  <c r="V103" i="11"/>
  <c r="P108" i="8"/>
  <c r="B103" i="11"/>
  <c r="AF103" i="11"/>
  <c r="V104" i="11"/>
  <c r="P110" i="8"/>
  <c r="B104" i="11"/>
  <c r="AF104" i="11"/>
  <c r="V105" i="11"/>
  <c r="P111" i="8"/>
  <c r="B105" i="11"/>
  <c r="AF105" i="11"/>
  <c r="V106" i="11"/>
  <c r="P114" i="8"/>
  <c r="B106" i="11"/>
  <c r="AF106" i="11"/>
  <c r="V107" i="11"/>
  <c r="P116" i="8"/>
  <c r="B107" i="11"/>
  <c r="AF107" i="11"/>
  <c r="V108" i="11"/>
  <c r="P117" i="8"/>
  <c r="B108" i="11"/>
  <c r="AF108" i="11"/>
  <c r="V109" i="11"/>
  <c r="P118" i="8"/>
  <c r="B109" i="11"/>
  <c r="AF109" i="11"/>
  <c r="V110" i="11"/>
  <c r="P120" i="8"/>
  <c r="B110" i="11"/>
  <c r="AF110" i="11"/>
  <c r="V111" i="11"/>
  <c r="P122" i="8"/>
  <c r="B111" i="11"/>
  <c r="AF111" i="11"/>
  <c r="V112" i="11"/>
  <c r="P125" i="8"/>
  <c r="B112" i="11"/>
  <c r="AF112" i="11"/>
  <c r="V113" i="11"/>
  <c r="P126" i="8"/>
  <c r="B113" i="11"/>
  <c r="AF113" i="11"/>
  <c r="V114" i="11"/>
  <c r="P127" i="8"/>
  <c r="B114" i="11"/>
  <c r="AF114" i="11"/>
  <c r="V115" i="11"/>
  <c r="P128" i="8"/>
  <c r="B115" i="11"/>
  <c r="AF115" i="11"/>
  <c r="V116" i="11"/>
  <c r="P136" i="8"/>
  <c r="B116" i="11"/>
  <c r="AF116" i="11"/>
  <c r="V117" i="11"/>
  <c r="P137" i="8"/>
  <c r="B117" i="11"/>
  <c r="AF117" i="11"/>
  <c r="V118" i="11"/>
  <c r="P139" i="8"/>
  <c r="B118" i="11"/>
  <c r="AF118" i="11"/>
  <c r="V119" i="11"/>
  <c r="P140" i="8"/>
  <c r="B119" i="11"/>
  <c r="AF119" i="11"/>
  <c r="V120" i="11"/>
  <c r="P142" i="8"/>
  <c r="B120" i="11"/>
  <c r="AF120" i="11"/>
  <c r="V121" i="11"/>
  <c r="P144" i="8"/>
  <c r="B121" i="11"/>
  <c r="AF121" i="11"/>
  <c r="V122" i="11"/>
  <c r="P145" i="8"/>
  <c r="B122" i="11"/>
  <c r="AF122" i="11"/>
  <c r="V123" i="11"/>
  <c r="P146" i="8"/>
  <c r="B123" i="11"/>
  <c r="AF123" i="11"/>
  <c r="V124" i="11"/>
  <c r="P147" i="8"/>
  <c r="B124" i="11"/>
  <c r="AF124" i="11"/>
  <c r="V125" i="11"/>
  <c r="P148" i="8"/>
  <c r="B125" i="11"/>
  <c r="AF125" i="11"/>
  <c r="V126" i="11"/>
  <c r="P152" i="8"/>
  <c r="B126" i="11"/>
  <c r="AF126" i="11"/>
  <c r="V127" i="11"/>
  <c r="P153" i="8"/>
  <c r="B127" i="11"/>
  <c r="AF127" i="11"/>
  <c r="V128" i="11"/>
  <c r="P155" i="8"/>
  <c r="B128" i="11"/>
  <c r="AF128" i="11"/>
  <c r="V129" i="11"/>
  <c r="P156" i="8"/>
  <c r="B129" i="11"/>
  <c r="AF129" i="11"/>
  <c r="V130" i="11"/>
  <c r="P157" i="8"/>
  <c r="B130" i="11"/>
  <c r="AF130" i="11"/>
  <c r="V131" i="11"/>
  <c r="P162" i="8"/>
  <c r="B131" i="11"/>
  <c r="AF131" i="11"/>
  <c r="V132" i="11"/>
  <c r="P164" i="8"/>
  <c r="B132" i="11"/>
  <c r="AF132" i="11"/>
  <c r="V133" i="11"/>
  <c r="P165" i="8"/>
  <c r="B133" i="11"/>
  <c r="AF133" i="11"/>
  <c r="V134" i="11"/>
  <c r="P170" i="8"/>
  <c r="B134" i="11"/>
  <c r="AF134" i="11"/>
  <c r="V135" i="11"/>
  <c r="P173" i="8"/>
  <c r="B135" i="11"/>
  <c r="AF135" i="11"/>
  <c r="V136" i="11"/>
  <c r="P176" i="8"/>
  <c r="B136" i="11"/>
  <c r="AF136" i="11"/>
  <c r="V137" i="11"/>
  <c r="P177" i="8"/>
  <c r="B137" i="11"/>
  <c r="AF137" i="11"/>
  <c r="V138" i="11"/>
  <c r="P180" i="8"/>
  <c r="B138" i="11"/>
  <c r="AF138" i="11"/>
  <c r="V139" i="11"/>
  <c r="P181" i="8"/>
  <c r="B139" i="11"/>
  <c r="AF139" i="11"/>
  <c r="V140" i="11"/>
  <c r="P182" i="8"/>
  <c r="B140" i="11"/>
  <c r="AF140" i="11"/>
  <c r="V141" i="11"/>
  <c r="P183" i="8"/>
  <c r="B141" i="11"/>
  <c r="AF141" i="11"/>
  <c r="V142" i="11"/>
  <c r="P190" i="8"/>
  <c r="B142" i="11"/>
  <c r="AF142" i="11"/>
  <c r="V143" i="11"/>
  <c r="P191" i="8"/>
  <c r="B143" i="11"/>
  <c r="AF143" i="11"/>
  <c r="V144" i="11"/>
  <c r="P192" i="8"/>
  <c r="B144" i="11"/>
  <c r="AF144" i="11"/>
  <c r="AF145" i="11"/>
  <c r="AM146" i="11"/>
  <c r="AL146" i="11"/>
  <c r="AK146" i="11"/>
  <c r="AJ146" i="11"/>
  <c r="AI146" i="11"/>
  <c r="AH146" i="11"/>
  <c r="AG146" i="11"/>
  <c r="AF146" i="11"/>
  <c r="V154" i="11"/>
  <c r="V150" i="11"/>
  <c r="W150" i="11"/>
  <c r="X150" i="11"/>
  <c r="Y150" i="11"/>
  <c r="Z150" i="11"/>
  <c r="AA150" i="11"/>
  <c r="AB150" i="11"/>
  <c r="AC150" i="11"/>
  <c r="V151" i="11"/>
  <c r="W151" i="11"/>
  <c r="X151" i="11"/>
  <c r="Y151" i="11"/>
  <c r="Z151" i="11"/>
  <c r="AA151" i="11"/>
  <c r="AB151" i="11"/>
  <c r="AC151" i="11"/>
  <c r="V152" i="11"/>
  <c r="W152" i="11"/>
  <c r="X152" i="11"/>
  <c r="Y152" i="11"/>
  <c r="Z152" i="11"/>
  <c r="AA152" i="11"/>
  <c r="AB152" i="11"/>
  <c r="AC152" i="11"/>
  <c r="V153" i="11"/>
  <c r="W153" i="11"/>
  <c r="X153" i="11"/>
  <c r="Y153" i="11"/>
  <c r="Z153" i="11"/>
  <c r="AA153" i="11"/>
  <c r="AB153" i="11"/>
  <c r="AC153" i="11"/>
  <c r="W154" i="11"/>
  <c r="X154" i="11"/>
  <c r="Y154" i="11"/>
  <c r="Z154" i="11"/>
  <c r="AA154" i="11"/>
  <c r="AB154" i="11"/>
  <c r="AC154" i="11"/>
  <c r="V155" i="11"/>
  <c r="W155" i="11"/>
  <c r="X155" i="11"/>
  <c r="Y155" i="11"/>
  <c r="Z155" i="11"/>
  <c r="AA155" i="11"/>
  <c r="AB155" i="11"/>
  <c r="AC155" i="11"/>
  <c r="V156" i="11"/>
  <c r="W156" i="11"/>
  <c r="X156" i="11"/>
  <c r="Y156" i="11"/>
  <c r="Z156" i="11"/>
  <c r="AA156" i="11"/>
  <c r="AB156" i="11"/>
  <c r="AC156" i="11"/>
  <c r="V157" i="11"/>
  <c r="W157" i="11"/>
  <c r="X157" i="11"/>
  <c r="Y157" i="11"/>
  <c r="Z157" i="11"/>
  <c r="AA157" i="11"/>
  <c r="AB157" i="11"/>
  <c r="AC157" i="11"/>
  <c r="V158" i="11"/>
  <c r="W158" i="11"/>
  <c r="X158" i="11"/>
  <c r="Y158" i="11"/>
  <c r="Z158" i="11"/>
  <c r="AA158" i="11"/>
  <c r="AB158" i="11"/>
  <c r="AC158" i="11"/>
  <c r="V159" i="11"/>
  <c r="W159" i="11"/>
  <c r="X159" i="11"/>
  <c r="Y159" i="11"/>
  <c r="Z159" i="11"/>
  <c r="AA159" i="11"/>
  <c r="AB159" i="11"/>
  <c r="AC159" i="11"/>
  <c r="V160" i="11"/>
  <c r="W160" i="11"/>
  <c r="X160" i="11"/>
  <c r="Y160" i="11"/>
  <c r="Z160" i="11"/>
  <c r="AA160" i="11"/>
  <c r="AB160" i="11"/>
  <c r="AC160" i="11"/>
  <c r="V161" i="11"/>
  <c r="W161" i="11"/>
  <c r="X161" i="11"/>
  <c r="Y161" i="11"/>
  <c r="Z161" i="11"/>
  <c r="AA161" i="11"/>
  <c r="AB161" i="11"/>
  <c r="AC161" i="11"/>
  <c r="V162" i="11"/>
  <c r="W162" i="11"/>
  <c r="X162" i="11"/>
  <c r="Y162" i="11"/>
  <c r="Z162" i="11"/>
  <c r="AA162" i="11"/>
  <c r="AB162" i="11"/>
  <c r="AC162" i="11"/>
  <c r="V163" i="11"/>
  <c r="W163" i="11"/>
  <c r="X163" i="11"/>
  <c r="Y163" i="11"/>
  <c r="Z163" i="11"/>
  <c r="AA163" i="11"/>
  <c r="AB163" i="11"/>
  <c r="AC163" i="11"/>
  <c r="V164" i="11"/>
  <c r="W164" i="11"/>
  <c r="X164" i="11"/>
  <c r="Y164" i="11"/>
  <c r="Z164" i="11"/>
  <c r="AA164" i="11"/>
  <c r="AB164" i="11"/>
  <c r="AC164" i="11"/>
  <c r="W149" i="11"/>
  <c r="X149" i="11"/>
  <c r="Y149" i="11"/>
  <c r="Z149" i="11"/>
  <c r="AA149" i="11"/>
  <c r="AB149" i="11"/>
  <c r="AC149" i="11"/>
  <c r="V149" i="11"/>
  <c r="Q6" i="8"/>
  <c r="C149" i="11"/>
  <c r="AG149" i="11"/>
  <c r="Q8" i="8"/>
  <c r="C150" i="11"/>
  <c r="AG150" i="11"/>
  <c r="C151" i="11"/>
  <c r="AG151" i="11"/>
  <c r="Q15" i="8"/>
  <c r="C152" i="11"/>
  <c r="AG152" i="11"/>
  <c r="Q18" i="8"/>
  <c r="C153" i="11"/>
  <c r="AG153" i="11"/>
  <c r="Q32" i="8"/>
  <c r="C154" i="11"/>
  <c r="AG154" i="11"/>
  <c r="Q48" i="8"/>
  <c r="C155" i="11"/>
  <c r="AG155" i="11"/>
  <c r="C156" i="11"/>
  <c r="AG156" i="11"/>
  <c r="C157" i="11"/>
  <c r="AG157" i="11"/>
  <c r="Q83" i="8"/>
  <c r="C158" i="11"/>
  <c r="AG158" i="11"/>
  <c r="Q159" i="8"/>
  <c r="C159" i="11"/>
  <c r="AG159" i="11"/>
  <c r="Q160" i="8"/>
  <c r="C160" i="11"/>
  <c r="AG160" i="11"/>
  <c r="Q161" i="8"/>
  <c r="C161" i="11"/>
  <c r="AG161" i="11"/>
  <c r="Q163" i="8"/>
  <c r="C162" i="11"/>
  <c r="AG162" i="11"/>
  <c r="Q175" i="8"/>
  <c r="C163" i="11"/>
  <c r="AG163" i="11"/>
  <c r="Q184" i="8"/>
  <c r="C164" i="11"/>
  <c r="AG164" i="11"/>
  <c r="AG165" i="11"/>
  <c r="R6" i="8"/>
  <c r="D149" i="11"/>
  <c r="AH149" i="11"/>
  <c r="R8" i="8"/>
  <c r="D150" i="11"/>
  <c r="AH150" i="11"/>
  <c r="D151" i="11"/>
  <c r="AH151" i="11"/>
  <c r="R15" i="8"/>
  <c r="D152" i="11"/>
  <c r="AH152" i="11"/>
  <c r="R18" i="8"/>
  <c r="D153" i="11"/>
  <c r="AH153" i="11"/>
  <c r="R32" i="8"/>
  <c r="D154" i="11"/>
  <c r="AH154" i="11"/>
  <c r="R48" i="8"/>
  <c r="D155" i="11"/>
  <c r="AH155" i="11"/>
  <c r="D156" i="11"/>
  <c r="AH156" i="11"/>
  <c r="D157" i="11"/>
  <c r="AH157" i="11"/>
  <c r="R83" i="8"/>
  <c r="D158" i="11"/>
  <c r="AH158" i="11"/>
  <c r="R159" i="8"/>
  <c r="D159" i="11"/>
  <c r="AH159" i="11"/>
  <c r="R160" i="8"/>
  <c r="D160" i="11"/>
  <c r="AH160" i="11"/>
  <c r="R161" i="8"/>
  <c r="D161" i="11"/>
  <c r="AH161" i="11"/>
  <c r="R163" i="8"/>
  <c r="D162" i="11"/>
  <c r="AH162" i="11"/>
  <c r="R175" i="8"/>
  <c r="D163" i="11"/>
  <c r="AH163" i="11"/>
  <c r="R184" i="8"/>
  <c r="D164" i="11"/>
  <c r="AH164" i="11"/>
  <c r="AH165" i="11"/>
  <c r="S6" i="8"/>
  <c r="E149" i="11"/>
  <c r="AI149" i="11"/>
  <c r="S8" i="8"/>
  <c r="E150" i="11"/>
  <c r="AI150" i="11"/>
  <c r="E151" i="11"/>
  <c r="AI151" i="11"/>
  <c r="S15" i="8"/>
  <c r="E152" i="11"/>
  <c r="AI152" i="11"/>
  <c r="S18" i="8"/>
  <c r="E153" i="11"/>
  <c r="AI153" i="11"/>
  <c r="S32" i="8"/>
  <c r="E154" i="11"/>
  <c r="AI154" i="11"/>
  <c r="S48" i="8"/>
  <c r="E155" i="11"/>
  <c r="AI155" i="11"/>
  <c r="E156" i="11"/>
  <c r="AI156" i="11"/>
  <c r="E157" i="11"/>
  <c r="AI157" i="11"/>
  <c r="S83" i="8"/>
  <c r="E158" i="11"/>
  <c r="AI158" i="11"/>
  <c r="S159" i="8"/>
  <c r="E159" i="11"/>
  <c r="AI159" i="11"/>
  <c r="S160" i="8"/>
  <c r="E160" i="11"/>
  <c r="AI160" i="11"/>
  <c r="S161" i="8"/>
  <c r="E161" i="11"/>
  <c r="AI161" i="11"/>
  <c r="S163" i="8"/>
  <c r="E162" i="11"/>
  <c r="AI162" i="11"/>
  <c r="S175" i="8"/>
  <c r="E163" i="11"/>
  <c r="AI163" i="11"/>
  <c r="S184" i="8"/>
  <c r="E164" i="11"/>
  <c r="AI164" i="11"/>
  <c r="AI165" i="11"/>
  <c r="T6" i="8"/>
  <c r="F149" i="11"/>
  <c r="AJ149" i="11"/>
  <c r="T8" i="8"/>
  <c r="F150" i="11"/>
  <c r="AJ150" i="11"/>
  <c r="F151" i="11"/>
  <c r="AJ151" i="11"/>
  <c r="T15" i="8"/>
  <c r="F152" i="11"/>
  <c r="AJ152" i="11"/>
  <c r="T18" i="8"/>
  <c r="F153" i="11"/>
  <c r="AJ153" i="11"/>
  <c r="T32" i="8"/>
  <c r="F154" i="11"/>
  <c r="AJ154" i="11"/>
  <c r="T48" i="8"/>
  <c r="F155" i="11"/>
  <c r="AJ155" i="11"/>
  <c r="F156" i="11"/>
  <c r="AJ156" i="11"/>
  <c r="F157" i="11"/>
  <c r="AJ157" i="11"/>
  <c r="T83" i="8"/>
  <c r="F158" i="11"/>
  <c r="AJ158" i="11"/>
  <c r="T159" i="8"/>
  <c r="F159" i="11"/>
  <c r="AJ159" i="11"/>
  <c r="T160" i="8"/>
  <c r="F160" i="11"/>
  <c r="AJ160" i="11"/>
  <c r="T161" i="8"/>
  <c r="F161" i="11"/>
  <c r="AJ161" i="11"/>
  <c r="T163" i="8"/>
  <c r="F162" i="11"/>
  <c r="AJ162" i="11"/>
  <c r="T175" i="8"/>
  <c r="F163" i="11"/>
  <c r="AJ163" i="11"/>
  <c r="T184" i="8"/>
  <c r="F164" i="11"/>
  <c r="AJ164" i="11"/>
  <c r="AJ165" i="11"/>
  <c r="U6" i="8"/>
  <c r="G149" i="11"/>
  <c r="AK149" i="11"/>
  <c r="U8" i="8"/>
  <c r="G150" i="11"/>
  <c r="AK150" i="11"/>
  <c r="G151" i="11"/>
  <c r="AK151" i="11"/>
  <c r="U15" i="8"/>
  <c r="G152" i="11"/>
  <c r="AK152" i="11"/>
  <c r="U18" i="8"/>
  <c r="G153" i="11"/>
  <c r="AK153" i="11"/>
  <c r="U32" i="8"/>
  <c r="G154" i="11"/>
  <c r="AK154" i="11"/>
  <c r="U48" i="8"/>
  <c r="G155" i="11"/>
  <c r="AK155" i="11"/>
  <c r="G156" i="11"/>
  <c r="AK156" i="11"/>
  <c r="G157" i="11"/>
  <c r="AK157" i="11"/>
  <c r="U83" i="8"/>
  <c r="G158" i="11"/>
  <c r="AK158" i="11"/>
  <c r="U159" i="8"/>
  <c r="G159" i="11"/>
  <c r="AK159" i="11"/>
  <c r="U160" i="8"/>
  <c r="G160" i="11"/>
  <c r="AK160" i="11"/>
  <c r="U161" i="8"/>
  <c r="G161" i="11"/>
  <c r="AK161" i="11"/>
  <c r="U163" i="8"/>
  <c r="G162" i="11"/>
  <c r="AK162" i="11"/>
  <c r="U175" i="8"/>
  <c r="G163" i="11"/>
  <c r="AK163" i="11"/>
  <c r="U184" i="8"/>
  <c r="G164" i="11"/>
  <c r="AK164" i="11"/>
  <c r="AK165" i="11"/>
  <c r="V6" i="8"/>
  <c r="H149" i="11"/>
  <c r="AL149" i="11"/>
  <c r="V8" i="8"/>
  <c r="H150" i="11"/>
  <c r="AL150" i="11"/>
  <c r="H151" i="11"/>
  <c r="AL151" i="11"/>
  <c r="V15" i="8"/>
  <c r="H152" i="11"/>
  <c r="AL152" i="11"/>
  <c r="V18" i="8"/>
  <c r="H153" i="11"/>
  <c r="AL153" i="11"/>
  <c r="V32" i="8"/>
  <c r="H154" i="11"/>
  <c r="AL154" i="11"/>
  <c r="V48" i="8"/>
  <c r="H155" i="11"/>
  <c r="AL155" i="11"/>
  <c r="H156" i="11"/>
  <c r="AL156" i="11"/>
  <c r="H157" i="11"/>
  <c r="AL157" i="11"/>
  <c r="V83" i="8"/>
  <c r="H158" i="11"/>
  <c r="AL158" i="11"/>
  <c r="V159" i="8"/>
  <c r="H159" i="11"/>
  <c r="AL159" i="11"/>
  <c r="V160" i="8"/>
  <c r="H160" i="11"/>
  <c r="AL160" i="11"/>
  <c r="V161" i="8"/>
  <c r="H161" i="11"/>
  <c r="AL161" i="11"/>
  <c r="V163" i="8"/>
  <c r="H162" i="11"/>
  <c r="AL162" i="11"/>
  <c r="V175" i="8"/>
  <c r="H163" i="11"/>
  <c r="AL163" i="11"/>
  <c r="V184" i="8"/>
  <c r="H164" i="11"/>
  <c r="AL164" i="11"/>
  <c r="AL165" i="11"/>
  <c r="W6" i="8"/>
  <c r="I149" i="11"/>
  <c r="AM149" i="11"/>
  <c r="W8" i="8"/>
  <c r="I150" i="11"/>
  <c r="AM150" i="11"/>
  <c r="I151" i="11"/>
  <c r="AM151" i="11"/>
  <c r="W15" i="8"/>
  <c r="I152" i="11"/>
  <c r="AM152" i="11"/>
  <c r="W18" i="8"/>
  <c r="I153" i="11"/>
  <c r="AM153" i="11"/>
  <c r="W32" i="8"/>
  <c r="I154" i="11"/>
  <c r="AM154" i="11"/>
  <c r="W48" i="8"/>
  <c r="I155" i="11"/>
  <c r="AM155" i="11"/>
  <c r="I156" i="11"/>
  <c r="AM156" i="11"/>
  <c r="I157" i="11"/>
  <c r="AM157" i="11"/>
  <c r="W83" i="8"/>
  <c r="I158" i="11"/>
  <c r="AM158" i="11"/>
  <c r="W159" i="8"/>
  <c r="I159" i="11"/>
  <c r="AM159" i="11"/>
  <c r="W160" i="8"/>
  <c r="I160" i="11"/>
  <c r="AM160" i="11"/>
  <c r="W161" i="8"/>
  <c r="I161" i="11"/>
  <c r="AM161" i="11"/>
  <c r="W163" i="8"/>
  <c r="I162" i="11"/>
  <c r="AM162" i="11"/>
  <c r="W175" i="8"/>
  <c r="I163" i="11"/>
  <c r="AM163" i="11"/>
  <c r="W184" i="8"/>
  <c r="I164" i="11"/>
  <c r="AM164" i="11"/>
  <c r="AM165" i="11"/>
  <c r="P6" i="8"/>
  <c r="B149" i="11"/>
  <c r="AF149" i="11"/>
  <c r="P8" i="8"/>
  <c r="B150" i="11"/>
  <c r="AF150" i="11"/>
  <c r="B151" i="11"/>
  <c r="AF151" i="11"/>
  <c r="P15" i="8"/>
  <c r="B152" i="11"/>
  <c r="AF152" i="11"/>
  <c r="P18" i="8"/>
  <c r="B153" i="11"/>
  <c r="AF153" i="11"/>
  <c r="P32" i="8"/>
  <c r="B154" i="11"/>
  <c r="AF154" i="11"/>
  <c r="P48" i="8"/>
  <c r="B155" i="11"/>
  <c r="AF155" i="11"/>
  <c r="B156" i="11"/>
  <c r="AF156" i="11"/>
  <c r="B157" i="11"/>
  <c r="AF157" i="11"/>
  <c r="P83" i="8"/>
  <c r="B158" i="11"/>
  <c r="AF158" i="11"/>
  <c r="P159" i="8"/>
  <c r="B159" i="11"/>
  <c r="AF159" i="11"/>
  <c r="P160" i="8"/>
  <c r="B160" i="11"/>
  <c r="AF160" i="11"/>
  <c r="P161" i="8"/>
  <c r="B161" i="11"/>
  <c r="AF161" i="11"/>
  <c r="P163" i="8"/>
  <c r="B162" i="11"/>
  <c r="AF162" i="11"/>
  <c r="P175" i="8"/>
  <c r="B163" i="11"/>
  <c r="AF163" i="11"/>
  <c r="P184" i="8"/>
  <c r="B164" i="11"/>
  <c r="AF164" i="11"/>
  <c r="AF165" i="11"/>
  <c r="AM166" i="11"/>
  <c r="AL166" i="11"/>
  <c r="AK166" i="11"/>
  <c r="AJ166" i="11"/>
  <c r="AI166" i="11"/>
  <c r="AH166" i="11"/>
  <c r="AG166" i="11"/>
  <c r="AF166" i="11"/>
  <c r="V170" i="11"/>
  <c r="W170" i="11"/>
  <c r="X170" i="11"/>
  <c r="Y170" i="11"/>
  <c r="Z170" i="11"/>
  <c r="AA170" i="11"/>
  <c r="AB170" i="11"/>
  <c r="AC170" i="11"/>
  <c r="V171" i="11"/>
  <c r="W171" i="11"/>
  <c r="X171" i="11"/>
  <c r="Y171" i="11"/>
  <c r="Z171" i="11"/>
  <c r="AA171" i="11"/>
  <c r="AB171" i="11"/>
  <c r="AC171" i="11"/>
  <c r="V172" i="11"/>
  <c r="W172" i="11"/>
  <c r="X172" i="11"/>
  <c r="Y172" i="11"/>
  <c r="Z172" i="11"/>
  <c r="AA172" i="11"/>
  <c r="AB172" i="11"/>
  <c r="AC172" i="11"/>
  <c r="V173" i="11"/>
  <c r="W173" i="11"/>
  <c r="X173" i="11"/>
  <c r="Y173" i="11"/>
  <c r="Z173" i="11"/>
  <c r="AA173" i="11"/>
  <c r="AB173" i="11"/>
  <c r="AC173" i="11"/>
  <c r="V174" i="11"/>
  <c r="W174" i="11"/>
  <c r="X174" i="11"/>
  <c r="Y174" i="11"/>
  <c r="Z174" i="11"/>
  <c r="AA174" i="11"/>
  <c r="AB174" i="11"/>
  <c r="AC174" i="11"/>
  <c r="V175" i="11"/>
  <c r="W175" i="11"/>
  <c r="X175" i="11"/>
  <c r="Y175" i="11"/>
  <c r="Z175" i="11"/>
  <c r="AA175" i="11"/>
  <c r="AB175" i="11"/>
  <c r="AC175" i="11"/>
  <c r="V176" i="11"/>
  <c r="W176" i="11"/>
  <c r="X176" i="11"/>
  <c r="Y176" i="11"/>
  <c r="Z176" i="11"/>
  <c r="AA176" i="11"/>
  <c r="AB176" i="11"/>
  <c r="AC176" i="11"/>
  <c r="V177" i="11"/>
  <c r="W177" i="11"/>
  <c r="X177" i="11"/>
  <c r="Y177" i="11"/>
  <c r="Z177" i="11"/>
  <c r="AA177" i="11"/>
  <c r="AB177" i="11"/>
  <c r="AC177" i="11"/>
  <c r="V178" i="11"/>
  <c r="W178" i="11"/>
  <c r="X178" i="11"/>
  <c r="Y178" i="11"/>
  <c r="Z178" i="11"/>
  <c r="AA178" i="11"/>
  <c r="AB178" i="11"/>
  <c r="AC178" i="11"/>
  <c r="V179" i="11"/>
  <c r="W179" i="11"/>
  <c r="X179" i="11"/>
  <c r="Y179" i="11"/>
  <c r="Z179" i="11"/>
  <c r="AA179" i="11"/>
  <c r="AB179" i="11"/>
  <c r="AC179" i="11"/>
  <c r="V180" i="11"/>
  <c r="W180" i="11"/>
  <c r="X180" i="11"/>
  <c r="Y180" i="11"/>
  <c r="Z180" i="11"/>
  <c r="AA180" i="11"/>
  <c r="AB180" i="11"/>
  <c r="AC180" i="11"/>
  <c r="V181" i="11"/>
  <c r="W181" i="11"/>
  <c r="X181" i="11"/>
  <c r="Y181" i="11"/>
  <c r="Z181" i="11"/>
  <c r="AA181" i="11"/>
  <c r="AB181" i="11"/>
  <c r="AC181" i="11"/>
  <c r="V182" i="11"/>
  <c r="W182" i="11"/>
  <c r="X182" i="11"/>
  <c r="Y182" i="11"/>
  <c r="Z182" i="11"/>
  <c r="AA182" i="11"/>
  <c r="AB182" i="11"/>
  <c r="AC182" i="11"/>
  <c r="V183" i="11"/>
  <c r="W183" i="11"/>
  <c r="X183" i="11"/>
  <c r="Y183" i="11"/>
  <c r="Z183" i="11"/>
  <c r="AA183" i="11"/>
  <c r="AB183" i="11"/>
  <c r="AC183" i="11"/>
  <c r="V184" i="11"/>
  <c r="W184" i="11"/>
  <c r="X184" i="11"/>
  <c r="Y184" i="11"/>
  <c r="Z184" i="11"/>
  <c r="AA184" i="11"/>
  <c r="AB184" i="11"/>
  <c r="AC184" i="11"/>
  <c r="V185" i="11"/>
  <c r="W185" i="11"/>
  <c r="X185" i="11"/>
  <c r="Y185" i="11"/>
  <c r="Z185" i="11"/>
  <c r="AA185" i="11"/>
  <c r="AB185" i="11"/>
  <c r="AC185" i="11"/>
  <c r="V186" i="11"/>
  <c r="W186" i="11"/>
  <c r="X186" i="11"/>
  <c r="Y186" i="11"/>
  <c r="Z186" i="11"/>
  <c r="AA186" i="11"/>
  <c r="AB186" i="11"/>
  <c r="AC186" i="11"/>
  <c r="V187" i="11"/>
  <c r="W187" i="11"/>
  <c r="X187" i="11"/>
  <c r="Y187" i="11"/>
  <c r="Z187" i="11"/>
  <c r="AA187" i="11"/>
  <c r="AB187" i="11"/>
  <c r="AC187" i="11"/>
  <c r="V188" i="11"/>
  <c r="W188" i="11"/>
  <c r="X188" i="11"/>
  <c r="Y188" i="11"/>
  <c r="Z188" i="11"/>
  <c r="AA188" i="11"/>
  <c r="AB188" i="11"/>
  <c r="AC188" i="11"/>
  <c r="W169" i="11"/>
  <c r="X169" i="11"/>
  <c r="Y169" i="11"/>
  <c r="Z169" i="11"/>
  <c r="AA169" i="11"/>
  <c r="AB169" i="11"/>
  <c r="AC169" i="11"/>
  <c r="Q7" i="8"/>
  <c r="C169" i="11"/>
  <c r="AG169" i="11"/>
  <c r="Q21" i="8"/>
  <c r="C170" i="11"/>
  <c r="AG170" i="11"/>
  <c r="Q24" i="8"/>
  <c r="C171" i="11"/>
  <c r="AG171" i="11"/>
  <c r="Q35" i="8"/>
  <c r="C172" i="11"/>
  <c r="AG172" i="11"/>
  <c r="Q37" i="8"/>
  <c r="C173" i="11"/>
  <c r="AG173" i="11"/>
  <c r="C174" i="11"/>
  <c r="AG174" i="11"/>
  <c r="Q49" i="8"/>
  <c r="C175" i="11"/>
  <c r="AG175" i="11"/>
  <c r="Q50" i="8"/>
  <c r="C176" i="11"/>
  <c r="AG176" i="11"/>
  <c r="Q52" i="8"/>
  <c r="C177" i="11"/>
  <c r="AG177" i="11"/>
  <c r="C178" i="11"/>
  <c r="AG178" i="11"/>
  <c r="C179" i="11"/>
  <c r="AG179" i="11"/>
  <c r="C180" i="11"/>
  <c r="AG180" i="11"/>
  <c r="Q112" i="8"/>
  <c r="C181" i="11"/>
  <c r="AG181" i="11"/>
  <c r="Q124" i="8"/>
  <c r="C182" i="11"/>
  <c r="AG182" i="11"/>
  <c r="Q131" i="8"/>
  <c r="C183" i="11"/>
  <c r="AG183" i="11"/>
  <c r="Q133" i="8"/>
  <c r="C184" i="11"/>
  <c r="AG184" i="11"/>
  <c r="Q134" i="8"/>
  <c r="C185" i="11"/>
  <c r="AG185" i="11"/>
  <c r="Q138" i="8"/>
  <c r="C186" i="11"/>
  <c r="AG186" i="11"/>
  <c r="Q185" i="8"/>
  <c r="C187" i="11"/>
  <c r="AG187" i="11"/>
  <c r="Q188" i="8"/>
  <c r="C188" i="11"/>
  <c r="AG188" i="11"/>
  <c r="AG189" i="11"/>
  <c r="R7" i="8"/>
  <c r="D169" i="11"/>
  <c r="AH169" i="11"/>
  <c r="R21" i="8"/>
  <c r="D170" i="11"/>
  <c r="AH170" i="11"/>
  <c r="R24" i="8"/>
  <c r="D171" i="11"/>
  <c r="AH171" i="11"/>
  <c r="R35" i="8"/>
  <c r="D172" i="11"/>
  <c r="AH172" i="11"/>
  <c r="R37" i="8"/>
  <c r="D173" i="11"/>
  <c r="AH173" i="11"/>
  <c r="D174" i="11"/>
  <c r="AH174" i="11"/>
  <c r="R49" i="8"/>
  <c r="D175" i="11"/>
  <c r="AH175" i="11"/>
  <c r="R50" i="8"/>
  <c r="D176" i="11"/>
  <c r="AH176" i="11"/>
  <c r="R52" i="8"/>
  <c r="D177" i="11"/>
  <c r="AH177" i="11"/>
  <c r="D178" i="11"/>
  <c r="AH178" i="11"/>
  <c r="D179" i="11"/>
  <c r="AH179" i="11"/>
  <c r="D180" i="11"/>
  <c r="AH180" i="11"/>
  <c r="D181" i="11"/>
  <c r="AH181" i="11"/>
  <c r="R124" i="8"/>
  <c r="D182" i="11"/>
  <c r="AH182" i="11"/>
  <c r="R131" i="8"/>
  <c r="D183" i="11"/>
  <c r="AH183" i="11"/>
  <c r="R133" i="8"/>
  <c r="D184" i="11"/>
  <c r="AH184" i="11"/>
  <c r="R134" i="8"/>
  <c r="D185" i="11"/>
  <c r="AH185" i="11"/>
  <c r="R138" i="8"/>
  <c r="D186" i="11"/>
  <c r="AH186" i="11"/>
  <c r="R185" i="8"/>
  <c r="D187" i="11"/>
  <c r="AH187" i="11"/>
  <c r="R188" i="8"/>
  <c r="D188" i="11"/>
  <c r="AH188" i="11"/>
  <c r="AH189" i="11"/>
  <c r="S7" i="8"/>
  <c r="E169" i="11"/>
  <c r="AI169" i="11"/>
  <c r="S21" i="8"/>
  <c r="E170" i="11"/>
  <c r="AI170" i="11"/>
  <c r="S24" i="8"/>
  <c r="E171" i="11"/>
  <c r="AI171" i="11"/>
  <c r="S35" i="8"/>
  <c r="E172" i="11"/>
  <c r="AI172" i="11"/>
  <c r="S37" i="8"/>
  <c r="E173" i="11"/>
  <c r="AI173" i="11"/>
  <c r="E174" i="11"/>
  <c r="AI174" i="11"/>
  <c r="S49" i="8"/>
  <c r="E175" i="11"/>
  <c r="AI175" i="11"/>
  <c r="S50" i="8"/>
  <c r="E176" i="11"/>
  <c r="AI176" i="11"/>
  <c r="S52" i="8"/>
  <c r="E177" i="11"/>
  <c r="AI177" i="11"/>
  <c r="E178" i="11"/>
  <c r="AI178" i="11"/>
  <c r="E179" i="11"/>
  <c r="AI179" i="11"/>
  <c r="E180" i="11"/>
  <c r="AI180" i="11"/>
  <c r="E181" i="11"/>
  <c r="AI181" i="11"/>
  <c r="S124" i="8"/>
  <c r="E182" i="11"/>
  <c r="AI182" i="11"/>
  <c r="S131" i="8"/>
  <c r="E183" i="11"/>
  <c r="AI183" i="11"/>
  <c r="S133" i="8"/>
  <c r="E184" i="11"/>
  <c r="AI184" i="11"/>
  <c r="S134" i="8"/>
  <c r="E185" i="11"/>
  <c r="AI185" i="11"/>
  <c r="S138" i="8"/>
  <c r="E186" i="11"/>
  <c r="AI186" i="11"/>
  <c r="S185" i="8"/>
  <c r="E187" i="11"/>
  <c r="AI187" i="11"/>
  <c r="S188" i="8"/>
  <c r="E188" i="11"/>
  <c r="AI188" i="11"/>
  <c r="AI189" i="11"/>
  <c r="T7" i="8"/>
  <c r="F169" i="11"/>
  <c r="AJ169" i="11"/>
  <c r="T21" i="8"/>
  <c r="F170" i="11"/>
  <c r="AJ170" i="11"/>
  <c r="T24" i="8"/>
  <c r="F171" i="11"/>
  <c r="AJ171" i="11"/>
  <c r="T35" i="8"/>
  <c r="F172" i="11"/>
  <c r="AJ172" i="11"/>
  <c r="T37" i="8"/>
  <c r="F173" i="11"/>
  <c r="AJ173" i="11"/>
  <c r="F174" i="11"/>
  <c r="AJ174" i="11"/>
  <c r="T49" i="8"/>
  <c r="F175" i="11"/>
  <c r="AJ175" i="11"/>
  <c r="T50" i="8"/>
  <c r="F176" i="11"/>
  <c r="AJ176" i="11"/>
  <c r="T52" i="8"/>
  <c r="F177" i="11"/>
  <c r="AJ177" i="11"/>
  <c r="F178" i="11"/>
  <c r="AJ178" i="11"/>
  <c r="F179" i="11"/>
  <c r="AJ179" i="11"/>
  <c r="F180" i="11"/>
  <c r="AJ180" i="11"/>
  <c r="F181" i="11"/>
  <c r="AJ181" i="11"/>
  <c r="T124" i="8"/>
  <c r="F182" i="11"/>
  <c r="AJ182" i="11"/>
  <c r="T131" i="8"/>
  <c r="F183" i="11"/>
  <c r="AJ183" i="11"/>
  <c r="T133" i="8"/>
  <c r="F184" i="11"/>
  <c r="AJ184" i="11"/>
  <c r="T134" i="8"/>
  <c r="F185" i="11"/>
  <c r="AJ185" i="11"/>
  <c r="T138" i="8"/>
  <c r="F186" i="11"/>
  <c r="AJ186" i="11"/>
  <c r="T185" i="8"/>
  <c r="F187" i="11"/>
  <c r="AJ187" i="11"/>
  <c r="T188" i="8"/>
  <c r="F188" i="11"/>
  <c r="AJ188" i="11"/>
  <c r="AJ189" i="11"/>
  <c r="U7" i="8"/>
  <c r="G169" i="11"/>
  <c r="AK169" i="11"/>
  <c r="U21" i="8"/>
  <c r="G170" i="11"/>
  <c r="AK170" i="11"/>
  <c r="U24" i="8"/>
  <c r="G171" i="11"/>
  <c r="AK171" i="11"/>
  <c r="U35" i="8"/>
  <c r="G172" i="11"/>
  <c r="AK172" i="11"/>
  <c r="U37" i="8"/>
  <c r="G173" i="11"/>
  <c r="AK173" i="11"/>
  <c r="G174" i="11"/>
  <c r="AK174" i="11"/>
  <c r="U49" i="8"/>
  <c r="G175" i="11"/>
  <c r="AK175" i="11"/>
  <c r="U50" i="8"/>
  <c r="G176" i="11"/>
  <c r="AK176" i="11"/>
  <c r="U52" i="8"/>
  <c r="G177" i="11"/>
  <c r="AK177" i="11"/>
  <c r="G178" i="11"/>
  <c r="AK178" i="11"/>
  <c r="G179" i="11"/>
  <c r="AK179" i="11"/>
  <c r="G180" i="11"/>
  <c r="AK180" i="11"/>
  <c r="G181" i="11"/>
  <c r="AK181" i="11"/>
  <c r="U124" i="8"/>
  <c r="G182" i="11"/>
  <c r="AK182" i="11"/>
  <c r="U131" i="8"/>
  <c r="G183" i="11"/>
  <c r="AK183" i="11"/>
  <c r="U133" i="8"/>
  <c r="G184" i="11"/>
  <c r="AK184" i="11"/>
  <c r="U134" i="8"/>
  <c r="G185" i="11"/>
  <c r="AK185" i="11"/>
  <c r="U138" i="8"/>
  <c r="G186" i="11"/>
  <c r="AK186" i="11"/>
  <c r="U185" i="8"/>
  <c r="G187" i="11"/>
  <c r="AK187" i="11"/>
  <c r="U188" i="8"/>
  <c r="G188" i="11"/>
  <c r="AK188" i="11"/>
  <c r="AK189" i="11"/>
  <c r="V7" i="8"/>
  <c r="H169" i="11"/>
  <c r="AL169" i="11"/>
  <c r="V21" i="8"/>
  <c r="H170" i="11"/>
  <c r="AL170" i="11"/>
  <c r="V24" i="8"/>
  <c r="H171" i="11"/>
  <c r="AL171" i="11"/>
  <c r="V35" i="8"/>
  <c r="H172" i="11"/>
  <c r="AL172" i="11"/>
  <c r="V37" i="8"/>
  <c r="H173" i="11"/>
  <c r="AL173" i="11"/>
  <c r="H174" i="11"/>
  <c r="AL174" i="11"/>
  <c r="V49" i="8"/>
  <c r="H175" i="11"/>
  <c r="AL175" i="11"/>
  <c r="V50" i="8"/>
  <c r="H176" i="11"/>
  <c r="AL176" i="11"/>
  <c r="V52" i="8"/>
  <c r="H177" i="11"/>
  <c r="AL177" i="11"/>
  <c r="H178" i="11"/>
  <c r="AL178" i="11"/>
  <c r="H179" i="11"/>
  <c r="AL179" i="11"/>
  <c r="H180" i="11"/>
  <c r="AL180" i="11"/>
  <c r="H181" i="11"/>
  <c r="AL181" i="11"/>
  <c r="V124" i="8"/>
  <c r="H182" i="11"/>
  <c r="AL182" i="11"/>
  <c r="V131" i="8"/>
  <c r="H183" i="11"/>
  <c r="AL183" i="11"/>
  <c r="V133" i="8"/>
  <c r="H184" i="11"/>
  <c r="AL184" i="11"/>
  <c r="V134" i="8"/>
  <c r="H185" i="11"/>
  <c r="AL185" i="11"/>
  <c r="V138" i="8"/>
  <c r="H186" i="11"/>
  <c r="AL186" i="11"/>
  <c r="V185" i="8"/>
  <c r="H187" i="11"/>
  <c r="AL187" i="11"/>
  <c r="V188" i="8"/>
  <c r="H188" i="11"/>
  <c r="AL188" i="11"/>
  <c r="AL189" i="11"/>
  <c r="W7" i="8"/>
  <c r="I169" i="11"/>
  <c r="AM169" i="11"/>
  <c r="W21" i="8"/>
  <c r="I170" i="11"/>
  <c r="AM170" i="11"/>
  <c r="W24" i="8"/>
  <c r="I171" i="11"/>
  <c r="AM171" i="11"/>
  <c r="W35" i="8"/>
  <c r="I172" i="11"/>
  <c r="AM172" i="11"/>
  <c r="W37" i="8"/>
  <c r="I173" i="11"/>
  <c r="AM173" i="11"/>
  <c r="I174" i="11"/>
  <c r="AM174" i="11"/>
  <c r="W49" i="8"/>
  <c r="I175" i="11"/>
  <c r="AM175" i="11"/>
  <c r="W50" i="8"/>
  <c r="I176" i="11"/>
  <c r="AM176" i="11"/>
  <c r="W52" i="8"/>
  <c r="I177" i="11"/>
  <c r="AM177" i="11"/>
  <c r="I178" i="11"/>
  <c r="AM178" i="11"/>
  <c r="I179" i="11"/>
  <c r="AM179" i="11"/>
  <c r="I180" i="11"/>
  <c r="AM180" i="11"/>
  <c r="W112" i="8"/>
  <c r="I181" i="11"/>
  <c r="AM181" i="11"/>
  <c r="W124" i="8"/>
  <c r="I182" i="11"/>
  <c r="AM182" i="11"/>
  <c r="W131" i="8"/>
  <c r="I183" i="11"/>
  <c r="AM183" i="11"/>
  <c r="W133" i="8"/>
  <c r="I184" i="11"/>
  <c r="AM184" i="11"/>
  <c r="W134" i="8"/>
  <c r="I185" i="11"/>
  <c r="AM185" i="11"/>
  <c r="W138" i="8"/>
  <c r="I186" i="11"/>
  <c r="AM186" i="11"/>
  <c r="W185" i="8"/>
  <c r="I187" i="11"/>
  <c r="AM187" i="11"/>
  <c r="W188" i="8"/>
  <c r="I188" i="11"/>
  <c r="AM188" i="11"/>
  <c r="AM189" i="11"/>
  <c r="P21" i="8"/>
  <c r="B170" i="11"/>
  <c r="AF170" i="11"/>
  <c r="P24" i="8"/>
  <c r="B171" i="11"/>
  <c r="AF171" i="11"/>
  <c r="P35" i="8"/>
  <c r="B172" i="11"/>
  <c r="AF172" i="11"/>
  <c r="P37" i="8"/>
  <c r="B173" i="11"/>
  <c r="AF173" i="11"/>
  <c r="B174" i="11"/>
  <c r="AF174" i="11"/>
  <c r="P49" i="8"/>
  <c r="B175" i="11"/>
  <c r="AF175" i="11"/>
  <c r="P50" i="8"/>
  <c r="B176" i="11"/>
  <c r="AF176" i="11"/>
  <c r="P52" i="8"/>
  <c r="B177" i="11"/>
  <c r="AF177" i="11"/>
  <c r="B178" i="11"/>
  <c r="AF178" i="11"/>
  <c r="B179" i="11"/>
  <c r="AF179" i="11"/>
  <c r="B180" i="11"/>
  <c r="AF180" i="11"/>
  <c r="P112" i="8"/>
  <c r="B181" i="11"/>
  <c r="AF181" i="11"/>
  <c r="P124" i="8"/>
  <c r="B182" i="11"/>
  <c r="AF182" i="11"/>
  <c r="P131" i="8"/>
  <c r="B183" i="11"/>
  <c r="AF183" i="11"/>
  <c r="P133" i="8"/>
  <c r="B184" i="11"/>
  <c r="AF184" i="11"/>
  <c r="P134" i="8"/>
  <c r="B185" i="11"/>
  <c r="AF185" i="11"/>
  <c r="P138" i="8"/>
  <c r="B186" i="11"/>
  <c r="AF186" i="11"/>
  <c r="P185" i="8"/>
  <c r="B187" i="11"/>
  <c r="AF187" i="11"/>
  <c r="P188" i="8"/>
  <c r="B188" i="11"/>
  <c r="AF188" i="11"/>
  <c r="AF189" i="11"/>
  <c r="M2" i="11"/>
  <c r="M3" i="11"/>
  <c r="M4" i="11"/>
  <c r="M5" i="11"/>
  <c r="M6" i="11"/>
  <c r="M7" i="11"/>
  <c r="M8" i="11"/>
  <c r="M9" i="11"/>
  <c r="M10" i="11"/>
  <c r="M11" i="11"/>
  <c r="M12" i="11"/>
  <c r="M13" i="11"/>
  <c r="M14" i="11"/>
  <c r="M15" i="11"/>
  <c r="M16" i="11"/>
  <c r="M17" i="11"/>
  <c r="M18" i="11"/>
  <c r="M19" i="11"/>
  <c r="M20" i="11"/>
  <c r="M21" i="11"/>
  <c r="M22" i="11"/>
  <c r="M23" i="11"/>
  <c r="M24" i="11"/>
  <c r="M25" i="11"/>
  <c r="M26" i="11"/>
  <c r="M27" i="11"/>
  <c r="M28" i="11"/>
  <c r="M29" i="11"/>
  <c r="M30" i="11"/>
  <c r="M31" i="11"/>
  <c r="M32" i="11"/>
  <c r="M33" i="11"/>
  <c r="M34" i="11"/>
  <c r="M35" i="11"/>
  <c r="S2" i="11"/>
  <c r="S3" i="11"/>
  <c r="S4" i="11"/>
  <c r="S5" i="11"/>
  <c r="S6" i="11"/>
  <c r="S7" i="11"/>
  <c r="S8" i="11"/>
  <c r="S9" i="11"/>
  <c r="S10" i="11"/>
  <c r="S11" i="11"/>
  <c r="S12" i="11"/>
  <c r="S13" i="11"/>
  <c r="S14" i="11"/>
  <c r="S15" i="11"/>
  <c r="S16" i="11"/>
  <c r="S17" i="11"/>
  <c r="S18" i="11"/>
  <c r="S19" i="11"/>
  <c r="S20" i="11"/>
  <c r="S21" i="11"/>
  <c r="S22" i="11"/>
  <c r="S23" i="11"/>
  <c r="S24" i="11"/>
  <c r="S25" i="11"/>
  <c r="S26" i="11"/>
  <c r="S27" i="11"/>
  <c r="S28" i="11"/>
  <c r="S29" i="11"/>
  <c r="S30" i="11"/>
  <c r="S31" i="11"/>
  <c r="S32" i="11"/>
  <c r="S33" i="11"/>
  <c r="S34" i="11"/>
  <c r="S35" i="11"/>
  <c r="L2" i="11"/>
  <c r="L3" i="11"/>
  <c r="L4" i="11"/>
  <c r="L5" i="11"/>
  <c r="L6" i="11"/>
  <c r="L7" i="11"/>
  <c r="L8" i="11"/>
  <c r="L9" i="11"/>
  <c r="L10" i="11"/>
  <c r="L11" i="11"/>
  <c r="L12" i="11"/>
  <c r="L13" i="11"/>
  <c r="L14" i="11"/>
  <c r="L15" i="11"/>
  <c r="L16" i="11"/>
  <c r="L17" i="11"/>
  <c r="L18" i="11"/>
  <c r="L19" i="11"/>
  <c r="L20" i="11"/>
  <c r="L21" i="11"/>
  <c r="L22" i="11"/>
  <c r="L23" i="11"/>
  <c r="L24" i="11"/>
  <c r="L25" i="11"/>
  <c r="L26" i="11"/>
  <c r="L27" i="11"/>
  <c r="L28" i="11"/>
  <c r="L29" i="11"/>
  <c r="L30" i="11"/>
  <c r="L31" i="11"/>
  <c r="L32" i="11"/>
  <c r="L33" i="11"/>
  <c r="L34" i="11"/>
  <c r="L35" i="11"/>
  <c r="AM190" i="11"/>
  <c r="AL190" i="11"/>
  <c r="AK190" i="11"/>
  <c r="AJ190" i="11"/>
  <c r="AI190" i="11"/>
  <c r="AH190" i="11"/>
  <c r="AG190" i="11"/>
  <c r="AF190" i="11"/>
  <c r="V29" i="11"/>
  <c r="W29" i="11"/>
  <c r="AC29" i="11"/>
  <c r="P168" i="8"/>
  <c r="B29" i="11"/>
  <c r="AF29" i="11"/>
  <c r="Q168" i="8"/>
  <c r="C29" i="11"/>
  <c r="AG29" i="11"/>
  <c r="W168" i="8"/>
  <c r="I29" i="11"/>
  <c r="AM29" i="11"/>
  <c r="W109" i="8"/>
  <c r="Q109" i="8"/>
  <c r="P109" i="8"/>
  <c r="W93" i="8"/>
  <c r="V93" i="8"/>
  <c r="U93" i="8"/>
  <c r="T93" i="8"/>
  <c r="S93" i="8"/>
  <c r="R93" i="8"/>
  <c r="Q93" i="8"/>
  <c r="P93" i="8"/>
  <c r="W189" i="8"/>
  <c r="Q189" i="8"/>
  <c r="P189" i="8"/>
  <c r="W178" i="8"/>
  <c r="V178" i="8"/>
  <c r="U178" i="8"/>
  <c r="T178" i="8"/>
  <c r="S178" i="8"/>
  <c r="R178" i="8"/>
  <c r="Q178" i="8"/>
  <c r="P178" i="8"/>
  <c r="W151" i="8"/>
  <c r="Q151" i="8"/>
  <c r="P151" i="8"/>
  <c r="W11" i="8"/>
  <c r="V11" i="8"/>
  <c r="U11" i="8"/>
  <c r="T11" i="8"/>
  <c r="S11" i="8"/>
  <c r="R11" i="8"/>
  <c r="Q11" i="8"/>
  <c r="P11" i="8"/>
  <c r="W187" i="8"/>
  <c r="Q187" i="8"/>
  <c r="P187" i="8"/>
  <c r="W167" i="8"/>
  <c r="V167" i="8"/>
  <c r="U167" i="8"/>
  <c r="T167" i="8"/>
  <c r="S167" i="8"/>
  <c r="R167" i="8"/>
  <c r="Q167" i="8"/>
  <c r="P167" i="8"/>
  <c r="W154" i="8"/>
  <c r="Q154" i="8"/>
  <c r="P154" i="8"/>
  <c r="W130" i="8"/>
  <c r="Q130" i="8"/>
  <c r="P130" i="8"/>
  <c r="W102" i="8"/>
  <c r="V102" i="8"/>
  <c r="U102" i="8"/>
  <c r="T102" i="8"/>
  <c r="S102" i="8"/>
  <c r="R102" i="8"/>
  <c r="Q102" i="8"/>
  <c r="P102" i="8"/>
  <c r="W84" i="8"/>
  <c r="Q84" i="8"/>
  <c r="P84" i="8"/>
  <c r="W77" i="8"/>
  <c r="Q77" i="8"/>
  <c r="P77" i="8"/>
  <c r="W51" i="8"/>
  <c r="V51" i="8"/>
  <c r="U51" i="8"/>
  <c r="T51" i="8"/>
  <c r="S51" i="8"/>
  <c r="R51" i="8"/>
  <c r="Q51" i="8"/>
  <c r="P51" i="8"/>
  <c r="Q166" i="8"/>
  <c r="C40" i="11"/>
  <c r="C41" i="11"/>
  <c r="W166" i="8"/>
  <c r="P166" i="8"/>
  <c r="B40" i="11"/>
  <c r="B41" i="11"/>
  <c r="AH37" i="11"/>
  <c r="AI37" i="11"/>
  <c r="AJ37" i="11"/>
  <c r="AK37" i="11"/>
  <c r="AL37" i="11"/>
  <c r="W2" i="11"/>
  <c r="Q9" i="8"/>
  <c r="C2" i="11"/>
  <c r="AG2" i="11"/>
  <c r="W3" i="11"/>
  <c r="Q14" i="8"/>
  <c r="C3" i="11"/>
  <c r="AG3" i="11"/>
  <c r="W4" i="11"/>
  <c r="Q20" i="8"/>
  <c r="C4" i="11"/>
  <c r="AG4" i="11"/>
  <c r="W5" i="11"/>
  <c r="Q25" i="8"/>
  <c r="C5" i="11"/>
  <c r="AG5" i="11"/>
  <c r="W6" i="11"/>
  <c r="Q119" i="8"/>
  <c r="C6" i="11"/>
  <c r="AG6" i="11"/>
  <c r="W7" i="11"/>
  <c r="Q30" i="8"/>
  <c r="C7" i="11"/>
  <c r="AG7" i="11"/>
  <c r="W8" i="11"/>
  <c r="C8" i="11"/>
  <c r="AG8" i="11"/>
  <c r="W9" i="11"/>
  <c r="Q57" i="8"/>
  <c r="C9" i="11"/>
  <c r="AG9" i="11"/>
  <c r="W10" i="11"/>
  <c r="Q76" i="8"/>
  <c r="C10" i="11"/>
  <c r="AG10" i="11"/>
  <c r="W11" i="11"/>
  <c r="C11" i="11"/>
  <c r="AG11" i="11"/>
  <c r="W12" i="11"/>
  <c r="C12" i="11"/>
  <c r="AG12" i="11"/>
  <c r="W13" i="11"/>
  <c r="Q88" i="8"/>
  <c r="C13" i="11"/>
  <c r="AG13" i="11"/>
  <c r="W14" i="11"/>
  <c r="Q105" i="8"/>
  <c r="C14" i="11"/>
  <c r="AG14" i="11"/>
  <c r="W15" i="11"/>
  <c r="Q106" i="8"/>
  <c r="C15" i="11"/>
  <c r="AG15" i="11"/>
  <c r="W16" i="11"/>
  <c r="C16" i="11"/>
  <c r="AG16" i="11"/>
  <c r="W17" i="11"/>
  <c r="Q113" i="8"/>
  <c r="C17" i="11"/>
  <c r="AG17" i="11"/>
  <c r="W18" i="11"/>
  <c r="Q115" i="8"/>
  <c r="C18" i="11"/>
  <c r="AG18" i="11"/>
  <c r="W19" i="11"/>
  <c r="Q121" i="8"/>
  <c r="C19" i="11"/>
  <c r="AG19" i="11"/>
  <c r="W20" i="11"/>
  <c r="Q123" i="8"/>
  <c r="C20" i="11"/>
  <c r="AG20" i="11"/>
  <c r="W21" i="11"/>
  <c r="C21" i="11"/>
  <c r="AG21" i="11"/>
  <c r="W22" i="11"/>
  <c r="Q132" i="8"/>
  <c r="C22" i="11"/>
  <c r="AG22" i="11"/>
  <c r="W23" i="11"/>
  <c r="Q135" i="8"/>
  <c r="C23" i="11"/>
  <c r="AG23" i="11"/>
  <c r="W24" i="11"/>
  <c r="Q141" i="8"/>
  <c r="C24" i="11"/>
  <c r="AG24" i="11"/>
  <c r="W25" i="11"/>
  <c r="Q143" i="8"/>
  <c r="C25" i="11"/>
  <c r="AG25" i="11"/>
  <c r="W26" i="11"/>
  <c r="C26" i="11"/>
  <c r="AG26" i="11"/>
  <c r="W27" i="11"/>
  <c r="C27" i="11"/>
  <c r="AG27" i="11"/>
  <c r="W28" i="11"/>
  <c r="Q158" i="8"/>
  <c r="C28" i="11"/>
  <c r="AG28" i="11"/>
  <c r="W30" i="11"/>
  <c r="C30" i="11"/>
  <c r="AG30" i="11"/>
  <c r="W31" i="11"/>
  <c r="Q172" i="8"/>
  <c r="C31" i="11"/>
  <c r="AG31" i="11"/>
  <c r="W32" i="11"/>
  <c r="Q174" i="8"/>
  <c r="C32" i="11"/>
  <c r="AG32" i="11"/>
  <c r="W33" i="11"/>
  <c r="Q179" i="8"/>
  <c r="C33" i="11"/>
  <c r="AG33" i="11"/>
  <c r="W34" i="11"/>
  <c r="C34" i="11"/>
  <c r="AG34" i="11"/>
  <c r="W35" i="11"/>
  <c r="C35" i="11"/>
  <c r="AG35" i="11"/>
  <c r="AG36" i="11"/>
  <c r="AG37" i="11"/>
  <c r="AC2" i="11"/>
  <c r="W9" i="8"/>
  <c r="I2" i="11"/>
  <c r="AM2" i="11"/>
  <c r="AC3" i="11"/>
  <c r="W14" i="8"/>
  <c r="I3" i="11"/>
  <c r="AM3" i="11"/>
  <c r="AC4" i="11"/>
  <c r="W20" i="8"/>
  <c r="I4" i="11"/>
  <c r="AM4" i="11"/>
  <c r="AC5" i="11"/>
  <c r="W25" i="8"/>
  <c r="I5" i="11"/>
  <c r="AM5" i="11"/>
  <c r="AC6" i="11"/>
  <c r="W119" i="8"/>
  <c r="I6" i="11"/>
  <c r="AM6" i="11"/>
  <c r="AC7" i="11"/>
  <c r="W30" i="8"/>
  <c r="I7" i="11"/>
  <c r="AM7" i="11"/>
  <c r="AC8" i="11"/>
  <c r="I8" i="11"/>
  <c r="AM8" i="11"/>
  <c r="AC9" i="11"/>
  <c r="W57" i="8"/>
  <c r="I9" i="11"/>
  <c r="AM9" i="11"/>
  <c r="AC10" i="11"/>
  <c r="W76" i="8"/>
  <c r="I10" i="11"/>
  <c r="AM10" i="11"/>
  <c r="AC11" i="11"/>
  <c r="I11" i="11"/>
  <c r="AM11" i="11"/>
  <c r="AC12" i="11"/>
  <c r="I12" i="11"/>
  <c r="AM12" i="11"/>
  <c r="AC13" i="11"/>
  <c r="W88" i="8"/>
  <c r="I13" i="11"/>
  <c r="AM13" i="11"/>
  <c r="AC14" i="11"/>
  <c r="W105" i="8"/>
  <c r="I14" i="11"/>
  <c r="AM14" i="11"/>
  <c r="AC15" i="11"/>
  <c r="W106" i="8"/>
  <c r="I15" i="11"/>
  <c r="AM15" i="11"/>
  <c r="AC16" i="11"/>
  <c r="I16" i="11"/>
  <c r="AM16" i="11"/>
  <c r="AC17" i="11"/>
  <c r="W113" i="8"/>
  <c r="I17" i="11"/>
  <c r="AM17" i="11"/>
  <c r="AC18" i="11"/>
  <c r="W115" i="8"/>
  <c r="I18" i="11"/>
  <c r="AM18" i="11"/>
  <c r="AC19" i="11"/>
  <c r="W121" i="8"/>
  <c r="I19" i="11"/>
  <c r="AM19" i="11"/>
  <c r="AC20" i="11"/>
  <c r="W123" i="8"/>
  <c r="I20" i="11"/>
  <c r="AM20" i="11"/>
  <c r="AC21" i="11"/>
  <c r="I21" i="11"/>
  <c r="AM21" i="11"/>
  <c r="AC22" i="11"/>
  <c r="W132" i="8"/>
  <c r="I22" i="11"/>
  <c r="AM22" i="11"/>
  <c r="AC23" i="11"/>
  <c r="W135" i="8"/>
  <c r="I23" i="11"/>
  <c r="AM23" i="11"/>
  <c r="AC24" i="11"/>
  <c r="W141" i="8"/>
  <c r="I24" i="11"/>
  <c r="AM24" i="11"/>
  <c r="AC25" i="11"/>
  <c r="W143" i="8"/>
  <c r="I25" i="11"/>
  <c r="AM25" i="11"/>
  <c r="AC26" i="11"/>
  <c r="I26" i="11"/>
  <c r="AM26" i="11"/>
  <c r="AC27" i="11"/>
  <c r="I27" i="11"/>
  <c r="AM27" i="11"/>
  <c r="AC28" i="11"/>
  <c r="W158" i="8"/>
  <c r="I28" i="11"/>
  <c r="AM28" i="11"/>
  <c r="AC30" i="11"/>
  <c r="I30" i="11"/>
  <c r="AM30" i="11"/>
  <c r="AC31" i="11"/>
  <c r="W172" i="8"/>
  <c r="I31" i="11"/>
  <c r="AM31" i="11"/>
  <c r="AC32" i="11"/>
  <c r="W174" i="8"/>
  <c r="I32" i="11"/>
  <c r="AM32" i="11"/>
  <c r="AC33" i="11"/>
  <c r="W179" i="8"/>
  <c r="I33" i="11"/>
  <c r="AM33" i="11"/>
  <c r="AC34" i="11"/>
  <c r="I34" i="11"/>
  <c r="AM34" i="11"/>
  <c r="AC35" i="11"/>
  <c r="I35" i="11"/>
  <c r="AM35" i="11"/>
  <c r="AM36" i="11"/>
  <c r="AM37" i="11"/>
  <c r="V2" i="11"/>
  <c r="P9" i="8"/>
  <c r="B2" i="11"/>
  <c r="AF2" i="11"/>
  <c r="V3" i="11"/>
  <c r="P14" i="8"/>
  <c r="B3" i="11"/>
  <c r="AF3" i="11"/>
  <c r="V4" i="11"/>
  <c r="P20" i="8"/>
  <c r="B4" i="11"/>
  <c r="AF4" i="11"/>
  <c r="V5" i="11"/>
  <c r="P25" i="8"/>
  <c r="B5" i="11"/>
  <c r="AF5" i="11"/>
  <c r="V6" i="11"/>
  <c r="P119" i="8"/>
  <c r="B6" i="11"/>
  <c r="AF6" i="11"/>
  <c r="V7" i="11"/>
  <c r="P30" i="8"/>
  <c r="B7" i="11"/>
  <c r="AF7" i="11"/>
  <c r="V8" i="11"/>
  <c r="B8" i="11"/>
  <c r="AF8" i="11"/>
  <c r="V9" i="11"/>
  <c r="P57" i="8"/>
  <c r="B9" i="11"/>
  <c r="AF9" i="11"/>
  <c r="V10" i="11"/>
  <c r="P76" i="8"/>
  <c r="B10" i="11"/>
  <c r="AF10" i="11"/>
  <c r="V11" i="11"/>
  <c r="B11" i="11"/>
  <c r="AF11" i="11"/>
  <c r="V12" i="11"/>
  <c r="B12" i="11"/>
  <c r="AF12" i="11"/>
  <c r="V13" i="11"/>
  <c r="P88" i="8"/>
  <c r="B13" i="11"/>
  <c r="AF13" i="11"/>
  <c r="V14" i="11"/>
  <c r="P105" i="8"/>
  <c r="B14" i="11"/>
  <c r="AF14" i="11"/>
  <c r="V15" i="11"/>
  <c r="P106" i="8"/>
  <c r="B15" i="11"/>
  <c r="AF15" i="11"/>
  <c r="V16" i="11"/>
  <c r="B16" i="11"/>
  <c r="AF16" i="11"/>
  <c r="V17" i="11"/>
  <c r="P113" i="8"/>
  <c r="B17" i="11"/>
  <c r="AF17" i="11"/>
  <c r="V18" i="11"/>
  <c r="P115" i="8"/>
  <c r="B18" i="11"/>
  <c r="AF18" i="11"/>
  <c r="V19" i="11"/>
  <c r="P121" i="8"/>
  <c r="B19" i="11"/>
  <c r="AF19" i="11"/>
  <c r="V20" i="11"/>
  <c r="P123" i="8"/>
  <c r="B20" i="11"/>
  <c r="AF20" i="11"/>
  <c r="V21" i="11"/>
  <c r="B21" i="11"/>
  <c r="AF21" i="11"/>
  <c r="V22" i="11"/>
  <c r="P132" i="8"/>
  <c r="B22" i="11"/>
  <c r="AF22" i="11"/>
  <c r="V23" i="11"/>
  <c r="P135" i="8"/>
  <c r="B23" i="11"/>
  <c r="AF23" i="11"/>
  <c r="V24" i="11"/>
  <c r="P141" i="8"/>
  <c r="B24" i="11"/>
  <c r="AF24" i="11"/>
  <c r="V25" i="11"/>
  <c r="P143" i="8"/>
  <c r="B25" i="11"/>
  <c r="AF25" i="11"/>
  <c r="V26" i="11"/>
  <c r="B26" i="11"/>
  <c r="AF26" i="11"/>
  <c r="V27" i="11"/>
  <c r="B27" i="11"/>
  <c r="AF27" i="11"/>
  <c r="V28" i="11"/>
  <c r="P158" i="8"/>
  <c r="B28" i="11"/>
  <c r="AF28" i="11"/>
  <c r="V30" i="11"/>
  <c r="B30" i="11"/>
  <c r="AF30" i="11"/>
  <c r="V31" i="11"/>
  <c r="P172" i="8"/>
  <c r="B31" i="11"/>
  <c r="AF31" i="11"/>
  <c r="V32" i="11"/>
  <c r="P174" i="8"/>
  <c r="B32" i="11"/>
  <c r="AF32" i="11"/>
  <c r="V33" i="11"/>
  <c r="P179" i="8"/>
  <c r="B33" i="11"/>
  <c r="AF33" i="11"/>
  <c r="V34" i="11"/>
  <c r="B34" i="11"/>
  <c r="AF34" i="11"/>
  <c r="V35" i="11"/>
  <c r="B35" i="11"/>
  <c r="AF35" i="11"/>
  <c r="AF36" i="11"/>
  <c r="AF37" i="11"/>
  <c r="X190" i="9"/>
  <c r="W190" i="9"/>
  <c r="V190" i="9"/>
  <c r="U190" i="9"/>
  <c r="T190" i="9"/>
  <c r="S190" i="9"/>
  <c r="R190" i="9"/>
  <c r="Q190" i="9"/>
  <c r="X189" i="9"/>
  <c r="W189" i="9"/>
  <c r="V189" i="9"/>
  <c r="U189" i="9"/>
  <c r="T189" i="9"/>
  <c r="S189" i="9"/>
  <c r="R189" i="9"/>
  <c r="Q189" i="9"/>
  <c r="X188" i="9"/>
  <c r="W188" i="9"/>
  <c r="V188" i="9"/>
  <c r="U188" i="9"/>
  <c r="T188" i="9"/>
  <c r="S188" i="9"/>
  <c r="R188" i="9"/>
  <c r="Q188" i="9"/>
  <c r="X187" i="9"/>
  <c r="W187" i="9"/>
  <c r="V187" i="9"/>
  <c r="U187" i="9"/>
  <c r="T187" i="9"/>
  <c r="S187" i="9"/>
  <c r="R187" i="9"/>
  <c r="Q187" i="9"/>
  <c r="X186" i="9"/>
  <c r="W186" i="9"/>
  <c r="V186" i="9"/>
  <c r="U186" i="9"/>
  <c r="T186" i="9"/>
  <c r="S186" i="9"/>
  <c r="R186" i="9"/>
  <c r="Q186" i="9"/>
  <c r="X185" i="9"/>
  <c r="W185" i="9"/>
  <c r="V185" i="9"/>
  <c r="U185" i="9"/>
  <c r="T185" i="9"/>
  <c r="S185" i="9"/>
  <c r="R185" i="9"/>
  <c r="Q185" i="9"/>
  <c r="X184" i="9"/>
  <c r="W184" i="9"/>
  <c r="V184" i="9"/>
  <c r="U184" i="9"/>
  <c r="T184" i="9"/>
  <c r="S184" i="9"/>
  <c r="R184" i="9"/>
  <c r="Q184" i="9"/>
  <c r="X183" i="9"/>
  <c r="W183" i="9"/>
  <c r="V183" i="9"/>
  <c r="U183" i="9"/>
  <c r="T183" i="9"/>
  <c r="S183" i="9"/>
  <c r="R183" i="9"/>
  <c r="Q183" i="9"/>
  <c r="X182" i="9"/>
  <c r="W182" i="9"/>
  <c r="V182" i="9"/>
  <c r="U182" i="9"/>
  <c r="T182" i="9"/>
  <c r="S182" i="9"/>
  <c r="R182" i="9"/>
  <c r="Q182" i="9"/>
  <c r="X181" i="9"/>
  <c r="W181" i="9"/>
  <c r="V181" i="9"/>
  <c r="U181" i="9"/>
  <c r="T181" i="9"/>
  <c r="S181" i="9"/>
  <c r="R181" i="9"/>
  <c r="Q181" i="9"/>
  <c r="X180" i="9"/>
  <c r="W180" i="9"/>
  <c r="V180" i="9"/>
  <c r="U180" i="9"/>
  <c r="T180" i="9"/>
  <c r="S180" i="9"/>
  <c r="R180" i="9"/>
  <c r="Q180" i="9"/>
  <c r="X179" i="9"/>
  <c r="W179" i="9"/>
  <c r="V179" i="9"/>
  <c r="U179" i="9"/>
  <c r="T179" i="9"/>
  <c r="S179" i="9"/>
  <c r="R179" i="9"/>
  <c r="Q179" i="9"/>
  <c r="X178" i="9"/>
  <c r="W178" i="9"/>
  <c r="V178" i="9"/>
  <c r="U178" i="9"/>
  <c r="T178" i="9"/>
  <c r="S178" i="9"/>
  <c r="R178" i="9"/>
  <c r="Q178" i="9"/>
  <c r="X177" i="9"/>
  <c r="W177" i="9"/>
  <c r="V177" i="9"/>
  <c r="U177" i="9"/>
  <c r="T177" i="9"/>
  <c r="S177" i="9"/>
  <c r="R177" i="9"/>
  <c r="Q177" i="9"/>
  <c r="X176" i="9"/>
  <c r="W176" i="9"/>
  <c r="V176" i="9"/>
  <c r="U176" i="9"/>
  <c r="T176" i="9"/>
  <c r="S176" i="9"/>
  <c r="R176" i="9"/>
  <c r="Q176" i="9"/>
  <c r="X175" i="9"/>
  <c r="W175" i="9"/>
  <c r="V175" i="9"/>
  <c r="U175" i="9"/>
  <c r="T175" i="9"/>
  <c r="S175" i="9"/>
  <c r="R175" i="9"/>
  <c r="Q175" i="9"/>
  <c r="X174" i="9"/>
  <c r="W174" i="9"/>
  <c r="V174" i="9"/>
  <c r="U174" i="9"/>
  <c r="T174" i="9"/>
  <c r="S174" i="9"/>
  <c r="R174" i="9"/>
  <c r="Q174" i="9"/>
  <c r="X173" i="9"/>
  <c r="W173" i="9"/>
  <c r="V173" i="9"/>
  <c r="U173" i="9"/>
  <c r="T173" i="9"/>
  <c r="S173" i="9"/>
  <c r="R173" i="9"/>
  <c r="Q173" i="9"/>
  <c r="X172" i="9"/>
  <c r="W172" i="9"/>
  <c r="V172" i="9"/>
  <c r="U172" i="9"/>
  <c r="T172" i="9"/>
  <c r="S172" i="9"/>
  <c r="R172" i="9"/>
  <c r="Q172" i="9"/>
  <c r="X171" i="9"/>
  <c r="W171" i="9"/>
  <c r="V171" i="9"/>
  <c r="U171" i="9"/>
  <c r="T171" i="9"/>
  <c r="S171" i="9"/>
  <c r="R171" i="9"/>
  <c r="Q171" i="9"/>
  <c r="X170" i="9"/>
  <c r="W170" i="9"/>
  <c r="V170" i="9"/>
  <c r="U170" i="9"/>
  <c r="T170" i="9"/>
  <c r="S170" i="9"/>
  <c r="R170" i="9"/>
  <c r="Q170" i="9"/>
  <c r="X169" i="9"/>
  <c r="W169" i="9"/>
  <c r="V169" i="9"/>
  <c r="U169" i="9"/>
  <c r="T169" i="9"/>
  <c r="S169" i="9"/>
  <c r="R169" i="9"/>
  <c r="Q169" i="9"/>
  <c r="X168" i="9"/>
  <c r="W168" i="9"/>
  <c r="V168" i="9"/>
  <c r="U168" i="9"/>
  <c r="T168" i="9"/>
  <c r="S168" i="9"/>
  <c r="R168" i="9"/>
  <c r="Q168" i="9"/>
  <c r="X167" i="9"/>
  <c r="W167" i="9"/>
  <c r="V167" i="9"/>
  <c r="U167" i="9"/>
  <c r="T167" i="9"/>
  <c r="S167" i="9"/>
  <c r="R167" i="9"/>
  <c r="Q167" i="9"/>
  <c r="X166" i="9"/>
  <c r="W166" i="9"/>
  <c r="V166" i="9"/>
  <c r="U166" i="9"/>
  <c r="T166" i="9"/>
  <c r="S166" i="9"/>
  <c r="R166" i="9"/>
  <c r="Q166" i="9"/>
  <c r="X165" i="9"/>
  <c r="W165" i="9"/>
  <c r="V165" i="9"/>
  <c r="U165" i="9"/>
  <c r="T165" i="9"/>
  <c r="S165" i="9"/>
  <c r="R165" i="9"/>
  <c r="Q165" i="9"/>
  <c r="X164" i="9"/>
  <c r="W164" i="9"/>
  <c r="V164" i="9"/>
  <c r="U164" i="9"/>
  <c r="T164" i="9"/>
  <c r="S164" i="9"/>
  <c r="R164" i="9"/>
  <c r="Q164" i="9"/>
  <c r="X163" i="9"/>
  <c r="W163" i="9"/>
  <c r="V163" i="9"/>
  <c r="U163" i="9"/>
  <c r="T163" i="9"/>
  <c r="S163" i="9"/>
  <c r="R163" i="9"/>
  <c r="Q163" i="9"/>
  <c r="X162" i="9"/>
  <c r="W162" i="9"/>
  <c r="V162" i="9"/>
  <c r="U162" i="9"/>
  <c r="T162" i="9"/>
  <c r="S162" i="9"/>
  <c r="R162" i="9"/>
  <c r="Q162" i="9"/>
  <c r="X161" i="9"/>
  <c r="W161" i="9"/>
  <c r="V161" i="9"/>
  <c r="U161" i="9"/>
  <c r="T161" i="9"/>
  <c r="S161" i="9"/>
  <c r="R161" i="9"/>
  <c r="Q161" i="9"/>
  <c r="X160" i="9"/>
  <c r="W160" i="9"/>
  <c r="V160" i="9"/>
  <c r="U160" i="9"/>
  <c r="T160" i="9"/>
  <c r="S160" i="9"/>
  <c r="R160" i="9"/>
  <c r="Q160" i="9"/>
  <c r="X159" i="9"/>
  <c r="W159" i="9"/>
  <c r="V159" i="9"/>
  <c r="U159" i="9"/>
  <c r="T159" i="9"/>
  <c r="S159" i="9"/>
  <c r="R159" i="9"/>
  <c r="Q159" i="9"/>
  <c r="X158" i="9"/>
  <c r="W158" i="9"/>
  <c r="V158" i="9"/>
  <c r="U158" i="9"/>
  <c r="T158" i="9"/>
  <c r="S158" i="9"/>
  <c r="R158" i="9"/>
  <c r="Q158" i="9"/>
  <c r="X157" i="9"/>
  <c r="W157" i="9"/>
  <c r="V157" i="9"/>
  <c r="U157" i="9"/>
  <c r="T157" i="9"/>
  <c r="S157" i="9"/>
  <c r="R157" i="9"/>
  <c r="Q157" i="9"/>
  <c r="X156" i="9"/>
  <c r="W156" i="9"/>
  <c r="V156" i="9"/>
  <c r="U156" i="9"/>
  <c r="T156" i="9"/>
  <c r="S156" i="9"/>
  <c r="R156" i="9"/>
  <c r="Q156" i="9"/>
  <c r="X155" i="9"/>
  <c r="W155" i="9"/>
  <c r="V155" i="9"/>
  <c r="U155" i="9"/>
  <c r="T155" i="9"/>
  <c r="S155" i="9"/>
  <c r="R155" i="9"/>
  <c r="Q155" i="9"/>
  <c r="X154" i="9"/>
  <c r="W154" i="9"/>
  <c r="V154" i="9"/>
  <c r="U154" i="9"/>
  <c r="T154" i="9"/>
  <c r="S154" i="9"/>
  <c r="R154" i="9"/>
  <c r="Q154" i="9"/>
  <c r="X153" i="9"/>
  <c r="W153" i="9"/>
  <c r="V153" i="9"/>
  <c r="U153" i="9"/>
  <c r="T153" i="9"/>
  <c r="S153" i="9"/>
  <c r="R153" i="9"/>
  <c r="Q153" i="9"/>
  <c r="X152" i="9"/>
  <c r="W152" i="9"/>
  <c r="V152" i="9"/>
  <c r="U152" i="9"/>
  <c r="T152" i="9"/>
  <c r="S152" i="9"/>
  <c r="R152" i="9"/>
  <c r="Q152" i="9"/>
  <c r="X151" i="9"/>
  <c r="W151" i="9"/>
  <c r="V151" i="9"/>
  <c r="U151" i="9"/>
  <c r="T151" i="9"/>
  <c r="S151" i="9"/>
  <c r="R151" i="9"/>
  <c r="Q151" i="9"/>
  <c r="X150" i="9"/>
  <c r="W150" i="9"/>
  <c r="V150" i="9"/>
  <c r="U150" i="9"/>
  <c r="T150" i="9"/>
  <c r="S150" i="9"/>
  <c r="R150" i="9"/>
  <c r="Q150" i="9"/>
  <c r="X149" i="9"/>
  <c r="W149" i="9"/>
  <c r="V149" i="9"/>
  <c r="U149" i="9"/>
  <c r="T149" i="9"/>
  <c r="S149" i="9"/>
  <c r="R149" i="9"/>
  <c r="Q149" i="9"/>
  <c r="X148" i="9"/>
  <c r="W148" i="9"/>
  <c r="V148" i="9"/>
  <c r="U148" i="9"/>
  <c r="T148" i="9"/>
  <c r="S148" i="9"/>
  <c r="R148" i="9"/>
  <c r="Q148" i="9"/>
  <c r="X147" i="9"/>
  <c r="W147" i="9"/>
  <c r="V147" i="9"/>
  <c r="U147" i="9"/>
  <c r="T147" i="9"/>
  <c r="S147" i="9"/>
  <c r="R147" i="9"/>
  <c r="Q147" i="9"/>
  <c r="X146" i="9"/>
  <c r="W146" i="9"/>
  <c r="V146" i="9"/>
  <c r="U146" i="9"/>
  <c r="T146" i="9"/>
  <c r="S146" i="9"/>
  <c r="R146" i="9"/>
  <c r="Q146" i="9"/>
  <c r="X145" i="9"/>
  <c r="W145" i="9"/>
  <c r="V145" i="9"/>
  <c r="U145" i="9"/>
  <c r="T145" i="9"/>
  <c r="S145" i="9"/>
  <c r="R145" i="9"/>
  <c r="Q145" i="9"/>
  <c r="X144" i="9"/>
  <c r="W144" i="9"/>
  <c r="V144" i="9"/>
  <c r="U144" i="9"/>
  <c r="T144" i="9"/>
  <c r="S144" i="9"/>
  <c r="R144" i="9"/>
  <c r="Q144" i="9"/>
  <c r="X143" i="9"/>
  <c r="W143" i="9"/>
  <c r="V143" i="9"/>
  <c r="U143" i="9"/>
  <c r="T143" i="9"/>
  <c r="S143" i="9"/>
  <c r="R143" i="9"/>
  <c r="Q143" i="9"/>
  <c r="X142" i="9"/>
  <c r="W142" i="9"/>
  <c r="V142" i="9"/>
  <c r="U142" i="9"/>
  <c r="T142" i="9"/>
  <c r="S142" i="9"/>
  <c r="R142" i="9"/>
  <c r="Q142" i="9"/>
  <c r="X141" i="9"/>
  <c r="W141" i="9"/>
  <c r="V141" i="9"/>
  <c r="U141" i="9"/>
  <c r="T141" i="9"/>
  <c r="S141" i="9"/>
  <c r="R141" i="9"/>
  <c r="Q141" i="9"/>
  <c r="X140" i="9"/>
  <c r="W140" i="9"/>
  <c r="V140" i="9"/>
  <c r="U140" i="9"/>
  <c r="T140" i="9"/>
  <c r="S140" i="9"/>
  <c r="R140" i="9"/>
  <c r="Q140" i="9"/>
  <c r="X139" i="9"/>
  <c r="W139" i="9"/>
  <c r="V139" i="9"/>
  <c r="U139" i="9"/>
  <c r="T139" i="9"/>
  <c r="S139" i="9"/>
  <c r="R139" i="9"/>
  <c r="Q139" i="9"/>
  <c r="X138" i="9"/>
  <c r="W138" i="9"/>
  <c r="V138" i="9"/>
  <c r="U138" i="9"/>
  <c r="T138" i="9"/>
  <c r="S138" i="9"/>
  <c r="R138" i="9"/>
  <c r="Q138" i="9"/>
  <c r="X137" i="9"/>
  <c r="W137" i="9"/>
  <c r="V137" i="9"/>
  <c r="U137" i="9"/>
  <c r="T137" i="9"/>
  <c r="S137" i="9"/>
  <c r="R137" i="9"/>
  <c r="Q137" i="9"/>
  <c r="X136" i="9"/>
  <c r="W136" i="9"/>
  <c r="V136" i="9"/>
  <c r="U136" i="9"/>
  <c r="T136" i="9"/>
  <c r="S136" i="9"/>
  <c r="R136" i="9"/>
  <c r="Q136" i="9"/>
  <c r="X135" i="9"/>
  <c r="W135" i="9"/>
  <c r="V135" i="9"/>
  <c r="U135" i="9"/>
  <c r="T135" i="9"/>
  <c r="S135" i="9"/>
  <c r="R135" i="9"/>
  <c r="Q135" i="9"/>
  <c r="X134" i="9"/>
  <c r="W134" i="9"/>
  <c r="V134" i="9"/>
  <c r="U134" i="9"/>
  <c r="T134" i="9"/>
  <c r="S134" i="9"/>
  <c r="R134" i="9"/>
  <c r="Q134" i="9"/>
  <c r="X133" i="9"/>
  <c r="W133" i="9"/>
  <c r="V133" i="9"/>
  <c r="U133" i="9"/>
  <c r="T133" i="9"/>
  <c r="S133" i="9"/>
  <c r="R133" i="9"/>
  <c r="Q133" i="9"/>
  <c r="X132" i="9"/>
  <c r="W132" i="9"/>
  <c r="V132" i="9"/>
  <c r="U132" i="9"/>
  <c r="T132" i="9"/>
  <c r="S132" i="9"/>
  <c r="R132" i="9"/>
  <c r="Q132" i="9"/>
  <c r="X131" i="9"/>
  <c r="W131" i="9"/>
  <c r="V131" i="9"/>
  <c r="U131" i="9"/>
  <c r="T131" i="9"/>
  <c r="S131" i="9"/>
  <c r="R131" i="9"/>
  <c r="Q131" i="9"/>
  <c r="X130" i="9"/>
  <c r="W130" i="9"/>
  <c r="V130" i="9"/>
  <c r="U130" i="9"/>
  <c r="T130" i="9"/>
  <c r="S130" i="9"/>
  <c r="R130" i="9"/>
  <c r="Q130" i="9"/>
  <c r="X129" i="9"/>
  <c r="W129" i="9"/>
  <c r="V129" i="9"/>
  <c r="U129" i="9"/>
  <c r="T129" i="9"/>
  <c r="S129" i="9"/>
  <c r="R129" i="9"/>
  <c r="Q129" i="9"/>
  <c r="X128" i="9"/>
  <c r="W128" i="9"/>
  <c r="V128" i="9"/>
  <c r="U128" i="9"/>
  <c r="T128" i="9"/>
  <c r="S128" i="9"/>
  <c r="R128" i="9"/>
  <c r="Q128" i="9"/>
  <c r="X127" i="9"/>
  <c r="W127" i="9"/>
  <c r="V127" i="9"/>
  <c r="U127" i="9"/>
  <c r="T127" i="9"/>
  <c r="S127" i="9"/>
  <c r="R127" i="9"/>
  <c r="Q127" i="9"/>
  <c r="X126" i="9"/>
  <c r="W126" i="9"/>
  <c r="V126" i="9"/>
  <c r="U126" i="9"/>
  <c r="T126" i="9"/>
  <c r="S126" i="9"/>
  <c r="R126" i="9"/>
  <c r="Q126" i="9"/>
  <c r="X125" i="9"/>
  <c r="W125" i="9"/>
  <c r="V125" i="9"/>
  <c r="U125" i="9"/>
  <c r="T125" i="9"/>
  <c r="S125" i="9"/>
  <c r="R125" i="9"/>
  <c r="Q125" i="9"/>
  <c r="X124" i="9"/>
  <c r="W124" i="9"/>
  <c r="V124" i="9"/>
  <c r="U124" i="9"/>
  <c r="T124" i="9"/>
  <c r="S124" i="9"/>
  <c r="R124" i="9"/>
  <c r="Q124" i="9"/>
  <c r="X123" i="9"/>
  <c r="W123" i="9"/>
  <c r="V123" i="9"/>
  <c r="U123" i="9"/>
  <c r="T123" i="9"/>
  <c r="S123" i="9"/>
  <c r="R123" i="9"/>
  <c r="Q123" i="9"/>
  <c r="X122" i="9"/>
  <c r="W122" i="9"/>
  <c r="V122" i="9"/>
  <c r="U122" i="9"/>
  <c r="T122" i="9"/>
  <c r="S122" i="9"/>
  <c r="R122" i="9"/>
  <c r="Q122" i="9"/>
  <c r="X121" i="9"/>
  <c r="W121" i="9"/>
  <c r="V121" i="9"/>
  <c r="U121" i="9"/>
  <c r="T121" i="9"/>
  <c r="S121" i="9"/>
  <c r="R121" i="9"/>
  <c r="Q121" i="9"/>
  <c r="X120" i="9"/>
  <c r="W120" i="9"/>
  <c r="V120" i="9"/>
  <c r="U120" i="9"/>
  <c r="T120" i="9"/>
  <c r="S120" i="9"/>
  <c r="R120" i="9"/>
  <c r="Q120" i="9"/>
  <c r="X119" i="9"/>
  <c r="W119" i="9"/>
  <c r="V119" i="9"/>
  <c r="U119" i="9"/>
  <c r="T119" i="9"/>
  <c r="S119" i="9"/>
  <c r="R119" i="9"/>
  <c r="Q119" i="9"/>
  <c r="X118" i="9"/>
  <c r="W118" i="9"/>
  <c r="V118" i="9"/>
  <c r="U118" i="9"/>
  <c r="T118" i="9"/>
  <c r="S118" i="9"/>
  <c r="R118" i="9"/>
  <c r="Q118" i="9"/>
  <c r="X117" i="9"/>
  <c r="W117" i="9"/>
  <c r="V117" i="9"/>
  <c r="U117" i="9"/>
  <c r="T117" i="9"/>
  <c r="S117" i="9"/>
  <c r="R117" i="9"/>
  <c r="Q117" i="9"/>
  <c r="X116" i="9"/>
  <c r="W116" i="9"/>
  <c r="V116" i="9"/>
  <c r="U116" i="9"/>
  <c r="T116" i="9"/>
  <c r="S116" i="9"/>
  <c r="R116" i="9"/>
  <c r="Q116" i="9"/>
  <c r="X115" i="9"/>
  <c r="W115" i="9"/>
  <c r="V115" i="9"/>
  <c r="U115" i="9"/>
  <c r="T115" i="9"/>
  <c r="S115" i="9"/>
  <c r="R115" i="9"/>
  <c r="Q115" i="9"/>
  <c r="X114" i="9"/>
  <c r="W114" i="9"/>
  <c r="V114" i="9"/>
  <c r="U114" i="9"/>
  <c r="T114" i="9"/>
  <c r="S114" i="9"/>
  <c r="R114" i="9"/>
  <c r="Q114" i="9"/>
  <c r="X113" i="9"/>
  <c r="W113" i="9"/>
  <c r="V113" i="9"/>
  <c r="U113" i="9"/>
  <c r="T113" i="9"/>
  <c r="S113" i="9"/>
  <c r="R113" i="9"/>
  <c r="Q113" i="9"/>
  <c r="X112" i="9"/>
  <c r="W112" i="9"/>
  <c r="V112" i="9"/>
  <c r="U112" i="9"/>
  <c r="T112" i="9"/>
  <c r="S112" i="9"/>
  <c r="R112" i="9"/>
  <c r="Q112" i="9"/>
  <c r="X111" i="9"/>
  <c r="W111" i="9"/>
  <c r="V111" i="9"/>
  <c r="U111" i="9"/>
  <c r="T111" i="9"/>
  <c r="S111" i="9"/>
  <c r="R111" i="9"/>
  <c r="Q111" i="9"/>
  <c r="X110" i="9"/>
  <c r="W110" i="9"/>
  <c r="V110" i="9"/>
  <c r="U110" i="9"/>
  <c r="T110" i="9"/>
  <c r="S110" i="9"/>
  <c r="R110" i="9"/>
  <c r="Q110" i="9"/>
  <c r="X109" i="9"/>
  <c r="W109" i="9"/>
  <c r="V109" i="9"/>
  <c r="U109" i="9"/>
  <c r="T109" i="9"/>
  <c r="S109" i="9"/>
  <c r="R109" i="9"/>
  <c r="Q109" i="9"/>
  <c r="X108" i="9"/>
  <c r="W108" i="9"/>
  <c r="V108" i="9"/>
  <c r="U108" i="9"/>
  <c r="T108" i="9"/>
  <c r="S108" i="9"/>
  <c r="R108" i="9"/>
  <c r="Q108" i="9"/>
  <c r="X107" i="9"/>
  <c r="W107" i="9"/>
  <c r="V107" i="9"/>
  <c r="U107" i="9"/>
  <c r="T107" i="9"/>
  <c r="S107" i="9"/>
  <c r="R107" i="9"/>
  <c r="Q107" i="9"/>
  <c r="X106" i="9"/>
  <c r="W106" i="9"/>
  <c r="V106" i="9"/>
  <c r="U106" i="9"/>
  <c r="T106" i="9"/>
  <c r="S106" i="9"/>
  <c r="R106" i="9"/>
  <c r="Q106" i="9"/>
  <c r="X105" i="9"/>
  <c r="W105" i="9"/>
  <c r="V105" i="9"/>
  <c r="U105" i="9"/>
  <c r="T105" i="9"/>
  <c r="S105" i="9"/>
  <c r="R105" i="9"/>
  <c r="Q105" i="9"/>
  <c r="X104" i="9"/>
  <c r="W104" i="9"/>
  <c r="V104" i="9"/>
  <c r="U104" i="9"/>
  <c r="T104" i="9"/>
  <c r="S104" i="9"/>
  <c r="R104" i="9"/>
  <c r="Q104" i="9"/>
  <c r="X103" i="9"/>
  <c r="W103" i="9"/>
  <c r="V103" i="9"/>
  <c r="U103" i="9"/>
  <c r="T103" i="9"/>
  <c r="S103" i="9"/>
  <c r="R103" i="9"/>
  <c r="Q103" i="9"/>
  <c r="X102" i="9"/>
  <c r="W102" i="9"/>
  <c r="V102" i="9"/>
  <c r="U102" i="9"/>
  <c r="T102" i="9"/>
  <c r="S102" i="9"/>
  <c r="R102" i="9"/>
  <c r="Q102" i="9"/>
  <c r="X101" i="9"/>
  <c r="W101" i="9"/>
  <c r="V101" i="9"/>
  <c r="U101" i="9"/>
  <c r="T101" i="9"/>
  <c r="S101" i="9"/>
  <c r="R101" i="9"/>
  <c r="Q101" i="9"/>
  <c r="X100" i="9"/>
  <c r="W100" i="9"/>
  <c r="V100" i="9"/>
  <c r="U100" i="9"/>
  <c r="T100" i="9"/>
  <c r="S100" i="9"/>
  <c r="R100" i="9"/>
  <c r="Q100" i="9"/>
  <c r="X99" i="9"/>
  <c r="W99" i="9"/>
  <c r="V99" i="9"/>
  <c r="U99" i="9"/>
  <c r="T99" i="9"/>
  <c r="S99" i="9"/>
  <c r="R99" i="9"/>
  <c r="Q99" i="9"/>
  <c r="X98" i="9"/>
  <c r="W98" i="9"/>
  <c r="V98" i="9"/>
  <c r="U98" i="9"/>
  <c r="T98" i="9"/>
  <c r="S98" i="9"/>
  <c r="R98" i="9"/>
  <c r="Q98" i="9"/>
  <c r="X97" i="9"/>
  <c r="W97" i="9"/>
  <c r="V97" i="9"/>
  <c r="U97" i="9"/>
  <c r="T97" i="9"/>
  <c r="S97" i="9"/>
  <c r="R97" i="9"/>
  <c r="Q97" i="9"/>
  <c r="X96" i="9"/>
  <c r="W96" i="9"/>
  <c r="V96" i="9"/>
  <c r="U96" i="9"/>
  <c r="T96" i="9"/>
  <c r="S96" i="9"/>
  <c r="R96" i="9"/>
  <c r="Q96" i="9"/>
  <c r="X95" i="9"/>
  <c r="W95" i="9"/>
  <c r="V95" i="9"/>
  <c r="U95" i="9"/>
  <c r="T95" i="9"/>
  <c r="S95" i="9"/>
  <c r="R95" i="9"/>
  <c r="Q95" i="9"/>
  <c r="X94" i="9"/>
  <c r="W94" i="9"/>
  <c r="V94" i="9"/>
  <c r="U94" i="9"/>
  <c r="T94" i="9"/>
  <c r="S94" i="9"/>
  <c r="R94" i="9"/>
  <c r="Q94" i="9"/>
  <c r="X93" i="9"/>
  <c r="W93" i="9"/>
  <c r="V93" i="9"/>
  <c r="U93" i="9"/>
  <c r="T93" i="9"/>
  <c r="S93" i="9"/>
  <c r="R93" i="9"/>
  <c r="Q93" i="9"/>
  <c r="X92" i="9"/>
  <c r="W92" i="9"/>
  <c r="V92" i="9"/>
  <c r="U92" i="9"/>
  <c r="T92" i="9"/>
  <c r="S92" i="9"/>
  <c r="R92" i="9"/>
  <c r="Q92" i="9"/>
  <c r="X91" i="9"/>
  <c r="W91" i="9"/>
  <c r="V91" i="9"/>
  <c r="U91" i="9"/>
  <c r="T91" i="9"/>
  <c r="S91" i="9"/>
  <c r="R91" i="9"/>
  <c r="Q91" i="9"/>
  <c r="X90" i="9"/>
  <c r="W90" i="9"/>
  <c r="V90" i="9"/>
  <c r="U90" i="9"/>
  <c r="T90" i="9"/>
  <c r="S90" i="9"/>
  <c r="R90" i="9"/>
  <c r="Q90" i="9"/>
  <c r="X89" i="9"/>
  <c r="W89" i="9"/>
  <c r="V89" i="9"/>
  <c r="U89" i="9"/>
  <c r="T89" i="9"/>
  <c r="S89" i="9"/>
  <c r="R89" i="9"/>
  <c r="Q89" i="9"/>
  <c r="X88" i="9"/>
  <c r="W88" i="9"/>
  <c r="V88" i="9"/>
  <c r="U88" i="9"/>
  <c r="T88" i="9"/>
  <c r="S88" i="9"/>
  <c r="R88" i="9"/>
  <c r="Q88" i="9"/>
  <c r="X87" i="9"/>
  <c r="W87" i="9"/>
  <c r="V87" i="9"/>
  <c r="U87" i="9"/>
  <c r="T87" i="9"/>
  <c r="S87" i="9"/>
  <c r="R87" i="9"/>
  <c r="Q87" i="9"/>
  <c r="X86" i="9"/>
  <c r="W86" i="9"/>
  <c r="V86" i="9"/>
  <c r="U86" i="9"/>
  <c r="T86" i="9"/>
  <c r="S86" i="9"/>
  <c r="R86" i="9"/>
  <c r="Q86" i="9"/>
  <c r="X85" i="9"/>
  <c r="W85" i="9"/>
  <c r="V85" i="9"/>
  <c r="U85" i="9"/>
  <c r="T85" i="9"/>
  <c r="S85" i="9"/>
  <c r="R85" i="9"/>
  <c r="Q85" i="9"/>
  <c r="X84" i="9"/>
  <c r="W84" i="9"/>
  <c r="V84" i="9"/>
  <c r="U84" i="9"/>
  <c r="T84" i="9"/>
  <c r="S84" i="9"/>
  <c r="R84" i="9"/>
  <c r="Q84" i="9"/>
  <c r="X83" i="9"/>
  <c r="W83" i="9"/>
  <c r="V83" i="9"/>
  <c r="U83" i="9"/>
  <c r="T83" i="9"/>
  <c r="S83" i="9"/>
  <c r="R83" i="9"/>
  <c r="Q83" i="9"/>
  <c r="X82" i="9"/>
  <c r="W82" i="9"/>
  <c r="V82" i="9"/>
  <c r="U82" i="9"/>
  <c r="T82" i="9"/>
  <c r="S82" i="9"/>
  <c r="R82" i="9"/>
  <c r="Q82" i="9"/>
  <c r="X81" i="9"/>
  <c r="W81" i="9"/>
  <c r="V81" i="9"/>
  <c r="U81" i="9"/>
  <c r="T81" i="9"/>
  <c r="S81" i="9"/>
  <c r="R81" i="9"/>
  <c r="Q81" i="9"/>
  <c r="X80" i="9"/>
  <c r="W80" i="9"/>
  <c r="V80" i="9"/>
  <c r="U80" i="9"/>
  <c r="T80" i="9"/>
  <c r="S80" i="9"/>
  <c r="R80" i="9"/>
  <c r="Q80" i="9"/>
  <c r="X79" i="9"/>
  <c r="W79" i="9"/>
  <c r="V79" i="9"/>
  <c r="U79" i="9"/>
  <c r="T79" i="9"/>
  <c r="S79" i="9"/>
  <c r="R79" i="9"/>
  <c r="Q79" i="9"/>
  <c r="X78" i="9"/>
  <c r="W78" i="9"/>
  <c r="V78" i="9"/>
  <c r="U78" i="9"/>
  <c r="T78" i="9"/>
  <c r="S78" i="9"/>
  <c r="R78" i="9"/>
  <c r="Q78" i="9"/>
  <c r="X77" i="9"/>
  <c r="W77" i="9"/>
  <c r="V77" i="9"/>
  <c r="U77" i="9"/>
  <c r="T77" i="9"/>
  <c r="S77" i="9"/>
  <c r="R77" i="9"/>
  <c r="Q77" i="9"/>
  <c r="X76" i="9"/>
  <c r="W76" i="9"/>
  <c r="V76" i="9"/>
  <c r="U76" i="9"/>
  <c r="T76" i="9"/>
  <c r="S76" i="9"/>
  <c r="R76" i="9"/>
  <c r="Q76" i="9"/>
  <c r="X75" i="9"/>
  <c r="W75" i="9"/>
  <c r="V75" i="9"/>
  <c r="U75" i="9"/>
  <c r="T75" i="9"/>
  <c r="S75" i="9"/>
  <c r="R75" i="9"/>
  <c r="Q75" i="9"/>
  <c r="X74" i="9"/>
  <c r="W74" i="9"/>
  <c r="V74" i="9"/>
  <c r="U74" i="9"/>
  <c r="T74" i="9"/>
  <c r="S74" i="9"/>
  <c r="R74" i="9"/>
  <c r="Q74" i="9"/>
  <c r="X73" i="9"/>
  <c r="W73" i="9"/>
  <c r="V73" i="9"/>
  <c r="U73" i="9"/>
  <c r="T73" i="9"/>
  <c r="S73" i="9"/>
  <c r="R73" i="9"/>
  <c r="Q73" i="9"/>
  <c r="X72" i="9"/>
  <c r="W72" i="9"/>
  <c r="V72" i="9"/>
  <c r="U72" i="9"/>
  <c r="T72" i="9"/>
  <c r="S72" i="9"/>
  <c r="R72" i="9"/>
  <c r="Q72" i="9"/>
  <c r="X71" i="9"/>
  <c r="W71" i="9"/>
  <c r="V71" i="9"/>
  <c r="U71" i="9"/>
  <c r="T71" i="9"/>
  <c r="S71" i="9"/>
  <c r="R71" i="9"/>
  <c r="Q71" i="9"/>
  <c r="X70" i="9"/>
  <c r="W70" i="9"/>
  <c r="V70" i="9"/>
  <c r="U70" i="9"/>
  <c r="T70" i="9"/>
  <c r="S70" i="9"/>
  <c r="R70" i="9"/>
  <c r="Q70" i="9"/>
  <c r="X69" i="9"/>
  <c r="W69" i="9"/>
  <c r="V69" i="9"/>
  <c r="U69" i="9"/>
  <c r="T69" i="9"/>
  <c r="S69" i="9"/>
  <c r="R69" i="9"/>
  <c r="Q69" i="9"/>
  <c r="X68" i="9"/>
  <c r="W68" i="9"/>
  <c r="V68" i="9"/>
  <c r="U68" i="9"/>
  <c r="T68" i="9"/>
  <c r="S68" i="9"/>
  <c r="R68" i="9"/>
  <c r="Q68" i="9"/>
  <c r="X67" i="9"/>
  <c r="W67" i="9"/>
  <c r="V67" i="9"/>
  <c r="U67" i="9"/>
  <c r="T67" i="9"/>
  <c r="S67" i="9"/>
  <c r="R67" i="9"/>
  <c r="Q67" i="9"/>
  <c r="X66" i="9"/>
  <c r="W66" i="9"/>
  <c r="V66" i="9"/>
  <c r="U66" i="9"/>
  <c r="T66" i="9"/>
  <c r="S66" i="9"/>
  <c r="R66" i="9"/>
  <c r="Q66" i="9"/>
  <c r="X65" i="9"/>
  <c r="W65" i="9"/>
  <c r="V65" i="9"/>
  <c r="U65" i="9"/>
  <c r="T65" i="9"/>
  <c r="S65" i="9"/>
  <c r="R65" i="9"/>
  <c r="Q65" i="9"/>
  <c r="X64" i="9"/>
  <c r="W64" i="9"/>
  <c r="V64" i="9"/>
  <c r="U64" i="9"/>
  <c r="T64" i="9"/>
  <c r="S64" i="9"/>
  <c r="R64" i="9"/>
  <c r="Q64" i="9"/>
  <c r="X63" i="9"/>
  <c r="W63" i="9"/>
  <c r="V63" i="9"/>
  <c r="U63" i="9"/>
  <c r="T63" i="9"/>
  <c r="S63" i="9"/>
  <c r="R63" i="9"/>
  <c r="Q63" i="9"/>
  <c r="X62" i="9"/>
  <c r="W62" i="9"/>
  <c r="V62" i="9"/>
  <c r="U62" i="9"/>
  <c r="T62" i="9"/>
  <c r="S62" i="9"/>
  <c r="R62" i="9"/>
  <c r="Q62" i="9"/>
  <c r="X61" i="9"/>
  <c r="W61" i="9"/>
  <c r="V61" i="9"/>
  <c r="U61" i="9"/>
  <c r="T61" i="9"/>
  <c r="S61" i="9"/>
  <c r="R61" i="9"/>
  <c r="Q61" i="9"/>
  <c r="X60" i="9"/>
  <c r="W60" i="9"/>
  <c r="V60" i="9"/>
  <c r="U60" i="9"/>
  <c r="T60" i="9"/>
  <c r="S60" i="9"/>
  <c r="R60" i="9"/>
  <c r="Q60" i="9"/>
  <c r="X59" i="9"/>
  <c r="W59" i="9"/>
  <c r="V59" i="9"/>
  <c r="U59" i="9"/>
  <c r="T59" i="9"/>
  <c r="S59" i="9"/>
  <c r="R59" i="9"/>
  <c r="Q59" i="9"/>
  <c r="X58" i="9"/>
  <c r="W58" i="9"/>
  <c r="V58" i="9"/>
  <c r="U58" i="9"/>
  <c r="T58" i="9"/>
  <c r="S58" i="9"/>
  <c r="R58" i="9"/>
  <c r="Q58" i="9"/>
  <c r="X57" i="9"/>
  <c r="W57" i="9"/>
  <c r="V57" i="9"/>
  <c r="U57" i="9"/>
  <c r="T57" i="9"/>
  <c r="S57" i="9"/>
  <c r="R57" i="9"/>
  <c r="Q57" i="9"/>
  <c r="X56" i="9"/>
  <c r="W56" i="9"/>
  <c r="V56" i="9"/>
  <c r="U56" i="9"/>
  <c r="T56" i="9"/>
  <c r="S56" i="9"/>
  <c r="R56" i="9"/>
  <c r="Q56" i="9"/>
  <c r="X55" i="9"/>
  <c r="W55" i="9"/>
  <c r="V55" i="9"/>
  <c r="U55" i="9"/>
  <c r="T55" i="9"/>
  <c r="S55" i="9"/>
  <c r="R55" i="9"/>
  <c r="Q55" i="9"/>
  <c r="X54" i="9"/>
  <c r="W54" i="9"/>
  <c r="V54" i="9"/>
  <c r="U54" i="9"/>
  <c r="T54" i="9"/>
  <c r="S54" i="9"/>
  <c r="R54" i="9"/>
  <c r="Q54" i="9"/>
  <c r="X53" i="9"/>
  <c r="W53" i="9"/>
  <c r="V53" i="9"/>
  <c r="U53" i="9"/>
  <c r="T53" i="9"/>
  <c r="S53" i="9"/>
  <c r="R53" i="9"/>
  <c r="Q53" i="9"/>
  <c r="X52" i="9"/>
  <c r="W52" i="9"/>
  <c r="V52" i="9"/>
  <c r="U52" i="9"/>
  <c r="T52" i="9"/>
  <c r="S52" i="9"/>
  <c r="R52" i="9"/>
  <c r="Q52" i="9"/>
  <c r="X51" i="9"/>
  <c r="W51" i="9"/>
  <c r="V51" i="9"/>
  <c r="U51" i="9"/>
  <c r="T51" i="9"/>
  <c r="S51" i="9"/>
  <c r="R51" i="9"/>
  <c r="Q51" i="9"/>
  <c r="X50" i="9"/>
  <c r="W50" i="9"/>
  <c r="V50" i="9"/>
  <c r="U50" i="9"/>
  <c r="T50" i="9"/>
  <c r="S50" i="9"/>
  <c r="R50" i="9"/>
  <c r="Q50" i="9"/>
  <c r="X49" i="9"/>
  <c r="W49" i="9"/>
  <c r="V49" i="9"/>
  <c r="U49" i="9"/>
  <c r="T49" i="9"/>
  <c r="S49" i="9"/>
  <c r="R49" i="9"/>
  <c r="Q49" i="9"/>
  <c r="X48" i="9"/>
  <c r="W48" i="9"/>
  <c r="V48" i="9"/>
  <c r="U48" i="9"/>
  <c r="T48" i="9"/>
  <c r="S48" i="9"/>
  <c r="R48" i="9"/>
  <c r="Q48" i="9"/>
  <c r="X47" i="9"/>
  <c r="W47" i="9"/>
  <c r="V47" i="9"/>
  <c r="U47" i="9"/>
  <c r="T47" i="9"/>
  <c r="S47" i="9"/>
  <c r="R47" i="9"/>
  <c r="Q47" i="9"/>
  <c r="X46" i="9"/>
  <c r="W46" i="9"/>
  <c r="V46" i="9"/>
  <c r="U46" i="9"/>
  <c r="T46" i="9"/>
  <c r="S46" i="9"/>
  <c r="R46" i="9"/>
  <c r="Q46" i="9"/>
  <c r="X45" i="9"/>
  <c r="W45" i="9"/>
  <c r="V45" i="9"/>
  <c r="U45" i="9"/>
  <c r="T45" i="9"/>
  <c r="S45" i="9"/>
  <c r="R45" i="9"/>
  <c r="Q45" i="9"/>
  <c r="X44" i="9"/>
  <c r="W44" i="9"/>
  <c r="V44" i="9"/>
  <c r="U44" i="9"/>
  <c r="T44" i="9"/>
  <c r="S44" i="9"/>
  <c r="R44" i="9"/>
  <c r="Q44" i="9"/>
  <c r="X43" i="9"/>
  <c r="W43" i="9"/>
  <c r="V43" i="9"/>
  <c r="U43" i="9"/>
  <c r="T43" i="9"/>
  <c r="S43" i="9"/>
  <c r="R43" i="9"/>
  <c r="Q43" i="9"/>
  <c r="X42" i="9"/>
  <c r="W42" i="9"/>
  <c r="V42" i="9"/>
  <c r="U42" i="9"/>
  <c r="T42" i="9"/>
  <c r="S42" i="9"/>
  <c r="R42" i="9"/>
  <c r="Q42" i="9"/>
  <c r="X41" i="9"/>
  <c r="W41" i="9"/>
  <c r="V41" i="9"/>
  <c r="U41" i="9"/>
  <c r="T41" i="9"/>
  <c r="S41" i="9"/>
  <c r="R41" i="9"/>
  <c r="Q41" i="9"/>
  <c r="X40" i="9"/>
  <c r="W40" i="9"/>
  <c r="V40" i="9"/>
  <c r="U40" i="9"/>
  <c r="T40" i="9"/>
  <c r="S40" i="9"/>
  <c r="R40" i="9"/>
  <c r="Q40" i="9"/>
  <c r="X39" i="9"/>
  <c r="W39" i="9"/>
  <c r="V39" i="9"/>
  <c r="U39" i="9"/>
  <c r="T39" i="9"/>
  <c r="S39" i="9"/>
  <c r="R39" i="9"/>
  <c r="Q39" i="9"/>
  <c r="X38" i="9"/>
  <c r="W38" i="9"/>
  <c r="V38" i="9"/>
  <c r="U38" i="9"/>
  <c r="T38" i="9"/>
  <c r="S38" i="9"/>
  <c r="R38" i="9"/>
  <c r="Q38" i="9"/>
  <c r="X37" i="9"/>
  <c r="W37" i="9"/>
  <c r="V37" i="9"/>
  <c r="U37" i="9"/>
  <c r="T37" i="9"/>
  <c r="S37" i="9"/>
  <c r="R37" i="9"/>
  <c r="Q37" i="9"/>
  <c r="X36" i="9"/>
  <c r="W36" i="9"/>
  <c r="V36" i="9"/>
  <c r="U36" i="9"/>
  <c r="T36" i="9"/>
  <c r="S36" i="9"/>
  <c r="R36" i="9"/>
  <c r="Q36" i="9"/>
  <c r="X35" i="9"/>
  <c r="W35" i="9"/>
  <c r="V35" i="9"/>
  <c r="U35" i="9"/>
  <c r="T35" i="9"/>
  <c r="S35" i="9"/>
  <c r="R35" i="9"/>
  <c r="Q35" i="9"/>
  <c r="X34" i="9"/>
  <c r="W34" i="9"/>
  <c r="V34" i="9"/>
  <c r="U34" i="9"/>
  <c r="T34" i="9"/>
  <c r="S34" i="9"/>
  <c r="R34" i="9"/>
  <c r="Q34" i="9"/>
  <c r="X33" i="9"/>
  <c r="W33" i="9"/>
  <c r="V33" i="9"/>
  <c r="U33" i="9"/>
  <c r="T33" i="9"/>
  <c r="S33" i="9"/>
  <c r="R33" i="9"/>
  <c r="Q33" i="9"/>
  <c r="X32" i="9"/>
  <c r="W32" i="9"/>
  <c r="V32" i="9"/>
  <c r="U32" i="9"/>
  <c r="T32" i="9"/>
  <c r="S32" i="9"/>
  <c r="R32" i="9"/>
  <c r="Q32" i="9"/>
  <c r="X31" i="9"/>
  <c r="W31" i="9"/>
  <c r="V31" i="9"/>
  <c r="U31" i="9"/>
  <c r="T31" i="9"/>
  <c r="S31" i="9"/>
  <c r="R31" i="9"/>
  <c r="Q31" i="9"/>
  <c r="X30" i="9"/>
  <c r="W30" i="9"/>
  <c r="V30" i="9"/>
  <c r="U30" i="9"/>
  <c r="T30" i="9"/>
  <c r="S30" i="9"/>
  <c r="R30" i="9"/>
  <c r="Q30" i="9"/>
  <c r="X29" i="9"/>
  <c r="W29" i="9"/>
  <c r="V29" i="9"/>
  <c r="U29" i="9"/>
  <c r="T29" i="9"/>
  <c r="S29" i="9"/>
  <c r="R29" i="9"/>
  <c r="Q29" i="9"/>
  <c r="X28" i="9"/>
  <c r="W28" i="9"/>
  <c r="V28" i="9"/>
  <c r="U28" i="9"/>
  <c r="T28" i="9"/>
  <c r="S28" i="9"/>
  <c r="R28" i="9"/>
  <c r="Q28" i="9"/>
  <c r="X27" i="9"/>
  <c r="W27" i="9"/>
  <c r="V27" i="9"/>
  <c r="U27" i="9"/>
  <c r="T27" i="9"/>
  <c r="S27" i="9"/>
  <c r="R27" i="9"/>
  <c r="Q27" i="9"/>
  <c r="X26" i="9"/>
  <c r="W26" i="9"/>
  <c r="V26" i="9"/>
  <c r="U26" i="9"/>
  <c r="T26" i="9"/>
  <c r="S26" i="9"/>
  <c r="R26" i="9"/>
  <c r="Q26" i="9"/>
  <c r="X25" i="9"/>
  <c r="W25" i="9"/>
  <c r="V25" i="9"/>
  <c r="U25" i="9"/>
  <c r="T25" i="9"/>
  <c r="S25" i="9"/>
  <c r="R25" i="9"/>
  <c r="Q25" i="9"/>
  <c r="X24" i="9"/>
  <c r="W24" i="9"/>
  <c r="V24" i="9"/>
  <c r="U24" i="9"/>
  <c r="T24" i="9"/>
  <c r="S24" i="9"/>
  <c r="R24" i="9"/>
  <c r="Q24" i="9"/>
  <c r="X23" i="9"/>
  <c r="W23" i="9"/>
  <c r="V23" i="9"/>
  <c r="U23" i="9"/>
  <c r="T23" i="9"/>
  <c r="S23" i="9"/>
  <c r="R23" i="9"/>
  <c r="Q23" i="9"/>
  <c r="X22" i="9"/>
  <c r="W22" i="9"/>
  <c r="V22" i="9"/>
  <c r="U22" i="9"/>
  <c r="T22" i="9"/>
  <c r="S22" i="9"/>
  <c r="R22" i="9"/>
  <c r="Q22" i="9"/>
  <c r="X21" i="9"/>
  <c r="W21" i="9"/>
  <c r="V21" i="9"/>
  <c r="U21" i="9"/>
  <c r="T21" i="9"/>
  <c r="S21" i="9"/>
  <c r="R21" i="9"/>
  <c r="Q21" i="9"/>
  <c r="X20" i="9"/>
  <c r="W20" i="9"/>
  <c r="V20" i="9"/>
  <c r="U20" i="9"/>
  <c r="T20" i="9"/>
  <c r="S20" i="9"/>
  <c r="R20" i="9"/>
  <c r="Q20" i="9"/>
  <c r="X19" i="9"/>
  <c r="W19" i="9"/>
  <c r="V19" i="9"/>
  <c r="U19" i="9"/>
  <c r="T19" i="9"/>
  <c r="S19" i="9"/>
  <c r="R19" i="9"/>
  <c r="Q19" i="9"/>
  <c r="X18" i="9"/>
  <c r="W18" i="9"/>
  <c r="V18" i="9"/>
  <c r="U18" i="9"/>
  <c r="T18" i="9"/>
  <c r="S18" i="9"/>
  <c r="R18" i="9"/>
  <c r="Q18" i="9"/>
  <c r="X17" i="9"/>
  <c r="W17" i="9"/>
  <c r="V17" i="9"/>
  <c r="U17" i="9"/>
  <c r="T17" i="9"/>
  <c r="S17" i="9"/>
  <c r="R17" i="9"/>
  <c r="Q17" i="9"/>
  <c r="X16" i="9"/>
  <c r="W16" i="9"/>
  <c r="V16" i="9"/>
  <c r="U16" i="9"/>
  <c r="T16" i="9"/>
  <c r="S16" i="9"/>
  <c r="R16" i="9"/>
  <c r="Q16" i="9"/>
  <c r="X15" i="9"/>
  <c r="W15" i="9"/>
  <c r="V15" i="9"/>
  <c r="U15" i="9"/>
  <c r="T15" i="9"/>
  <c r="S15" i="9"/>
  <c r="R15" i="9"/>
  <c r="Q15" i="9"/>
  <c r="X14" i="9"/>
  <c r="W14" i="9"/>
  <c r="V14" i="9"/>
  <c r="U14" i="9"/>
  <c r="T14" i="9"/>
  <c r="S14" i="9"/>
  <c r="R14" i="9"/>
  <c r="Q14" i="9"/>
  <c r="X13" i="9"/>
  <c r="W13" i="9"/>
  <c r="V13" i="9"/>
  <c r="U13" i="9"/>
  <c r="T13" i="9"/>
  <c r="S13" i="9"/>
  <c r="R13" i="9"/>
  <c r="Q13" i="9"/>
  <c r="X12" i="9"/>
  <c r="W12" i="9"/>
  <c r="V12" i="9"/>
  <c r="U12" i="9"/>
  <c r="T12" i="9"/>
  <c r="S12" i="9"/>
  <c r="R12" i="9"/>
  <c r="Q12" i="9"/>
  <c r="X11" i="9"/>
  <c r="W11" i="9"/>
  <c r="V11" i="9"/>
  <c r="U11" i="9"/>
  <c r="T11" i="9"/>
  <c r="S11" i="9"/>
  <c r="R11" i="9"/>
  <c r="Q11" i="9"/>
  <c r="X10" i="9"/>
  <c r="W10" i="9"/>
  <c r="V10" i="9"/>
  <c r="U10" i="9"/>
  <c r="T10" i="9"/>
  <c r="S10" i="9"/>
  <c r="R10" i="9"/>
  <c r="Q10" i="9"/>
  <c r="X9" i="9"/>
  <c r="W9" i="9"/>
  <c r="V9" i="9"/>
  <c r="U9" i="9"/>
  <c r="T9" i="9"/>
  <c r="S9" i="9"/>
  <c r="R9" i="9"/>
  <c r="Q9" i="9"/>
  <c r="X8" i="9"/>
  <c r="W8" i="9"/>
  <c r="V8" i="9"/>
  <c r="U8" i="9"/>
  <c r="T8" i="9"/>
  <c r="S8" i="9"/>
  <c r="R8" i="9"/>
  <c r="Q8" i="9"/>
  <c r="X7" i="9"/>
  <c r="W7" i="9"/>
  <c r="V7" i="9"/>
  <c r="U7" i="9"/>
  <c r="T7" i="9"/>
  <c r="S7" i="9"/>
  <c r="R7" i="9"/>
  <c r="Q7" i="9"/>
  <c r="X6" i="9"/>
  <c r="W6" i="9"/>
  <c r="V6" i="9"/>
  <c r="U6" i="9"/>
  <c r="T6" i="9"/>
  <c r="S6" i="9"/>
  <c r="R6" i="9"/>
  <c r="Q6" i="9"/>
  <c r="X5" i="9"/>
  <c r="W5" i="9"/>
  <c r="V5" i="9"/>
  <c r="U5" i="9"/>
  <c r="T5" i="9"/>
  <c r="S5" i="9"/>
  <c r="R5" i="9"/>
  <c r="Q5" i="9"/>
  <c r="X4" i="9"/>
  <c r="W4" i="9"/>
  <c r="V4" i="9"/>
  <c r="U4" i="9"/>
  <c r="T4" i="9"/>
  <c r="S4" i="9"/>
  <c r="R4" i="9"/>
  <c r="Q4" i="9"/>
  <c r="X3" i="9"/>
  <c r="W3" i="9"/>
  <c r="V3" i="9"/>
  <c r="U3" i="9"/>
  <c r="T3" i="9"/>
  <c r="S3" i="9"/>
  <c r="R3" i="9"/>
  <c r="Q3" i="9"/>
  <c r="X2" i="9"/>
  <c r="W2" i="9"/>
  <c r="V2" i="9"/>
  <c r="U2" i="9"/>
  <c r="T2" i="9"/>
  <c r="S2" i="9"/>
  <c r="R2" i="9"/>
  <c r="Q2" i="9"/>
  <c r="P12" i="8"/>
  <c r="Q12" i="8"/>
  <c r="R12" i="8"/>
  <c r="S12" i="8"/>
  <c r="T12" i="8"/>
  <c r="U12" i="8"/>
  <c r="V12" i="8"/>
  <c r="W12" i="8"/>
  <c r="P39" i="8"/>
  <c r="Q39" i="8"/>
  <c r="R39" i="8"/>
  <c r="S39" i="8"/>
  <c r="T39" i="8"/>
  <c r="U39" i="8"/>
  <c r="V39" i="8"/>
  <c r="W39" i="8"/>
  <c r="P40" i="8"/>
  <c r="Q40" i="8"/>
  <c r="R40" i="8"/>
  <c r="S40" i="8"/>
  <c r="T40" i="8"/>
  <c r="U40" i="8"/>
  <c r="V40" i="8"/>
  <c r="W40" i="8"/>
  <c r="P41" i="8"/>
  <c r="Q41" i="8"/>
  <c r="R41" i="8"/>
  <c r="S41" i="8"/>
  <c r="T41" i="8"/>
  <c r="U41" i="8"/>
  <c r="V41" i="8"/>
  <c r="W41" i="8"/>
  <c r="P42" i="8"/>
  <c r="Q42" i="8"/>
  <c r="R42" i="8"/>
  <c r="S42" i="8"/>
  <c r="T42" i="8"/>
  <c r="U42" i="8"/>
  <c r="V42" i="8"/>
  <c r="W42" i="8"/>
  <c r="P61" i="8"/>
  <c r="Q61" i="8"/>
  <c r="R61" i="8"/>
  <c r="S61" i="8"/>
  <c r="T61" i="8"/>
  <c r="U61" i="8"/>
  <c r="V61" i="8"/>
  <c r="W61" i="8"/>
  <c r="P62" i="8"/>
  <c r="Q62" i="8"/>
  <c r="R62" i="8"/>
  <c r="S62" i="8"/>
  <c r="T62" i="8"/>
  <c r="U62" i="8"/>
  <c r="V62" i="8"/>
  <c r="W62" i="8"/>
  <c r="P63" i="8"/>
  <c r="Q63" i="8"/>
  <c r="R63" i="8"/>
  <c r="S63" i="8"/>
  <c r="T63" i="8"/>
  <c r="U63" i="8"/>
  <c r="V63" i="8"/>
  <c r="W63" i="8"/>
  <c r="P64" i="8"/>
  <c r="Q64" i="8"/>
  <c r="R64" i="8"/>
  <c r="S64" i="8"/>
  <c r="T64" i="8"/>
  <c r="U64" i="8"/>
  <c r="V64" i="8"/>
  <c r="W64" i="8"/>
  <c r="P65" i="8"/>
  <c r="Q65" i="8"/>
  <c r="R65" i="8"/>
  <c r="S65" i="8"/>
  <c r="T65" i="8"/>
  <c r="U65" i="8"/>
  <c r="V65" i="8"/>
  <c r="W65" i="8"/>
  <c r="P66" i="8"/>
  <c r="Q66" i="8"/>
  <c r="R66" i="8"/>
  <c r="S66" i="8"/>
  <c r="T66" i="8"/>
  <c r="U66" i="8"/>
  <c r="V66" i="8"/>
  <c r="W66" i="8"/>
  <c r="P67" i="8"/>
  <c r="Q67" i="8"/>
  <c r="R67" i="8"/>
  <c r="S67" i="8"/>
  <c r="T67" i="8"/>
  <c r="U67" i="8"/>
  <c r="V67" i="8"/>
  <c r="W67" i="8"/>
  <c r="P68" i="8"/>
  <c r="Q68" i="8"/>
  <c r="R68" i="8"/>
  <c r="S68" i="8"/>
  <c r="T68" i="8"/>
  <c r="U68" i="8"/>
  <c r="V68" i="8"/>
  <c r="W68" i="8"/>
  <c r="P69" i="8"/>
  <c r="Q69" i="8"/>
  <c r="R69" i="8"/>
  <c r="S69" i="8"/>
  <c r="T69" i="8"/>
  <c r="U69" i="8"/>
  <c r="V69" i="8"/>
  <c r="W69" i="8"/>
  <c r="P70" i="8"/>
  <c r="Q70" i="8"/>
  <c r="R70" i="8"/>
  <c r="S70" i="8"/>
  <c r="T70" i="8"/>
  <c r="U70" i="8"/>
  <c r="V70" i="8"/>
  <c r="W70" i="8"/>
  <c r="P71" i="8"/>
  <c r="Q71" i="8"/>
  <c r="R71" i="8"/>
  <c r="S71" i="8"/>
  <c r="T71" i="8"/>
  <c r="U71" i="8"/>
  <c r="V71" i="8"/>
  <c r="W71" i="8"/>
  <c r="P72" i="8"/>
  <c r="Q72" i="8"/>
  <c r="R72" i="8"/>
  <c r="S72" i="8"/>
  <c r="T72" i="8"/>
  <c r="U72" i="8"/>
  <c r="V72" i="8"/>
  <c r="W72" i="8"/>
  <c r="P73" i="8"/>
  <c r="Q73" i="8"/>
  <c r="R73" i="8"/>
  <c r="S73" i="8"/>
  <c r="T73" i="8"/>
  <c r="U73" i="8"/>
  <c r="V73" i="8"/>
  <c r="W73" i="8"/>
  <c r="P78" i="8"/>
  <c r="Q78" i="8"/>
  <c r="R78" i="8"/>
  <c r="S78" i="8"/>
  <c r="T78" i="8"/>
  <c r="U78" i="8"/>
  <c r="V78" i="8"/>
  <c r="W78" i="8"/>
  <c r="P86" i="8"/>
  <c r="Q86" i="8"/>
  <c r="R86" i="8"/>
  <c r="S86" i="8"/>
  <c r="T86" i="8"/>
  <c r="U86" i="8"/>
  <c r="V86" i="8"/>
  <c r="W86" i="8"/>
  <c r="P89" i="8"/>
  <c r="Q89" i="8"/>
  <c r="R89" i="8"/>
  <c r="S89" i="8"/>
  <c r="T89" i="8"/>
  <c r="U89" i="8"/>
  <c r="V89" i="8"/>
  <c r="W89" i="8"/>
  <c r="P90" i="8"/>
  <c r="Q90" i="8"/>
  <c r="R90" i="8"/>
  <c r="S90" i="8"/>
  <c r="T90" i="8"/>
  <c r="U90" i="8"/>
  <c r="V90" i="8"/>
  <c r="W90" i="8"/>
  <c r="P92" i="8"/>
  <c r="Q92" i="8"/>
  <c r="R92" i="8"/>
  <c r="S92" i="8"/>
  <c r="T92" i="8"/>
  <c r="U92" i="8"/>
  <c r="V92" i="8"/>
  <c r="W92" i="8"/>
  <c r="P101" i="8"/>
  <c r="Q101" i="8"/>
  <c r="R101" i="8"/>
  <c r="S101" i="8"/>
  <c r="T101" i="8"/>
  <c r="U101" i="8"/>
  <c r="V101" i="8"/>
  <c r="W101" i="8"/>
  <c r="P129" i="8"/>
  <c r="Q129" i="8"/>
  <c r="R129" i="8"/>
  <c r="S129" i="8"/>
  <c r="T129" i="8"/>
  <c r="U129" i="8"/>
  <c r="V129" i="8"/>
  <c r="W129" i="8"/>
  <c r="P149" i="8"/>
  <c r="Q149" i="8"/>
  <c r="R149" i="8"/>
  <c r="S149" i="8"/>
  <c r="T149" i="8"/>
  <c r="U149" i="8"/>
  <c r="V149" i="8"/>
  <c r="W149" i="8"/>
  <c r="P150" i="8"/>
  <c r="Q150" i="8"/>
  <c r="R150" i="8"/>
  <c r="S150" i="8"/>
  <c r="T150" i="8"/>
  <c r="U150" i="8"/>
  <c r="V150" i="8"/>
  <c r="W150" i="8"/>
  <c r="P169" i="8"/>
  <c r="Q169" i="8"/>
  <c r="R169" i="8"/>
  <c r="S169" i="8"/>
  <c r="T169" i="8"/>
  <c r="U169" i="8"/>
  <c r="V169" i="8"/>
  <c r="W169" i="8"/>
  <c r="P186" i="8"/>
  <c r="Q186" i="8"/>
  <c r="R186" i="8"/>
  <c r="S186" i="8"/>
  <c r="T186" i="8"/>
  <c r="U186" i="8"/>
  <c r="V186" i="8"/>
  <c r="W186" i="8"/>
  <c r="Q2" i="8"/>
  <c r="R2" i="8"/>
  <c r="S2" i="8"/>
  <c r="T2" i="8"/>
  <c r="U2" i="8"/>
  <c r="V2" i="8"/>
  <c r="W2" i="8"/>
  <c r="P2" i="8"/>
  <c r="R508" i="1"/>
  <c r="S508" i="1"/>
  <c r="T508" i="1"/>
  <c r="U508" i="1"/>
  <c r="V508" i="1"/>
  <c r="W508" i="1"/>
  <c r="X508" i="1"/>
  <c r="Y508" i="1"/>
  <c r="Z508" i="1"/>
  <c r="AA508" i="1"/>
  <c r="R464" i="1"/>
  <c r="S464" i="1"/>
  <c r="T464" i="1"/>
  <c r="U464" i="1"/>
  <c r="V464" i="1"/>
  <c r="W464" i="1"/>
  <c r="X464" i="1"/>
  <c r="Y464" i="1"/>
  <c r="Z464" i="1"/>
  <c r="R465" i="1"/>
  <c r="S465" i="1"/>
  <c r="T465" i="1"/>
  <c r="U465" i="1"/>
  <c r="V465" i="1"/>
  <c r="W465" i="1"/>
  <c r="X465" i="1"/>
  <c r="Y465" i="1"/>
  <c r="Z465" i="1"/>
  <c r="R466" i="1"/>
  <c r="S466" i="1"/>
  <c r="T466" i="1"/>
  <c r="U466" i="1"/>
  <c r="V466" i="1"/>
  <c r="W466" i="1"/>
  <c r="X466" i="1"/>
  <c r="Y466" i="1"/>
  <c r="Z466" i="1"/>
  <c r="AA465" i="1"/>
  <c r="AA466" i="1"/>
  <c r="AA464" i="1"/>
  <c r="O464" i="1"/>
  <c r="P464" i="1"/>
  <c r="Q464" i="1"/>
  <c r="O465" i="1"/>
  <c r="P465" i="1"/>
  <c r="Q465" i="1"/>
  <c r="O466" i="1"/>
  <c r="P466" i="1"/>
  <c r="Q466" i="1"/>
  <c r="O467" i="1"/>
  <c r="P467" i="1"/>
  <c r="Q467" i="1"/>
  <c r="R467" i="1"/>
  <c r="S467" i="1"/>
  <c r="T467" i="1"/>
  <c r="U467" i="1"/>
  <c r="V467" i="1"/>
  <c r="W467" i="1"/>
  <c r="X467" i="1"/>
  <c r="Y467" i="1"/>
  <c r="Z467" i="1"/>
  <c r="AA467" i="1"/>
  <c r="AA120" i="1"/>
  <c r="AA408" i="1"/>
  <c r="AA315" i="1"/>
  <c r="N222" i="1"/>
  <c r="AA223" i="1"/>
  <c r="X219" i="1"/>
  <c r="O151" i="1"/>
  <c r="P151" i="1"/>
  <c r="Q151" i="1"/>
  <c r="R151" i="1"/>
  <c r="S151" i="1"/>
  <c r="T151" i="1"/>
  <c r="U151" i="1"/>
  <c r="V151" i="1"/>
  <c r="W151" i="1"/>
  <c r="X151" i="1"/>
  <c r="Y151" i="1"/>
  <c r="Z151" i="1"/>
  <c r="AA151" i="1"/>
  <c r="O154" i="1"/>
  <c r="P154" i="1"/>
  <c r="Q154" i="1"/>
  <c r="R154" i="1"/>
  <c r="S154" i="1"/>
  <c r="T154" i="1"/>
  <c r="U154" i="1"/>
  <c r="V154" i="1"/>
  <c r="W154" i="1"/>
  <c r="X154" i="1"/>
  <c r="Y154" i="1"/>
  <c r="Z154" i="1"/>
  <c r="X416" i="1"/>
  <c r="W416" i="1"/>
  <c r="V416" i="1"/>
  <c r="AA415" i="1"/>
  <c r="Z415" i="1"/>
  <c r="Y415" i="1"/>
  <c r="X415" i="1"/>
  <c r="W415" i="1"/>
  <c r="V415" i="1"/>
  <c r="N381" i="1"/>
  <c r="O381" i="1"/>
  <c r="P381" i="1"/>
  <c r="Q381" i="1"/>
  <c r="R381" i="1"/>
  <c r="S381" i="1"/>
  <c r="T381" i="1"/>
  <c r="U381" i="1"/>
  <c r="V381" i="1"/>
  <c r="W381" i="1"/>
  <c r="N382" i="1"/>
  <c r="O382" i="1"/>
  <c r="P382" i="1"/>
  <c r="Q382" i="1"/>
  <c r="R382" i="1"/>
  <c r="S382" i="1"/>
  <c r="T382" i="1"/>
  <c r="U382" i="1"/>
  <c r="V382" i="1"/>
  <c r="W382" i="1"/>
  <c r="N383" i="1"/>
  <c r="O383" i="1"/>
  <c r="N384" i="1"/>
  <c r="O384" i="1"/>
  <c r="P384" i="1"/>
  <c r="Q384" i="1"/>
  <c r="R384" i="1"/>
  <c r="S384" i="1"/>
  <c r="T384" i="1"/>
  <c r="U384" i="1"/>
  <c r="V384" i="1"/>
  <c r="W384" i="1"/>
  <c r="V305" i="1"/>
  <c r="W305" i="1"/>
  <c r="X305" i="1"/>
  <c r="Y305" i="1"/>
  <c r="Z305" i="1"/>
  <c r="V306" i="1"/>
  <c r="W306" i="1"/>
  <c r="AA305" i="1"/>
  <c r="N277" i="1"/>
  <c r="O277" i="1"/>
  <c r="P277" i="1"/>
  <c r="Q277" i="1"/>
  <c r="R277" i="1"/>
  <c r="S277" i="1"/>
  <c r="T277" i="1"/>
  <c r="U277" i="1"/>
  <c r="V277" i="1"/>
  <c r="W277" i="1"/>
  <c r="N278" i="1"/>
  <c r="O278" i="1"/>
  <c r="P278" i="1"/>
  <c r="Q278" i="1"/>
  <c r="R278" i="1"/>
  <c r="S278" i="1"/>
  <c r="T278" i="1"/>
  <c r="U278" i="1"/>
  <c r="V278" i="1"/>
  <c r="W278" i="1"/>
  <c r="N280" i="1"/>
  <c r="O280" i="1"/>
  <c r="P280" i="1"/>
  <c r="Q280" i="1"/>
  <c r="R280" i="1"/>
  <c r="S280" i="1"/>
  <c r="T280" i="1"/>
  <c r="U280" i="1"/>
  <c r="V280" i="1"/>
  <c r="W280" i="1"/>
  <c r="N316" i="1"/>
  <c r="O316" i="1"/>
  <c r="P316" i="1"/>
  <c r="Q316" i="1"/>
  <c r="R316" i="1"/>
  <c r="S316" i="1"/>
  <c r="T316" i="1"/>
  <c r="U316" i="1"/>
  <c r="V316" i="1"/>
  <c r="W316" i="1"/>
  <c r="X316" i="1"/>
  <c r="Y316" i="1"/>
  <c r="Z316" i="1"/>
  <c r="X216" i="1"/>
  <c r="Y216" i="1"/>
  <c r="Z216" i="1"/>
  <c r="AA216" i="1"/>
  <c r="AB216" i="1"/>
  <c r="AC216" i="1"/>
  <c r="W216" i="1"/>
  <c r="N192" i="1"/>
  <c r="O192" i="1"/>
  <c r="P192" i="1"/>
  <c r="Q192" i="1"/>
  <c r="R192" i="1"/>
  <c r="S192" i="1"/>
  <c r="T192" i="1"/>
  <c r="U192" i="1"/>
  <c r="N190" i="1"/>
  <c r="O190" i="1"/>
  <c r="P190" i="1"/>
  <c r="Q190" i="1"/>
  <c r="R190" i="1"/>
  <c r="S190" i="1"/>
  <c r="T190" i="1"/>
  <c r="U190" i="1"/>
  <c r="V190" i="1"/>
  <c r="W190" i="1"/>
  <c r="N191" i="1"/>
  <c r="O191" i="1"/>
  <c r="N224" i="1"/>
  <c r="O224" i="1"/>
  <c r="P224" i="1"/>
  <c r="Q224" i="1"/>
  <c r="R224" i="1"/>
  <c r="S224" i="1"/>
  <c r="T224" i="1"/>
  <c r="U224" i="1"/>
  <c r="V224" i="1"/>
  <c r="W224" i="1"/>
  <c r="X224" i="1"/>
  <c r="Y224" i="1"/>
  <c r="Z224" i="1"/>
  <c r="AA224" i="1"/>
  <c r="N189" i="1"/>
  <c r="O189" i="1"/>
  <c r="P189" i="1"/>
  <c r="Q189" i="1"/>
  <c r="R189" i="1"/>
  <c r="S189" i="1"/>
  <c r="T189" i="1"/>
  <c r="U189" i="1"/>
  <c r="W218" i="1"/>
  <c r="X218" i="1"/>
  <c r="Y218" i="1"/>
  <c r="Z218" i="1"/>
  <c r="AA218" i="1"/>
  <c r="W219" i="1"/>
  <c r="V219" i="1"/>
  <c r="V218" i="1"/>
  <c r="K36" i="5"/>
  <c r="L36" i="5"/>
  <c r="J36" i="5"/>
  <c r="J30" i="5"/>
  <c r="J41" i="5"/>
  <c r="K30" i="5"/>
  <c r="K41" i="5"/>
  <c r="L30" i="5"/>
  <c r="L41" i="5"/>
  <c r="J42" i="5"/>
  <c r="K42" i="5"/>
  <c r="L42" i="5"/>
  <c r="J43" i="5"/>
  <c r="K43" i="5"/>
  <c r="L43" i="5"/>
  <c r="K40" i="5"/>
  <c r="L40" i="5"/>
  <c r="J40" i="5"/>
  <c r="L44" i="5"/>
  <c r="K44" i="5"/>
  <c r="J44" i="5"/>
  <c r="N146" i="1"/>
  <c r="O146" i="1"/>
  <c r="P146" i="1"/>
  <c r="Q146" i="1"/>
  <c r="R146" i="1"/>
  <c r="S146" i="1"/>
  <c r="T146" i="1"/>
  <c r="U146" i="1"/>
  <c r="V146" i="1"/>
  <c r="W146" i="1"/>
  <c r="X146" i="1"/>
  <c r="Y146" i="1"/>
  <c r="Z146" i="1"/>
  <c r="AA146" i="1"/>
  <c r="AH137" i="1"/>
  <c r="AI137" i="1"/>
  <c r="AJ137" i="1"/>
  <c r="AL137" i="1"/>
  <c r="AM137" i="1"/>
  <c r="AN137" i="1"/>
  <c r="AP137" i="1"/>
  <c r="AQ137" i="1"/>
  <c r="AR137" i="1"/>
  <c r="R164" i="1"/>
  <c r="R183" i="1"/>
  <c r="S164" i="1"/>
  <c r="T164" i="1"/>
  <c r="U164" i="1"/>
  <c r="V164" i="1"/>
  <c r="W164" i="1"/>
  <c r="X164" i="1"/>
  <c r="Y164" i="1"/>
  <c r="Z164" i="1"/>
  <c r="S183" i="1"/>
  <c r="T183" i="1"/>
  <c r="U183" i="1"/>
  <c r="V183" i="1"/>
  <c r="W183" i="1"/>
  <c r="X183" i="1"/>
  <c r="Z183" i="1"/>
  <c r="AA164" i="1"/>
  <c r="X161" i="1"/>
  <c r="R161" i="1"/>
  <c r="S161" i="1"/>
  <c r="T161" i="1"/>
  <c r="U161" i="1"/>
  <c r="V161" i="1"/>
  <c r="W161" i="1"/>
  <c r="Z128" i="1"/>
  <c r="AA128" i="1"/>
  <c r="Y128" i="1"/>
  <c r="N128" i="1"/>
  <c r="O128" i="1"/>
  <c r="P128" i="1"/>
  <c r="Q128" i="1"/>
  <c r="R145" i="1"/>
  <c r="Q145" i="1"/>
  <c r="S145" i="1"/>
  <c r="T145" i="1"/>
  <c r="U145" i="1"/>
  <c r="V145" i="1"/>
  <c r="W145" i="1"/>
  <c r="X145" i="1"/>
  <c r="Y145" i="1"/>
  <c r="Z145" i="1"/>
  <c r="R128" i="1"/>
  <c r="S128" i="1"/>
  <c r="T128" i="1"/>
  <c r="U128" i="1"/>
  <c r="V128" i="1"/>
  <c r="W128" i="1"/>
  <c r="X128" i="1"/>
  <c r="AA145" i="1"/>
  <c r="N100" i="1"/>
  <c r="N108" i="1"/>
  <c r="N109" i="1"/>
  <c r="O108" i="1"/>
  <c r="O100" i="1"/>
  <c r="O109" i="1"/>
  <c r="P108" i="1"/>
  <c r="P100" i="1"/>
  <c r="P109" i="1"/>
  <c r="R108" i="1"/>
  <c r="R109" i="1"/>
  <c r="S108" i="1"/>
  <c r="S109" i="1"/>
  <c r="T108" i="1"/>
  <c r="T109" i="1"/>
  <c r="V108" i="1"/>
  <c r="V109" i="1"/>
  <c r="W108" i="1"/>
  <c r="W109" i="1"/>
  <c r="X108" i="1"/>
  <c r="X109" i="1"/>
  <c r="B110" i="1"/>
  <c r="C110" i="1"/>
  <c r="D110" i="1"/>
  <c r="E110" i="1"/>
  <c r="F110" i="1"/>
  <c r="G110" i="1"/>
  <c r="H110" i="1"/>
  <c r="I110" i="1"/>
  <c r="J110" i="1"/>
  <c r="K110" i="1"/>
  <c r="L110" i="1"/>
  <c r="M110" i="1"/>
  <c r="N87" i="1"/>
  <c r="N110" i="1"/>
  <c r="O87" i="1"/>
  <c r="O110" i="1"/>
  <c r="P87" i="1"/>
  <c r="P110" i="1"/>
  <c r="Q110" i="1"/>
  <c r="R110" i="1"/>
  <c r="S110" i="1"/>
  <c r="T110" i="1"/>
  <c r="U110" i="1"/>
  <c r="V110" i="1"/>
  <c r="W110" i="1"/>
  <c r="X110" i="1"/>
  <c r="Y110" i="1"/>
  <c r="Z110" i="1"/>
  <c r="AA110" i="1"/>
  <c r="AF332" i="11"/>
  <c r="AF333" i="11"/>
  <c r="AB140" i="1"/>
  <c r="AB109" i="1"/>
  <c r="AD151" i="1"/>
  <c r="AB146" i="1"/>
  <c r="AB110" i="1"/>
  <c r="AB145" i="1"/>
  <c r="AB128" i="1"/>
  <c r="AB132" i="1"/>
  <c r="AB131" i="1"/>
  <c r="AB141" i="1"/>
  <c r="AB306" i="1"/>
  <c r="AC404" i="1"/>
  <c r="AC108" i="1"/>
  <c r="AC14" i="21"/>
  <c r="AC18" i="21" s="1"/>
  <c r="AC17" i="21"/>
  <c r="AC54" i="21" s="1"/>
  <c r="AC19" i="21"/>
  <c r="AC56" i="21" s="1"/>
  <c r="AC20" i="21"/>
  <c r="AC57" i="21" s="1"/>
  <c r="AC21" i="21"/>
  <c r="AC58" i="21" s="1"/>
  <c r="AC22" i="21"/>
  <c r="AC26" i="21" s="1"/>
  <c r="AC28" i="21"/>
  <c r="AC51" i="21"/>
  <c r="R13" i="19"/>
  <c r="AC141" i="1"/>
  <c r="AC146" i="1"/>
  <c r="AC145" i="1"/>
  <c r="AC128" i="1"/>
  <c r="AC67" i="1"/>
  <c r="AC66" i="1"/>
  <c r="AE151" i="1"/>
  <c r="R24" i="19"/>
  <c r="R79" i="19"/>
  <c r="R22" i="19"/>
  <c r="AD108" i="1"/>
  <c r="AD180" i="1"/>
  <c r="AE108" i="1"/>
  <c r="AE180" i="1"/>
  <c r="AF180" i="1"/>
  <c r="AF68" i="21"/>
  <c r="AF83" i="21" s="1"/>
  <c r="AE68" i="21"/>
  <c r="AD68" i="21"/>
  <c r="AD82" i="21" s="1"/>
  <c r="AC180" i="1"/>
  <c r="AC68" i="21"/>
  <c r="AE77" i="21"/>
  <c r="AF78" i="21"/>
  <c r="AD70" i="21"/>
  <c r="AD79" i="21" s="1"/>
  <c r="AE70" i="21"/>
  <c r="AF70" i="21"/>
  <c r="AF79" i="21" s="1"/>
  <c r="AD80" i="21"/>
  <c r="AF80" i="21"/>
  <c r="AF81" i="21"/>
  <c r="AF82" i="21"/>
  <c r="AE83" i="21"/>
  <c r="AF84" i="21"/>
  <c r="R62" i="19"/>
  <c r="R51" i="19"/>
  <c r="AF87" i="1"/>
  <c r="AF109" i="1"/>
  <c r="AF110" i="1"/>
  <c r="AE87" i="1"/>
  <c r="AE109" i="1"/>
  <c r="AE110" i="1"/>
  <c r="AD87" i="1"/>
  <c r="AD109" i="1"/>
  <c r="AD110" i="1"/>
  <c r="AC87" i="1"/>
  <c r="AC109" i="1"/>
  <c r="AC110" i="1"/>
  <c r="R87" i="19"/>
  <c r="AD140" i="1"/>
  <c r="AF151" i="1"/>
  <c r="AE140" i="1"/>
  <c r="AG151" i="1"/>
  <c r="AF140" i="1"/>
  <c r="AH151" i="1"/>
  <c r="AD66" i="1"/>
  <c r="AE66" i="1"/>
  <c r="AF66" i="1"/>
  <c r="AD67" i="1"/>
  <c r="AE67" i="1"/>
  <c r="AF67" i="1"/>
  <c r="AD128" i="1"/>
  <c r="AE128" i="1"/>
  <c r="AF128" i="1"/>
  <c r="AD145" i="1"/>
  <c r="AE145" i="1"/>
  <c r="AF145" i="1"/>
  <c r="AD146" i="1"/>
  <c r="AE146" i="1"/>
  <c r="AF146" i="1"/>
  <c r="AF141" i="1"/>
  <c r="AE141" i="1"/>
  <c r="AD141" i="1"/>
  <c r="AC32" i="21"/>
  <c r="AF14" i="21"/>
  <c r="AF21" i="21" s="1"/>
  <c r="AF6" i="21"/>
  <c r="AF13" i="21" s="1"/>
  <c r="AE14" i="21"/>
  <c r="AE32" i="21" s="1"/>
  <c r="AE6" i="21"/>
  <c r="AE13" i="21" s="1"/>
  <c r="AD14" i="21"/>
  <c r="AD32" i="21" s="1"/>
  <c r="AD6" i="21"/>
  <c r="AD10" i="21" s="1"/>
  <c r="AD47" i="21" s="1"/>
  <c r="AD21" i="21"/>
  <c r="AD13" i="21"/>
  <c r="AD50" i="21" s="1"/>
  <c r="AC13" i="21"/>
  <c r="AC39" i="21" s="1"/>
  <c r="AF20" i="21"/>
  <c r="AF12" i="21"/>
  <c r="AF49" i="21" s="1"/>
  <c r="AE20" i="21"/>
  <c r="AE38" i="21" s="1"/>
  <c r="AE12" i="21"/>
  <c r="AD20" i="21"/>
  <c r="AD38" i="21" s="1"/>
  <c r="AD12" i="21"/>
  <c r="AD49" i="21" s="1"/>
  <c r="AC12" i="21"/>
  <c r="AF19" i="21"/>
  <c r="AF11" i="21"/>
  <c r="AF48" i="21" s="1"/>
  <c r="AE11" i="21"/>
  <c r="AC11" i="21"/>
  <c r="AC37" i="21" s="1"/>
  <c r="AF10" i="21"/>
  <c r="AE18" i="21"/>
  <c r="AC10" i="21"/>
  <c r="AF17" i="21"/>
  <c r="AE17" i="21"/>
  <c r="AD17" i="21"/>
  <c r="AE54" i="21" s="1"/>
  <c r="AC9" i="21"/>
  <c r="AC35" i="21"/>
  <c r="AF16" i="21"/>
  <c r="AE8" i="21"/>
  <c r="AD16" i="21"/>
  <c r="AD53" i="21" s="1"/>
  <c r="AC16" i="21"/>
  <c r="AC8" i="21"/>
  <c r="AC34" i="21"/>
  <c r="AF15" i="21"/>
  <c r="AE15" i="21"/>
  <c r="AE7" i="21"/>
  <c r="AD15" i="21"/>
  <c r="AC7" i="21"/>
  <c r="AC43" i="21"/>
  <c r="AC50" i="21"/>
  <c r="AC49" i="21"/>
  <c r="AC47" i="21"/>
  <c r="AC46" i="21"/>
  <c r="AC45" i="21"/>
  <c r="AE49" i="21"/>
  <c r="AD43" i="21"/>
  <c r="AC44" i="21"/>
  <c r="AF22" i="21"/>
  <c r="AF26" i="21" s="1"/>
  <c r="AF29" i="21"/>
  <c r="AE22" i="21"/>
  <c r="AE29" i="21" s="1"/>
  <c r="AD22" i="21"/>
  <c r="AD29" i="21"/>
  <c r="AF28" i="21"/>
  <c r="AE28" i="21"/>
  <c r="AD28" i="21"/>
  <c r="AF27" i="21"/>
  <c r="AD27" i="21"/>
  <c r="AE26" i="21"/>
  <c r="AD26" i="21"/>
  <c r="AF25" i="21"/>
  <c r="AD25" i="21"/>
  <c r="AF24" i="21"/>
  <c r="AE24" i="21"/>
  <c r="AF61" i="21" s="1"/>
  <c r="AD24" i="21"/>
  <c r="AF23" i="21"/>
  <c r="AD23" i="21"/>
  <c r="AE59" i="21"/>
  <c r="AF51" i="21"/>
  <c r="AE51" i="21"/>
  <c r="AD51" i="21"/>
  <c r="AC53" i="21"/>
  <c r="AD58" i="21"/>
  <c r="AF57" i="21"/>
  <c r="AE57" i="21"/>
  <c r="AD54" i="21"/>
  <c r="AF52" i="21"/>
  <c r="AE52" i="21"/>
  <c r="AC77" i="21"/>
  <c r="AC70" i="21"/>
  <c r="AC79" i="21" s="1"/>
  <c r="AC80" i="21"/>
  <c r="AC81" i="21"/>
  <c r="AC82" i="21"/>
  <c r="AC83" i="21"/>
  <c r="AC84" i="21"/>
  <c r="AC86" i="21"/>
  <c r="AE88" i="21"/>
  <c r="AF88" i="21"/>
  <c r="AS14" i="1"/>
  <c r="AR14" i="1"/>
  <c r="AQ14" i="1"/>
  <c r="AP14" i="1"/>
  <c r="AO14" i="1"/>
  <c r="AN14" i="1"/>
  <c r="AM14" i="1"/>
  <c r="AL14" i="1"/>
  <c r="AK14" i="1"/>
  <c r="AJ14" i="1"/>
  <c r="AI14" i="1"/>
  <c r="AH14" i="1"/>
  <c r="AG14" i="1"/>
  <c r="U14" i="19"/>
  <c r="T14" i="19"/>
  <c r="AH332" i="11"/>
  <c r="AH333" i="11"/>
  <c r="AG332" i="11"/>
  <c r="AG333" i="11"/>
  <c r="AB109" i="20"/>
  <c r="AB308" i="20"/>
  <c r="AB15" i="20"/>
  <c r="AB208" i="20"/>
  <c r="AC109" i="20"/>
  <c r="AC208" i="20"/>
  <c r="AC308" i="20"/>
  <c r="AC15" i="20"/>
  <c r="AB114" i="20"/>
  <c r="AB313" i="20"/>
  <c r="AC114" i="20"/>
  <c r="AC313" i="20"/>
  <c r="AD109" i="20"/>
  <c r="AD308" i="20"/>
  <c r="AE109" i="20"/>
  <c r="AE308" i="20"/>
  <c r="AC213" i="20"/>
  <c r="AB213" i="20"/>
  <c r="AE208" i="20"/>
  <c r="AD208" i="20"/>
  <c r="AB20" i="20"/>
  <c r="AC20" i="20"/>
  <c r="AE15" i="20"/>
  <c r="AD15" i="20"/>
  <c r="AT96" i="23"/>
  <c r="AT97" i="23"/>
  <c r="AI332" i="11"/>
  <c r="AI333" i="11"/>
  <c r="AJ332" i="11"/>
  <c r="AJ333" i="11"/>
  <c r="AK332" i="11"/>
  <c r="AK333" i="11"/>
  <c r="AL332" i="11"/>
  <c r="AL333" i="11"/>
  <c r="AM332" i="11"/>
  <c r="AM333" i="11"/>
  <c r="AG208" i="20"/>
  <c r="AF109" i="20"/>
  <c r="AF208" i="20"/>
  <c r="AF308" i="20"/>
  <c r="AF15" i="20"/>
  <c r="AS213" i="20"/>
  <c r="AR213" i="20"/>
  <c r="AQ213" i="20"/>
  <c r="AP213" i="20"/>
  <c r="AO213" i="20"/>
  <c r="AN213" i="20"/>
  <c r="AM213" i="20"/>
  <c r="AL213" i="20"/>
  <c r="AK213" i="20"/>
  <c r="AJ213" i="20"/>
  <c r="AI213" i="20"/>
  <c r="AH213" i="20"/>
  <c r="AG213" i="20"/>
  <c r="AF114" i="20"/>
  <c r="AF213" i="20"/>
  <c r="AE114" i="20"/>
  <c r="AE213" i="20"/>
  <c r="AD114" i="20"/>
  <c r="AD213" i="20"/>
  <c r="AS208" i="20"/>
  <c r="AR208" i="20"/>
  <c r="AQ208" i="20"/>
  <c r="AP208" i="20"/>
  <c r="AO208" i="20"/>
  <c r="AN208" i="20"/>
  <c r="AM208" i="20"/>
  <c r="AL208" i="20"/>
  <c r="AK208" i="20"/>
  <c r="AJ208" i="20"/>
  <c r="AI208" i="20"/>
  <c r="AH208" i="20"/>
  <c r="AF313" i="20"/>
  <c r="AF20" i="20"/>
  <c r="AE313" i="20"/>
  <c r="AE20" i="20"/>
  <c r="AD313" i="20"/>
  <c r="AD20" i="20"/>
  <c r="AW213" i="20"/>
  <c r="AV213" i="20"/>
  <c r="AU213" i="20"/>
  <c r="AT213" i="20"/>
  <c r="AW208" i="20"/>
  <c r="AV208" i="20"/>
  <c r="AU208" i="20"/>
  <c r="AT208" i="20"/>
  <c r="H339" i="11"/>
  <c r="H338" i="11"/>
  <c r="AC115" i="20"/>
  <c r="AC314" i="20"/>
  <c r="AC21" i="20"/>
  <c r="AD115" i="20"/>
  <c r="AD314" i="20"/>
  <c r="AD21" i="20"/>
  <c r="AE115" i="20"/>
  <c r="AE314" i="20"/>
  <c r="AE21" i="20"/>
  <c r="AF115" i="20"/>
  <c r="AF314" i="20"/>
  <c r="AF21" i="20"/>
  <c r="AB115" i="20"/>
  <c r="AB214" i="20"/>
  <c r="AC214" i="20"/>
  <c r="AD214" i="20"/>
  <c r="AE214" i="20"/>
  <c r="AF214" i="20"/>
  <c r="AG214" i="20"/>
  <c r="AH214" i="20"/>
  <c r="AI214" i="20"/>
  <c r="AJ214" i="20"/>
  <c r="AK214" i="20"/>
  <c r="AL214" i="20"/>
  <c r="AM214" i="20"/>
  <c r="AN214" i="20"/>
  <c r="AO214" i="20"/>
  <c r="AP214" i="20"/>
  <c r="AQ214" i="20"/>
  <c r="AR214" i="20"/>
  <c r="AS214" i="20"/>
  <c r="AB314" i="20"/>
  <c r="AB21" i="20"/>
  <c r="D66" i="5"/>
  <c r="AD315" i="1"/>
  <c r="AE315" i="1"/>
  <c r="AF315" i="1"/>
  <c r="AS315" i="1"/>
  <c r="AR315" i="1"/>
  <c r="AQ315" i="1"/>
  <c r="AP315" i="1"/>
  <c r="AO315" i="1"/>
  <c r="AN315" i="1"/>
  <c r="AM315" i="1"/>
  <c r="AL315" i="1"/>
  <c r="AK315" i="1"/>
  <c r="AJ315" i="1"/>
  <c r="AI315" i="1"/>
  <c r="AH315" i="1"/>
  <c r="AG315" i="1"/>
  <c r="AC315" i="1"/>
  <c r="AC110" i="20"/>
  <c r="AC309" i="20"/>
  <c r="AC16" i="20"/>
  <c r="AD110" i="20"/>
  <c r="AD309" i="20"/>
  <c r="AD16" i="20"/>
  <c r="AE110" i="20"/>
  <c r="AE309" i="20"/>
  <c r="AE16" i="20"/>
  <c r="AF110" i="20"/>
  <c r="AF309" i="20"/>
  <c r="AF16" i="20"/>
  <c r="AB110" i="20"/>
  <c r="AB209" i="20"/>
  <c r="AC209" i="20"/>
  <c r="AD209" i="20"/>
  <c r="AE209" i="20"/>
  <c r="AF209" i="20"/>
  <c r="AG209" i="20"/>
  <c r="AH209" i="20"/>
  <c r="AI209" i="20"/>
  <c r="AJ209" i="20"/>
  <c r="AK209" i="20"/>
  <c r="AL209" i="20"/>
  <c r="AM209" i="20"/>
  <c r="AN209" i="20"/>
  <c r="AO209" i="20"/>
  <c r="AP209" i="20"/>
  <c r="AQ209" i="20"/>
  <c r="AR209" i="20"/>
  <c r="AS209" i="20"/>
  <c r="AB309" i="20"/>
  <c r="AB16" i="20"/>
  <c r="D65" i="5"/>
  <c r="AW315" i="1"/>
  <c r="AV315" i="1"/>
  <c r="AU315" i="1"/>
  <c r="AT315" i="1"/>
  <c r="AW214" i="20"/>
  <c r="AV214" i="20"/>
  <c r="AU214" i="20"/>
  <c r="AT214" i="20"/>
  <c r="AW209" i="20"/>
  <c r="AV209" i="20"/>
  <c r="AU209" i="20"/>
  <c r="AT209" i="20"/>
  <c r="P53" i="19" l="1"/>
  <c r="M14" i="19"/>
  <c r="Q14" i="19"/>
  <c r="N24" i="19"/>
  <c r="L26" i="19"/>
  <c r="P26" i="19"/>
  <c r="N27" i="19"/>
  <c r="L28" i="19"/>
  <c r="P28" i="19"/>
  <c r="T28" i="19"/>
  <c r="M30" i="19"/>
  <c r="Q30" i="19"/>
  <c r="U30" i="19"/>
  <c r="N31" i="19"/>
  <c r="R31" i="19"/>
  <c r="V31" i="19"/>
  <c r="O32" i="19"/>
  <c r="S32" i="19"/>
  <c r="L33" i="19"/>
  <c r="P33" i="19"/>
  <c r="T33" i="19"/>
  <c r="M34" i="19"/>
  <c r="Q34" i="19"/>
  <c r="R8" i="19"/>
  <c r="S45" i="19"/>
  <c r="P46" i="19"/>
  <c r="T46" i="19"/>
  <c r="Q47" i="19"/>
  <c r="V47" i="19"/>
  <c r="Q49" i="19"/>
  <c r="P50" i="19"/>
  <c r="U50" i="19"/>
  <c r="Q52" i="19"/>
  <c r="P55" i="19"/>
  <c r="U55" i="19"/>
  <c r="S56" i="19"/>
  <c r="U57" i="19"/>
  <c r="O48" i="19"/>
  <c r="O53" i="19"/>
  <c r="S61" i="19"/>
  <c r="P62" i="19"/>
  <c r="T63" i="19"/>
  <c r="T64" i="19"/>
  <c r="R66" i="19"/>
  <c r="R68" i="19"/>
  <c r="R70" i="19"/>
  <c r="Q74" i="19"/>
  <c r="P79" i="19"/>
  <c r="Q20" i="19"/>
  <c r="M16" i="19"/>
  <c r="N19" i="19"/>
  <c r="R19" i="19"/>
  <c r="N8" i="19"/>
  <c r="P9" i="19"/>
  <c r="P22" i="19"/>
  <c r="V14" i="19"/>
  <c r="R80" i="19"/>
  <c r="R71" i="19"/>
  <c r="R27" i="19"/>
  <c r="L22" i="19"/>
  <c r="L23" i="19" s="1"/>
  <c r="N14" i="19"/>
  <c r="R14" i="19"/>
  <c r="O24" i="19"/>
  <c r="M26" i="19"/>
  <c r="Q26" i="19"/>
  <c r="O27" i="19"/>
  <c r="M28" i="19"/>
  <c r="Q28" i="19"/>
  <c r="U28" i="19"/>
  <c r="N30" i="19"/>
  <c r="R30" i="19"/>
  <c r="V30" i="19"/>
  <c r="O31" i="19"/>
  <c r="S31" i="19"/>
  <c r="L32" i="19"/>
  <c r="P32" i="19"/>
  <c r="T32" i="19"/>
  <c r="M33" i="19"/>
  <c r="Q33" i="19"/>
  <c r="U33" i="19"/>
  <c r="N34" i="19"/>
  <c r="R11" i="19"/>
  <c r="P45" i="19"/>
  <c r="T45" i="19"/>
  <c r="Q46" i="19"/>
  <c r="U46" i="19"/>
  <c r="R47" i="19"/>
  <c r="P48" i="19"/>
  <c r="S49" i="19"/>
  <c r="Q50" i="19"/>
  <c r="V50" i="19"/>
  <c r="S52" i="19"/>
  <c r="Q55" i="19"/>
  <c r="V55" i="19"/>
  <c r="Q57" i="19"/>
  <c r="V57" i="19"/>
  <c r="O49" i="19"/>
  <c r="O55" i="19"/>
  <c r="O61" i="19"/>
  <c r="T61" i="19"/>
  <c r="Q62" i="19"/>
  <c r="V63" i="19"/>
  <c r="V64" i="19"/>
  <c r="V66" i="19"/>
  <c r="V68" i="19"/>
  <c r="V70" i="19"/>
  <c r="O76" i="19"/>
  <c r="M20" i="19"/>
  <c r="O15" i="19"/>
  <c r="J19" i="19"/>
  <c r="P11" i="19"/>
  <c r="L9" i="19"/>
  <c r="N22" i="19"/>
  <c r="U85" i="19"/>
  <c r="U86" i="19"/>
  <c r="B3" i="12"/>
  <c r="B5" i="12" s="1"/>
  <c r="O58" i="19"/>
  <c r="S14" i="19"/>
  <c r="R44" i="19"/>
  <c r="R26" i="19"/>
  <c r="O14" i="19"/>
  <c r="L24" i="19"/>
  <c r="P24" i="19"/>
  <c r="N26" i="19"/>
  <c r="L27" i="19"/>
  <c r="P27" i="19"/>
  <c r="N28" i="19"/>
  <c r="R28" i="19"/>
  <c r="V28" i="19"/>
  <c r="O30" i="19"/>
  <c r="S30" i="19"/>
  <c r="L31" i="19"/>
  <c r="P31" i="19"/>
  <c r="T31" i="19"/>
  <c r="M32" i="19"/>
  <c r="Q32" i="19"/>
  <c r="U32" i="19"/>
  <c r="N33" i="19"/>
  <c r="R33" i="19"/>
  <c r="V33" i="19"/>
  <c r="O34" i="19"/>
  <c r="R10" i="19"/>
  <c r="Q45" i="19"/>
  <c r="U45" i="19"/>
  <c r="R46" i="19"/>
  <c r="V46" i="19"/>
  <c r="S47" i="19"/>
  <c r="R48" i="19"/>
  <c r="T49" i="19"/>
  <c r="R50" i="19"/>
  <c r="Q51" i="19"/>
  <c r="T52" i="19"/>
  <c r="R55" i="19"/>
  <c r="Q56" i="19"/>
  <c r="R57" i="19"/>
  <c r="O51" i="19"/>
  <c r="O56" i="19"/>
  <c r="P61" i="19"/>
  <c r="U61" i="19"/>
  <c r="P63" i="19"/>
  <c r="P64" i="19"/>
  <c r="P65" i="19"/>
  <c r="R67" i="19"/>
  <c r="R69" i="19"/>
  <c r="O72" i="19"/>
  <c r="P78" i="19"/>
  <c r="O17" i="19"/>
  <c r="O18" i="19"/>
  <c r="L11" i="19"/>
  <c r="D4" i="1"/>
  <c r="W70" i="19"/>
  <c r="W68" i="19"/>
  <c r="W32" i="19"/>
  <c r="V54" i="19"/>
  <c r="Q77" i="19"/>
  <c r="T54" i="19"/>
  <c r="D3" i="12"/>
  <c r="U19" i="5" s="1"/>
  <c r="V19" i="5" s="1"/>
  <c r="R101" i="19"/>
  <c r="W28" i="19"/>
  <c r="W33" i="19"/>
  <c r="W85" i="19"/>
  <c r="W86" i="19"/>
  <c r="W61" i="19"/>
  <c r="T86" i="19"/>
  <c r="T85" i="19"/>
  <c r="N13" i="19"/>
  <c r="P13" i="19"/>
  <c r="M9" i="19"/>
  <c r="Q10" i="19"/>
  <c r="O10" i="19"/>
  <c r="M11" i="19"/>
  <c r="Q8" i="19"/>
  <c r="O8" i="19"/>
  <c r="O77" i="19"/>
  <c r="H18" i="19"/>
  <c r="L18" i="19"/>
  <c r="P18" i="19"/>
  <c r="K19" i="19"/>
  <c r="O19" i="19"/>
  <c r="P15" i="19"/>
  <c r="N16" i="19"/>
  <c r="R16" i="19"/>
  <c r="P17" i="19"/>
  <c r="N20" i="19"/>
  <c r="R20" i="19"/>
  <c r="L15" i="19"/>
  <c r="O79" i="19"/>
  <c r="S78" i="19"/>
  <c r="O78" i="19"/>
  <c r="Q75" i="19"/>
  <c r="P74" i="19"/>
  <c r="O73" i="19"/>
  <c r="Q71" i="19"/>
  <c r="U70" i="19"/>
  <c r="Q70" i="19"/>
  <c r="U69" i="19"/>
  <c r="Q69" i="19"/>
  <c r="U68" i="19"/>
  <c r="Q68" i="19"/>
  <c r="U67" i="19"/>
  <c r="Q67" i="19"/>
  <c r="U66" i="19"/>
  <c r="Q66" i="19"/>
  <c r="Q65" i="19"/>
  <c r="U64" i="19"/>
  <c r="Q64" i="19"/>
  <c r="U63" i="19"/>
  <c r="Q63" i="19"/>
  <c r="C3" i="12"/>
  <c r="U18" i="5" s="1"/>
  <c r="V18" i="5" s="1"/>
  <c r="W30" i="19"/>
  <c r="W78" i="19"/>
  <c r="O44" i="19"/>
  <c r="Q87" i="19"/>
  <c r="Q86" i="19"/>
  <c r="S85" i="19"/>
  <c r="M22" i="19"/>
  <c r="M23" i="19" s="1"/>
  <c r="O22" i="19"/>
  <c r="Q22" i="19"/>
  <c r="L13" i="19"/>
  <c r="N9" i="19"/>
  <c r="L10" i="19"/>
  <c r="P10" i="19"/>
  <c r="N11" i="19"/>
  <c r="L8" i="19"/>
  <c r="P8" i="19"/>
  <c r="I18" i="19"/>
  <c r="M18" i="19"/>
  <c r="H19" i="19"/>
  <c r="L19" i="19"/>
  <c r="P19" i="19"/>
  <c r="M15" i="19"/>
  <c r="Q15" i="19"/>
  <c r="O16" i="19"/>
  <c r="M17" i="19"/>
  <c r="Q17" i="19"/>
  <c r="O20" i="19"/>
  <c r="L20" i="19"/>
  <c r="P80" i="19"/>
  <c r="O80" i="19"/>
  <c r="V78" i="19"/>
  <c r="R78" i="19"/>
  <c r="Q76" i="19"/>
  <c r="P75" i="19"/>
  <c r="O74" i="19"/>
  <c r="Q72" i="19"/>
  <c r="P71" i="19"/>
  <c r="T70" i="19"/>
  <c r="P70" i="19"/>
  <c r="T69" i="19"/>
  <c r="P69" i="19"/>
  <c r="T68" i="19"/>
  <c r="P68" i="19"/>
  <c r="T67" i="19"/>
  <c r="P67" i="19"/>
  <c r="T66" i="19"/>
  <c r="P66" i="19"/>
  <c r="W31" i="19"/>
  <c r="P44" i="19"/>
  <c r="V86" i="19"/>
  <c r="S86" i="19"/>
  <c r="V85" i="19"/>
  <c r="M13" i="19"/>
  <c r="O13" i="19"/>
  <c r="G18" i="19"/>
  <c r="G22" i="19" s="1"/>
  <c r="G23" i="19" s="1"/>
  <c r="Q9" i="19"/>
  <c r="O9" i="19"/>
  <c r="M10" i="19"/>
  <c r="Q11" i="19"/>
  <c r="O11" i="19"/>
  <c r="M8" i="19"/>
  <c r="R18" i="19"/>
  <c r="J18" i="19"/>
  <c r="N18" i="19"/>
  <c r="I19" i="19"/>
  <c r="M19" i="19"/>
  <c r="Q18" i="19"/>
  <c r="N15" i="19"/>
  <c r="R15" i="19"/>
  <c r="P16" i="19"/>
  <c r="N17" i="19"/>
  <c r="R17" i="19"/>
  <c r="P20" i="19"/>
  <c r="L17" i="19"/>
  <c r="Q80" i="19"/>
  <c r="Q79" i="19"/>
  <c r="U78" i="19"/>
  <c r="Q78" i="19"/>
  <c r="P76" i="19"/>
  <c r="O75" i="19"/>
  <c r="Q73" i="19"/>
  <c r="P72" i="19"/>
  <c r="O71" i="19"/>
  <c r="S70" i="19"/>
  <c r="O70" i="19"/>
  <c r="S69" i="19"/>
  <c r="O69" i="19"/>
  <c r="S68" i="19"/>
  <c r="O68" i="19"/>
  <c r="S67" i="19"/>
  <c r="O67" i="19"/>
  <c r="S66" i="19"/>
  <c r="O66" i="19"/>
  <c r="O65" i="19"/>
  <c r="S64" i="19"/>
  <c r="O64" i="19"/>
  <c r="S63" i="19"/>
  <c r="O63" i="19"/>
  <c r="V61" i="19"/>
  <c r="R61" i="19"/>
  <c r="O54" i="19"/>
  <c r="O50" i="19"/>
  <c r="O46" i="19"/>
  <c r="T57" i="19"/>
  <c r="P57" i="19"/>
  <c r="P56" i="19"/>
  <c r="S55" i="19"/>
  <c r="V52" i="19"/>
  <c r="R52" i="19"/>
  <c r="P51" i="19"/>
  <c r="S50" i="19"/>
  <c r="V49" i="19"/>
  <c r="R49" i="19"/>
  <c r="Q48" i="19"/>
  <c r="T47" i="19"/>
  <c r="R77" i="19"/>
  <c r="K20" i="28" s="1"/>
  <c r="K26" i="28" s="1"/>
  <c r="L29" i="19"/>
  <c r="L90" i="19" s="1"/>
  <c r="R58" i="19"/>
  <c r="W66" i="19"/>
  <c r="W57" i="19"/>
  <c r="W55" i="19"/>
  <c r="W53" i="19"/>
  <c r="W50" i="19"/>
  <c r="W45" i="19"/>
  <c r="T102" i="19"/>
  <c r="R102" i="19"/>
  <c r="U102" i="19"/>
  <c r="W102" i="19"/>
  <c r="V102" i="19"/>
  <c r="S102" i="19"/>
  <c r="T103" i="19"/>
  <c r="L23" i="28" s="1"/>
  <c r="S103" i="19"/>
  <c r="U103" i="19"/>
  <c r="M23" i="28" s="1"/>
  <c r="R103" i="19"/>
  <c r="V103" i="19"/>
  <c r="N23" i="28" s="1"/>
  <c r="W103" i="19"/>
  <c r="O23" i="28" s="1"/>
  <c r="P23" i="28" s="1"/>
  <c r="Q23" i="28" s="1"/>
  <c r="R23" i="28" s="1"/>
  <c r="S23" i="28" s="1"/>
  <c r="T23" i="28" s="1"/>
  <c r="U23" i="28" s="1"/>
  <c r="V23" i="28" s="1"/>
  <c r="W23" i="28" s="1"/>
  <c r="X23" i="28" s="1"/>
  <c r="Y23" i="28" s="1"/>
  <c r="Z23" i="28" s="1"/>
  <c r="AA23" i="28" s="1"/>
  <c r="AB23" i="28" s="1"/>
  <c r="AC23" i="28" s="1"/>
  <c r="AD23" i="28" s="1"/>
  <c r="AE23" i="28" s="1"/>
  <c r="AF23" i="28" s="1"/>
  <c r="AG23" i="28" s="1"/>
  <c r="AH23" i="28" s="1"/>
  <c r="AI23" i="28" s="1"/>
  <c r="AJ23" i="28" s="1"/>
  <c r="AK23" i="28" s="1"/>
  <c r="AL23" i="28" s="1"/>
  <c r="AM23" i="28" s="1"/>
  <c r="AN23" i="28" s="1"/>
  <c r="AO23" i="28" s="1"/>
  <c r="AP23" i="28" s="1"/>
  <c r="AQ23" i="28" s="1"/>
  <c r="AR23" i="28" s="1"/>
  <c r="AS23" i="28" s="1"/>
  <c r="U101" i="19"/>
  <c r="T101" i="19"/>
  <c r="V53" i="19"/>
  <c r="T53" i="19"/>
  <c r="S54" i="19"/>
  <c r="P77" i="19"/>
  <c r="Q29" i="19"/>
  <c r="O29" i="19"/>
  <c r="O91" i="19" s="1"/>
  <c r="Q58" i="19"/>
  <c r="W69" i="19"/>
  <c r="W67" i="19"/>
  <c r="Q100" i="19"/>
  <c r="U54" i="19"/>
  <c r="R54" i="19"/>
  <c r="S53" i="19"/>
  <c r="Q54" i="19"/>
  <c r="P58" i="19"/>
  <c r="N29" i="19"/>
  <c r="N90" i="19" s="1"/>
  <c r="R29" i="19"/>
  <c r="S34" i="19"/>
  <c r="W54" i="19"/>
  <c r="W52" i="19"/>
  <c r="W49" i="19"/>
  <c r="V101" i="19"/>
  <c r="S101" i="19"/>
  <c r="R100" i="19"/>
  <c r="U53" i="19"/>
  <c r="R53" i="19"/>
  <c r="P54" i="19"/>
  <c r="Q53" i="19"/>
  <c r="P29" i="19"/>
  <c r="P91" i="19" s="1"/>
  <c r="M29" i="19"/>
  <c r="M90" i="19" s="1"/>
  <c r="Q41" i="19"/>
  <c r="H23" i="19"/>
  <c r="I23" i="19"/>
  <c r="I90" i="19"/>
  <c r="I31" i="19"/>
  <c r="I32" i="19" s="1"/>
  <c r="I91" i="19"/>
  <c r="R41" i="19"/>
  <c r="R37" i="19"/>
  <c r="E5" i="12"/>
  <c r="Q23" i="19"/>
  <c r="F48" i="28"/>
  <c r="G46" i="28"/>
  <c r="G48" i="28"/>
  <c r="E48" i="28"/>
  <c r="I48" i="28"/>
  <c r="I46" i="28"/>
  <c r="H48" i="28"/>
  <c r="H46" i="28"/>
  <c r="E46" i="28"/>
  <c r="Q7" i="28"/>
  <c r="AG282" i="1"/>
  <c r="AG283" i="1"/>
  <c r="AH314" i="1"/>
  <c r="AG193" i="1"/>
  <c r="AG217" i="1"/>
  <c r="AG69" i="21" s="1"/>
  <c r="AG87" i="21" s="1"/>
  <c r="AH215" i="1"/>
  <c r="AH193" i="1" s="1"/>
  <c r="AG216" i="1"/>
  <c r="T80" i="21"/>
  <c r="T79" i="21"/>
  <c r="T83" i="21"/>
  <c r="T84" i="21"/>
  <c r="AC88" i="21"/>
  <c r="AC78" i="21"/>
  <c r="AD57" i="21"/>
  <c r="AF63" i="21"/>
  <c r="AD65" i="21"/>
  <c r="AE43" i="21"/>
  <c r="AE33" i="21"/>
  <c r="AF37" i="21"/>
  <c r="AF38" i="21"/>
  <c r="AD39" i="21"/>
  <c r="AD83" i="21"/>
  <c r="AD81" i="21"/>
  <c r="AD77" i="21"/>
  <c r="AE86" i="21"/>
  <c r="AC27" i="21"/>
  <c r="V87" i="21"/>
  <c r="Z87" i="21"/>
  <c r="AD87" i="21"/>
  <c r="R89" i="21"/>
  <c r="R80" i="21"/>
  <c r="U91" i="21"/>
  <c r="U82" i="21"/>
  <c r="Y92" i="21"/>
  <c r="Y83" i="21"/>
  <c r="AD318" i="20"/>
  <c r="AD25" i="20"/>
  <c r="AC312" i="20"/>
  <c r="AC19" i="20"/>
  <c r="AG107" i="20"/>
  <c r="AF241" i="20"/>
  <c r="AF341" i="20"/>
  <c r="AG341" i="20" s="1"/>
  <c r="AH341" i="20" s="1"/>
  <c r="AI341" i="20" s="1"/>
  <c r="AJ341" i="20" s="1"/>
  <c r="AK341" i="20" s="1"/>
  <c r="AL341" i="20" s="1"/>
  <c r="AM341" i="20" s="1"/>
  <c r="AN341" i="20" s="1"/>
  <c r="AO341" i="20" s="1"/>
  <c r="AP341" i="20" s="1"/>
  <c r="AQ341" i="20" s="1"/>
  <c r="AR341" i="20" s="1"/>
  <c r="AS341" i="20" s="1"/>
  <c r="AT341" i="20" s="1"/>
  <c r="AU341" i="20" s="1"/>
  <c r="AV341" i="20" s="1"/>
  <c r="AW341" i="20" s="1"/>
  <c r="AF14" i="20"/>
  <c r="X80" i="21"/>
  <c r="X77" i="21"/>
  <c r="X81" i="21"/>
  <c r="X83" i="21"/>
  <c r="X84" i="21"/>
  <c r="U78" i="21"/>
  <c r="U87" i="21"/>
  <c r="AE302" i="20"/>
  <c r="AE9" i="20"/>
  <c r="AK9" i="20"/>
  <c r="AK211" i="1" s="1"/>
  <c r="AL102" i="20"/>
  <c r="AK236" i="20"/>
  <c r="AG194" i="1"/>
  <c r="AG195" i="1"/>
  <c r="AG223" i="1"/>
  <c r="AH222" i="1"/>
  <c r="AG115" i="1"/>
  <c r="AF54" i="21"/>
  <c r="AD59" i="21"/>
  <c r="AC24" i="21"/>
  <c r="AC61" i="21" s="1"/>
  <c r="AF43" i="21"/>
  <c r="AD7" i="21"/>
  <c r="AD33" i="21" s="1"/>
  <c r="AF7" i="21"/>
  <c r="AF44" i="21" s="1"/>
  <c r="AE16" i="21"/>
  <c r="AF53" i="21" s="1"/>
  <c r="AD18" i="21"/>
  <c r="AD19" i="21"/>
  <c r="AD56" i="21" s="1"/>
  <c r="AC38" i="21"/>
  <c r="AE21" i="21"/>
  <c r="AE50" i="21"/>
  <c r="AE84" i="21"/>
  <c r="AE79" i="21"/>
  <c r="AD78" i="21"/>
  <c r="AD86" i="21"/>
  <c r="AC59" i="21"/>
  <c r="AC25" i="21"/>
  <c r="AB217" i="20"/>
  <c r="X32" i="21"/>
  <c r="S11" i="21"/>
  <c r="W9" i="21"/>
  <c r="W35" i="21" s="1"/>
  <c r="AB28" i="21"/>
  <c r="AB65" i="21" s="1"/>
  <c r="AB25" i="21"/>
  <c r="AB62" i="21" s="1"/>
  <c r="AB23" i="21"/>
  <c r="AB60" i="21" s="1"/>
  <c r="R59" i="21"/>
  <c r="R24" i="21"/>
  <c r="R61" i="21" s="1"/>
  <c r="R23" i="21"/>
  <c r="R60" i="21" s="1"/>
  <c r="X15" i="21"/>
  <c r="X52" i="21" s="1"/>
  <c r="X17" i="21"/>
  <c r="X21" i="21"/>
  <c r="X58" i="21" s="1"/>
  <c r="X18" i="21"/>
  <c r="X51" i="21"/>
  <c r="X19" i="21"/>
  <c r="S15" i="21"/>
  <c r="S52" i="21" s="1"/>
  <c r="S16" i="21"/>
  <c r="T53" i="21" s="1"/>
  <c r="S20" i="21"/>
  <c r="T57" i="21" s="1"/>
  <c r="S17" i="21"/>
  <c r="S21" i="21"/>
  <c r="S18" i="21"/>
  <c r="T55" i="21" s="1"/>
  <c r="T81" i="21"/>
  <c r="X79" i="21"/>
  <c r="S78" i="21"/>
  <c r="S87" i="21"/>
  <c r="W87" i="21"/>
  <c r="W78" i="21"/>
  <c r="AA78" i="21"/>
  <c r="AA87" i="21"/>
  <c r="AF87" i="21"/>
  <c r="AE87" i="21"/>
  <c r="AC24" i="20"/>
  <c r="S60" i="21"/>
  <c r="Z16" i="21"/>
  <c r="AA53" i="21" s="1"/>
  <c r="Z15" i="21"/>
  <c r="AA52" i="21" s="1"/>
  <c r="Z51" i="21"/>
  <c r="AD64" i="21"/>
  <c r="AF65" i="21"/>
  <c r="AF33" i="21"/>
  <c r="AD8" i="21"/>
  <c r="AF8" i="21"/>
  <c r="AF45" i="21" s="1"/>
  <c r="AD9" i="21"/>
  <c r="AD46" i="21" s="1"/>
  <c r="AF9" i="21"/>
  <c r="AF35" i="21" s="1"/>
  <c r="AD84" i="21"/>
  <c r="AE80" i="21"/>
  <c r="AF77" i="21"/>
  <c r="AC29" i="21"/>
  <c r="AC23" i="21"/>
  <c r="AC60" i="21" s="1"/>
  <c r="AK202" i="20"/>
  <c r="W32" i="21"/>
  <c r="AB33" i="21"/>
  <c r="W12" i="21"/>
  <c r="S10" i="21"/>
  <c r="S36" i="21" s="1"/>
  <c r="W8" i="21"/>
  <c r="AB29" i="21"/>
  <c r="AB66" i="21" s="1"/>
  <c r="AA66" i="21"/>
  <c r="W66" i="21"/>
  <c r="S66" i="21"/>
  <c r="Y65" i="21"/>
  <c r="U65" i="21"/>
  <c r="AA64" i="21"/>
  <c r="W64" i="21"/>
  <c r="S64" i="21"/>
  <c r="Y63" i="21"/>
  <c r="U63" i="21"/>
  <c r="AA62" i="21"/>
  <c r="W62" i="21"/>
  <c r="S62" i="21"/>
  <c r="Y61" i="21"/>
  <c r="Y59" i="21"/>
  <c r="Y23" i="21"/>
  <c r="Y60" i="21" s="1"/>
  <c r="U59" i="21"/>
  <c r="U23" i="21"/>
  <c r="U60" i="21" s="1"/>
  <c r="X54" i="21"/>
  <c r="T87" i="21"/>
  <c r="X87" i="21"/>
  <c r="AB87" i="21"/>
  <c r="AE29" i="20"/>
  <c r="AP25" i="20"/>
  <c r="AP486" i="1" s="1"/>
  <c r="AQ120" i="20"/>
  <c r="AG385" i="1"/>
  <c r="AH413" i="1"/>
  <c r="AH385" i="1" s="1"/>
  <c r="AG122" i="1"/>
  <c r="Z60" i="21"/>
  <c r="X57" i="21"/>
  <c r="X53" i="21"/>
  <c r="AB50" i="21"/>
  <c r="U86" i="21"/>
  <c r="Y86" i="21"/>
  <c r="V88" i="21"/>
  <c r="Z88" i="21"/>
  <c r="S89" i="21"/>
  <c r="W89" i="21"/>
  <c r="AA89" i="21"/>
  <c r="AE89" i="21"/>
  <c r="AI89" i="21"/>
  <c r="AM89" i="21"/>
  <c r="AQ89" i="21"/>
  <c r="V90" i="21"/>
  <c r="Z90" i="21"/>
  <c r="AD90" i="21"/>
  <c r="AH90" i="21"/>
  <c r="AL90" i="21"/>
  <c r="AP90" i="21"/>
  <c r="V91" i="21"/>
  <c r="Z91" i="21"/>
  <c r="AD91" i="21"/>
  <c r="AH91" i="21"/>
  <c r="AL91" i="21"/>
  <c r="AP91" i="21"/>
  <c r="V92" i="21"/>
  <c r="Z92" i="21"/>
  <c r="AD92" i="21"/>
  <c r="AH92" i="21"/>
  <c r="AL92" i="21"/>
  <c r="AP92" i="21"/>
  <c r="V93" i="21"/>
  <c r="Z93" i="21"/>
  <c r="AD93" i="21"/>
  <c r="AH93" i="21"/>
  <c r="AL93" i="21"/>
  <c r="AG318" i="20"/>
  <c r="S59" i="21"/>
  <c r="X56" i="21"/>
  <c r="AA51" i="21"/>
  <c r="S91" i="21"/>
  <c r="W91" i="21"/>
  <c r="AM91" i="21"/>
  <c r="S92" i="21"/>
  <c r="X60" i="21"/>
  <c r="T60" i="21"/>
  <c r="X55" i="21"/>
  <c r="W51" i="21"/>
  <c r="S86" i="21"/>
  <c r="W86" i="21"/>
  <c r="AA86" i="21"/>
  <c r="X88" i="21"/>
  <c r="Y89" i="21"/>
  <c r="AF90" i="21"/>
  <c r="T91" i="21"/>
  <c r="X91" i="21"/>
  <c r="AB91" i="21"/>
  <c r="AF91" i="21"/>
  <c r="AJ91" i="21"/>
  <c r="AN91" i="21"/>
  <c r="AR91" i="21"/>
  <c r="T92" i="21"/>
  <c r="X92" i="21"/>
  <c r="AB92" i="21"/>
  <c r="AF92" i="21"/>
  <c r="AJ92" i="21"/>
  <c r="AN92" i="21"/>
  <c r="AR92" i="21"/>
  <c r="T93" i="21"/>
  <c r="X93" i="21"/>
  <c r="AB93" i="21"/>
  <c r="AF93" i="21"/>
  <c r="AJ93" i="21"/>
  <c r="AE66" i="21"/>
  <c r="AF66" i="21"/>
  <c r="AC36" i="21"/>
  <c r="AD55" i="21"/>
  <c r="AC55" i="21"/>
  <c r="H91" i="19"/>
  <c r="H31" i="19"/>
  <c r="H32" i="19" s="1"/>
  <c r="V52" i="21"/>
  <c r="AF50" i="21"/>
  <c r="AC63" i="21"/>
  <c r="AD63" i="21"/>
  <c r="Y52" i="21"/>
  <c r="Y33" i="21"/>
  <c r="W53" i="21"/>
  <c r="AF39" i="21"/>
  <c r="W33" i="21"/>
  <c r="AC64" i="21"/>
  <c r="AB64" i="21"/>
  <c r="U52" i="21"/>
  <c r="U33" i="21"/>
  <c r="Z52" i="21"/>
  <c r="AE82" i="21"/>
  <c r="AC15" i="21"/>
  <c r="AV76" i="1"/>
  <c r="AU93" i="1"/>
  <c r="AF59" i="21"/>
  <c r="AE61" i="21"/>
  <c r="AE63" i="21"/>
  <c r="AE65" i="21"/>
  <c r="AD44" i="21"/>
  <c r="AE45" i="21"/>
  <c r="AC48" i="21"/>
  <c r="AE10" i="21"/>
  <c r="AF18" i="21"/>
  <c r="AD11" i="21"/>
  <c r="AE19" i="21"/>
  <c r="AF32" i="21"/>
  <c r="AF86" i="21"/>
  <c r="AB9" i="20"/>
  <c r="AA36" i="21"/>
  <c r="W36" i="21"/>
  <c r="Y13" i="21"/>
  <c r="W13" i="21"/>
  <c r="Z7" i="21"/>
  <c r="X7" i="21"/>
  <c r="Y44" i="21" s="1"/>
  <c r="V7" i="21"/>
  <c r="V44" i="21" s="1"/>
  <c r="T7" i="21"/>
  <c r="U44" i="21" s="1"/>
  <c r="R7" i="21"/>
  <c r="R44" i="21" s="1"/>
  <c r="Y43" i="21"/>
  <c r="W43" i="21"/>
  <c r="U43" i="21"/>
  <c r="S43" i="21"/>
  <c r="Z59" i="21"/>
  <c r="X59" i="21"/>
  <c r="V59" i="21"/>
  <c r="T59" i="21"/>
  <c r="Y51" i="21"/>
  <c r="U51" i="21"/>
  <c r="Y21" i="21"/>
  <c r="U21" i="21"/>
  <c r="Y20" i="21"/>
  <c r="U20" i="21"/>
  <c r="Y19" i="21"/>
  <c r="U19" i="21"/>
  <c r="Y18" i="21"/>
  <c r="U18" i="21"/>
  <c r="Y17" i="21"/>
  <c r="U17" i="21"/>
  <c r="Y16" i="21"/>
  <c r="U16" i="21"/>
  <c r="AD88" i="21"/>
  <c r="AE23" i="21"/>
  <c r="AE60" i="21" s="1"/>
  <c r="AE25" i="21"/>
  <c r="AE62" i="21" s="1"/>
  <c r="AE27" i="21"/>
  <c r="AE64" i="21" s="1"/>
  <c r="AE9" i="21"/>
  <c r="AB24" i="20"/>
  <c r="Z32" i="21"/>
  <c r="V32" i="21"/>
  <c r="R32" i="21"/>
  <c r="AB38" i="21"/>
  <c r="AA37" i="21"/>
  <c r="W37" i="21"/>
  <c r="S37" i="21"/>
  <c r="AB34" i="21"/>
  <c r="AB47" i="21"/>
  <c r="AB45" i="21"/>
  <c r="Z12" i="21"/>
  <c r="X12" i="21"/>
  <c r="V12" i="21"/>
  <c r="V49" i="21" s="1"/>
  <c r="T12" i="21"/>
  <c r="R12" i="21"/>
  <c r="R49" i="21" s="1"/>
  <c r="Z11" i="21"/>
  <c r="Z48" i="21" s="1"/>
  <c r="X11" i="21"/>
  <c r="Y48" i="21" s="1"/>
  <c r="V11" i="21"/>
  <c r="V48" i="21" s="1"/>
  <c r="T11" i="21"/>
  <c r="R11" i="21"/>
  <c r="R48" i="21" s="1"/>
  <c r="Z10" i="21"/>
  <c r="Z47" i="21" s="1"/>
  <c r="X10" i="21"/>
  <c r="Y47" i="21" s="1"/>
  <c r="V10" i="21"/>
  <c r="V47" i="21" s="1"/>
  <c r="T10" i="21"/>
  <c r="R10" i="21"/>
  <c r="R47" i="21" s="1"/>
  <c r="Z9" i="21"/>
  <c r="Z46" i="21" s="1"/>
  <c r="X9" i="21"/>
  <c r="V9" i="21"/>
  <c r="V46" i="21" s="1"/>
  <c r="T9" i="21"/>
  <c r="R9" i="21"/>
  <c r="R46" i="21" s="1"/>
  <c r="Z8" i="21"/>
  <c r="Z45" i="21" s="1"/>
  <c r="X8" i="21"/>
  <c r="V8" i="21"/>
  <c r="V45" i="21" s="1"/>
  <c r="T8" i="21"/>
  <c r="R8" i="21"/>
  <c r="R45" i="21" s="1"/>
  <c r="AA43" i="21"/>
  <c r="AB44" i="21"/>
  <c r="AW75" i="1"/>
  <c r="AV92" i="1"/>
  <c r="AE81" i="21"/>
  <c r="AE78" i="21"/>
  <c r="Y32" i="21"/>
  <c r="U32" i="21"/>
  <c r="W38" i="21"/>
  <c r="S38" i="21"/>
  <c r="AA34" i="21"/>
  <c r="W34" i="21"/>
  <c r="S34" i="21"/>
  <c r="Z33" i="21"/>
  <c r="R33" i="21"/>
  <c r="Z13" i="21"/>
  <c r="X13" i="21"/>
  <c r="V13" i="21"/>
  <c r="V50" i="21" s="1"/>
  <c r="T13" i="21"/>
  <c r="R13" i="21"/>
  <c r="S51" i="21"/>
  <c r="Z21" i="21"/>
  <c r="V21" i="21"/>
  <c r="R21" i="21"/>
  <c r="Z20" i="21"/>
  <c r="V20" i="21"/>
  <c r="R20" i="21"/>
  <c r="Z19" i="21"/>
  <c r="V19" i="21"/>
  <c r="R19" i="21"/>
  <c r="Z18" i="21"/>
  <c r="V18" i="21"/>
  <c r="R18" i="21"/>
  <c r="Z17" i="21"/>
  <c r="V17" i="21"/>
  <c r="R17" i="21"/>
  <c r="R16" i="21"/>
  <c r="S83" i="21"/>
  <c r="X82" i="21"/>
  <c r="T82" i="21"/>
  <c r="Y81" i="21"/>
  <c r="U81" i="21"/>
  <c r="Z80" i="21"/>
  <c r="V80" i="21"/>
  <c r="W79" i="21"/>
  <c r="S79" i="21"/>
  <c r="X78" i="21"/>
  <c r="T78" i="21"/>
  <c r="Y77" i="21"/>
  <c r="U77" i="21"/>
  <c r="T86" i="21"/>
  <c r="V86" i="21"/>
  <c r="X86" i="21"/>
  <c r="Z86" i="21"/>
  <c r="AN93" i="21"/>
  <c r="AP93" i="21"/>
  <c r="AR93" i="21"/>
  <c r="AD302" i="20"/>
  <c r="U83" i="21"/>
  <c r="V82" i="21"/>
  <c r="W81" i="21"/>
  <c r="S81" i="21"/>
  <c r="Y79" i="21"/>
  <c r="U79" i="21"/>
  <c r="W77" i="21"/>
  <c r="S77" i="21"/>
  <c r="AC9" i="20"/>
  <c r="AW137" i="1"/>
  <c r="W101" i="19" s="1"/>
  <c r="AH107" i="20"/>
  <c r="AG14" i="20"/>
  <c r="AG299" i="1" s="1"/>
  <c r="B23" i="18"/>
  <c r="B25" i="18" s="1"/>
  <c r="AG123" i="1"/>
  <c r="AG121" i="1" s="1"/>
  <c r="AG80" i="1" s="1"/>
  <c r="B12" i="18"/>
  <c r="B51" i="18" s="1"/>
  <c r="AG513" i="1"/>
  <c r="AH124" i="20"/>
  <c r="AI124" i="20" s="1"/>
  <c r="AJ124" i="20" s="1"/>
  <c r="AK124" i="20" s="1"/>
  <c r="AL124" i="20" s="1"/>
  <c r="AM124" i="20" s="1"/>
  <c r="AN124" i="20" s="1"/>
  <c r="AO124" i="20" s="1"/>
  <c r="AP124" i="20" s="1"/>
  <c r="AQ124" i="20" s="1"/>
  <c r="AR124" i="20" s="1"/>
  <c r="AS124" i="20" s="1"/>
  <c r="AT124" i="20" s="1"/>
  <c r="AU124" i="20" s="1"/>
  <c r="AV124" i="20" s="1"/>
  <c r="AW124" i="20" s="1"/>
  <c r="AG19" i="20"/>
  <c r="AG421" i="1" s="1"/>
  <c r="AH113" i="20"/>
  <c r="AH318" i="20"/>
  <c r="AI352" i="20"/>
  <c r="AG317" i="20"/>
  <c r="AH118" i="20"/>
  <c r="AG24" i="20"/>
  <c r="AG473" i="1" s="1"/>
  <c r="AH526" i="1"/>
  <c r="AI126" i="20"/>
  <c r="AG302" i="20"/>
  <c r="AH336" i="20"/>
  <c r="AI215" i="1"/>
  <c r="AG386" i="1"/>
  <c r="AG387" i="1"/>
  <c r="AH407" i="1"/>
  <c r="AI9" i="20"/>
  <c r="AI211" i="1" s="1"/>
  <c r="AG281" i="1"/>
  <c r="AH303" i="1"/>
  <c r="AF346" i="20"/>
  <c r="AI85" i="1"/>
  <c r="AJ85" i="1" s="1"/>
  <c r="AK85" i="1" s="1"/>
  <c r="R95" i="19"/>
  <c r="R23" i="19"/>
  <c r="P23" i="19"/>
  <c r="N23" i="19"/>
  <c r="O23" i="19"/>
  <c r="D47" i="18"/>
  <c r="N91" i="19" l="1"/>
  <c r="R97" i="19"/>
  <c r="O90" i="19"/>
  <c r="R91" i="19"/>
  <c r="C5" i="12"/>
  <c r="D5" i="12"/>
  <c r="R90" i="19"/>
  <c r="P90" i="19"/>
  <c r="M91" i="19"/>
  <c r="Q91" i="19"/>
  <c r="R92" i="19"/>
  <c r="Q92" i="19"/>
  <c r="Q90" i="19"/>
  <c r="L91" i="19"/>
  <c r="G24" i="19"/>
  <c r="G27" i="19" s="1"/>
  <c r="G29" i="19" s="1"/>
  <c r="R7" i="28"/>
  <c r="AG196" i="1"/>
  <c r="AH282" i="1"/>
  <c r="AI314" i="1"/>
  <c r="AH283" i="1"/>
  <c r="AH217" i="1"/>
  <c r="AH69" i="21" s="1"/>
  <c r="AH87" i="21" s="1"/>
  <c r="AH216" i="1"/>
  <c r="AG197" i="1"/>
  <c r="AG206" i="1" s="1"/>
  <c r="AG207" i="1" s="1"/>
  <c r="AI413" i="1"/>
  <c r="AI385" i="1" s="1"/>
  <c r="AE39" i="21"/>
  <c r="AE58" i="21"/>
  <c r="AG113" i="1"/>
  <c r="AG116" i="1" s="1"/>
  <c r="S100" i="19" s="1"/>
  <c r="S97" i="19" s="1"/>
  <c r="V60" i="21"/>
  <c r="AQ25" i="20"/>
  <c r="AQ486" i="1" s="1"/>
  <c r="AQ218" i="20"/>
  <c r="AR120" i="20"/>
  <c r="AD34" i="21"/>
  <c r="AD45" i="21"/>
  <c r="T54" i="21"/>
  <c r="S35" i="21"/>
  <c r="AC62" i="21"/>
  <c r="AD62" i="21"/>
  <c r="AH195" i="1"/>
  <c r="AH223" i="1"/>
  <c r="AH194" i="1"/>
  <c r="AI222" i="1"/>
  <c r="AD35" i="21"/>
  <c r="AF307" i="20"/>
  <c r="AC65" i="21"/>
  <c r="T52" i="21"/>
  <c r="V33" i="21"/>
  <c r="AF58" i="21"/>
  <c r="AC66" i="21"/>
  <c r="AF34" i="21"/>
  <c r="AM102" i="20"/>
  <c r="AL9" i="20"/>
  <c r="AL211" i="1" s="1"/>
  <c r="AL202" i="20"/>
  <c r="AL236" i="20"/>
  <c r="AE44" i="21"/>
  <c r="AG241" i="20"/>
  <c r="AH241" i="20" s="1"/>
  <c r="AI241" i="20" s="1"/>
  <c r="AJ241" i="20" s="1"/>
  <c r="AK241" i="20" s="1"/>
  <c r="AL241" i="20" s="1"/>
  <c r="AM241" i="20" s="1"/>
  <c r="AN241" i="20" s="1"/>
  <c r="AO241" i="20" s="1"/>
  <c r="AP241" i="20" s="1"/>
  <c r="AQ241" i="20" s="1"/>
  <c r="AR241" i="20" s="1"/>
  <c r="AS241" i="20" s="1"/>
  <c r="AT241" i="20" s="1"/>
  <c r="AU241" i="20" s="1"/>
  <c r="AV241" i="20" s="1"/>
  <c r="AW241" i="20" s="1"/>
  <c r="AF207" i="20"/>
  <c r="S61" i="21"/>
  <c r="AD66" i="21"/>
  <c r="T58" i="21"/>
  <c r="S39" i="21"/>
  <c r="AE34" i="21"/>
  <c r="AE53" i="21"/>
  <c r="AG388" i="1"/>
  <c r="AG393" i="1" s="1"/>
  <c r="AG307" i="20"/>
  <c r="S33" i="21"/>
  <c r="AD60" i="21"/>
  <c r="AD36" i="21"/>
  <c r="AE55" i="21"/>
  <c r="AD61" i="21"/>
  <c r="AI193" i="1"/>
  <c r="AJ215" i="1"/>
  <c r="AI217" i="1"/>
  <c r="AI69" i="21" s="1"/>
  <c r="AI216" i="1"/>
  <c r="AI336" i="20"/>
  <c r="AH302" i="20"/>
  <c r="AI318" i="20"/>
  <c r="AJ352" i="20"/>
  <c r="AH307" i="20"/>
  <c r="AI107" i="20"/>
  <c r="AH14" i="20"/>
  <c r="AH299" i="1" s="1"/>
  <c r="AH207" i="20"/>
  <c r="Z54" i="21"/>
  <c r="Z35" i="21"/>
  <c r="AA54" i="21"/>
  <c r="R37" i="21"/>
  <c r="R56" i="21"/>
  <c r="S56" i="21"/>
  <c r="V57" i="21"/>
  <c r="W57" i="21"/>
  <c r="V38" i="21"/>
  <c r="Z58" i="21"/>
  <c r="Z39" i="21"/>
  <c r="AA58" i="21"/>
  <c r="W46" i="19"/>
  <c r="AW92" i="1"/>
  <c r="W63" i="19" s="1"/>
  <c r="X34" i="21"/>
  <c r="X45" i="21"/>
  <c r="T47" i="21"/>
  <c r="T36" i="21"/>
  <c r="X38" i="21"/>
  <c r="X49" i="21"/>
  <c r="U35" i="21"/>
  <c r="U54" i="21"/>
  <c r="U56" i="21"/>
  <c r="U37" i="21"/>
  <c r="U39" i="21"/>
  <c r="U58" i="21"/>
  <c r="AA44" i="21"/>
  <c r="Z44" i="21"/>
  <c r="AE47" i="21"/>
  <c r="AE36" i="21"/>
  <c r="AF47" i="21"/>
  <c r="S48" i="21"/>
  <c r="S44" i="21"/>
  <c r="AA45" i="21"/>
  <c r="S49" i="21"/>
  <c r="AF60" i="21"/>
  <c r="AA46" i="21"/>
  <c r="S47" i="21"/>
  <c r="AG521" i="1"/>
  <c r="AG522" i="1" s="1"/>
  <c r="AH513" i="1"/>
  <c r="AG511" i="1"/>
  <c r="AG510" i="1"/>
  <c r="AG509" i="1"/>
  <c r="AG512" i="1"/>
  <c r="AG346" i="20"/>
  <c r="AF312" i="20"/>
  <c r="AH386" i="1"/>
  <c r="AI407" i="1"/>
  <c r="AH387" i="1"/>
  <c r="AH115" i="1"/>
  <c r="AG481" i="1"/>
  <c r="AG482" i="1" s="1"/>
  <c r="AG77" i="1"/>
  <c r="AG471" i="1"/>
  <c r="AG472" i="1"/>
  <c r="AG470" i="1"/>
  <c r="AG469" i="1"/>
  <c r="B31" i="18"/>
  <c r="B26" i="18"/>
  <c r="B27" i="18" s="1"/>
  <c r="R53" i="21"/>
  <c r="S53" i="21"/>
  <c r="R34" i="21"/>
  <c r="R55" i="21"/>
  <c r="R36" i="21"/>
  <c r="S55" i="21"/>
  <c r="V37" i="21"/>
  <c r="V56" i="21"/>
  <c r="W56" i="21"/>
  <c r="Z57" i="21"/>
  <c r="AA57" i="21"/>
  <c r="Z38" i="21"/>
  <c r="X39" i="21"/>
  <c r="X50" i="21"/>
  <c r="X35" i="21"/>
  <c r="X46" i="21"/>
  <c r="T48" i="21"/>
  <c r="T37" i="21"/>
  <c r="Z49" i="21"/>
  <c r="AA49" i="21"/>
  <c r="AF46" i="21"/>
  <c r="AE46" i="21"/>
  <c r="Y35" i="21"/>
  <c r="Y54" i="21"/>
  <c r="Y56" i="21"/>
  <c r="Y37" i="21"/>
  <c r="Y39" i="21"/>
  <c r="Y58" i="21"/>
  <c r="T33" i="21"/>
  <c r="T44" i="21"/>
  <c r="W50" i="21"/>
  <c r="W39" i="21"/>
  <c r="AE37" i="21"/>
  <c r="AE56" i="21"/>
  <c r="AF56" i="21"/>
  <c r="AW76" i="1"/>
  <c r="AV93" i="1"/>
  <c r="Y45" i="21"/>
  <c r="AA48" i="21"/>
  <c r="Y46" i="21"/>
  <c r="V34" i="21"/>
  <c r="Z34" i="21"/>
  <c r="AA47" i="21"/>
  <c r="AH281" i="1"/>
  <c r="AI303" i="1"/>
  <c r="AH122" i="1"/>
  <c r="AH304" i="1"/>
  <c r="AH70" i="21" s="1"/>
  <c r="AH88" i="21" s="1"/>
  <c r="AI113" i="20"/>
  <c r="AH19" i="20"/>
  <c r="AH421" i="1" s="1"/>
  <c r="AH246" i="20"/>
  <c r="AH212" i="20" s="1"/>
  <c r="B44" i="18"/>
  <c r="B101" i="18"/>
  <c r="R54" i="21"/>
  <c r="R35" i="21"/>
  <c r="S54" i="21"/>
  <c r="V55" i="21"/>
  <c r="V36" i="21"/>
  <c r="W55" i="21"/>
  <c r="Z37" i="21"/>
  <c r="Z56" i="21"/>
  <c r="AA56" i="21"/>
  <c r="R58" i="21"/>
  <c r="R39" i="21"/>
  <c r="S58" i="21"/>
  <c r="R50" i="21"/>
  <c r="S50" i="21"/>
  <c r="Z50" i="21"/>
  <c r="AA50" i="21"/>
  <c r="T34" i="21"/>
  <c r="T45" i="21"/>
  <c r="X47" i="21"/>
  <c r="X36" i="21"/>
  <c r="T38" i="21"/>
  <c r="T49" i="21"/>
  <c r="U34" i="21"/>
  <c r="U53" i="21"/>
  <c r="U36" i="21"/>
  <c r="U55" i="21"/>
  <c r="U38" i="21"/>
  <c r="U57" i="21"/>
  <c r="Y50" i="21"/>
  <c r="AE48" i="21"/>
  <c r="AD48" i="21"/>
  <c r="AD37" i="21"/>
  <c r="AD52" i="21"/>
  <c r="AC33" i="21"/>
  <c r="AC52" i="21"/>
  <c r="W46" i="21"/>
  <c r="Y49" i="21"/>
  <c r="W44" i="21"/>
  <c r="W47" i="21"/>
  <c r="U45" i="21"/>
  <c r="W48" i="21"/>
  <c r="W45" i="21"/>
  <c r="AI526" i="1"/>
  <c r="AJ126" i="20"/>
  <c r="AI29" i="20"/>
  <c r="AI322" i="20"/>
  <c r="AI222" i="20"/>
  <c r="AH24" i="20"/>
  <c r="AH473" i="1" s="1"/>
  <c r="AH317" i="20"/>
  <c r="AI118" i="20"/>
  <c r="AH217" i="20"/>
  <c r="AG284" i="1"/>
  <c r="AG285" i="1" s="1"/>
  <c r="AG91" i="1"/>
  <c r="S51" i="19"/>
  <c r="V54" i="21"/>
  <c r="V35" i="21"/>
  <c r="W54" i="21"/>
  <c r="Z55" i="21"/>
  <c r="Z36" i="21"/>
  <c r="AA55" i="21"/>
  <c r="R57" i="21"/>
  <c r="S57" i="21"/>
  <c r="R38" i="21"/>
  <c r="V58" i="21"/>
  <c r="V39" i="21"/>
  <c r="W58" i="21"/>
  <c r="T39" i="21"/>
  <c r="T50" i="21"/>
  <c r="U50" i="21"/>
  <c r="T35" i="21"/>
  <c r="T46" i="21"/>
  <c r="X48" i="21"/>
  <c r="X37" i="21"/>
  <c r="Y34" i="21"/>
  <c r="Y53" i="21"/>
  <c r="Y36" i="21"/>
  <c r="Y55" i="21"/>
  <c r="Y38" i="21"/>
  <c r="Y57" i="21"/>
  <c r="X33" i="21"/>
  <c r="X44" i="21"/>
  <c r="AF36" i="21"/>
  <c r="AF55" i="21"/>
  <c r="U47" i="21"/>
  <c r="S45" i="21"/>
  <c r="U48" i="21"/>
  <c r="AE35" i="21"/>
  <c r="V53" i="21"/>
  <c r="S46" i="21"/>
  <c r="U49" i="21"/>
  <c r="AF64" i="21"/>
  <c r="Z53" i="21"/>
  <c r="U46" i="21"/>
  <c r="W49" i="21"/>
  <c r="AF62" i="21"/>
  <c r="AL85" i="1"/>
  <c r="AM85" i="1" s="1"/>
  <c r="AN85" i="1" s="1"/>
  <c r="AO85" i="1" s="1"/>
  <c r="T56" i="19"/>
  <c r="G91" i="19"/>
  <c r="G31" i="19"/>
  <c r="G32" i="19" s="1"/>
  <c r="E47" i="18"/>
  <c r="F47" i="18" s="1"/>
  <c r="B8" i="12" l="1"/>
  <c r="B11" i="12" s="1"/>
  <c r="I28" i="12" s="1"/>
  <c r="AH388" i="1"/>
  <c r="AH393" i="1" s="1"/>
  <c r="AH403" i="1" s="1"/>
  <c r="S7" i="28"/>
  <c r="AH196" i="1"/>
  <c r="AH197" i="1" s="1"/>
  <c r="AH206" i="1" s="1"/>
  <c r="AG13" i="1"/>
  <c r="AG43" i="1" s="1"/>
  <c r="AJ413" i="1"/>
  <c r="AI283" i="1"/>
  <c r="AJ314" i="1"/>
  <c r="AI282" i="1"/>
  <c r="AI87" i="21"/>
  <c r="AR218" i="20"/>
  <c r="AS120" i="20"/>
  <c r="AR25" i="20"/>
  <c r="AR486" i="1" s="1"/>
  <c r="AM236" i="20"/>
  <c r="AM202" i="20"/>
  <c r="AN102" i="20"/>
  <c r="AM9" i="20"/>
  <c r="AM211" i="1" s="1"/>
  <c r="AI195" i="1"/>
  <c r="AJ222" i="1"/>
  <c r="AI223" i="1"/>
  <c r="AI194" i="1"/>
  <c r="AG207" i="20"/>
  <c r="AH481" i="1"/>
  <c r="AH472" i="1"/>
  <c r="AH471" i="1"/>
  <c r="AH470" i="1"/>
  <c r="AH469" i="1"/>
  <c r="AG294" i="1"/>
  <c r="AG295" i="1" s="1"/>
  <c r="AH284" i="1"/>
  <c r="AH285" i="1" s="1"/>
  <c r="W47" i="19"/>
  <c r="AW93" i="1"/>
  <c r="W64" i="19" s="1"/>
  <c r="AH113" i="1"/>
  <c r="AH116" i="1" s="1"/>
  <c r="AJ336" i="20"/>
  <c r="AI302" i="20"/>
  <c r="AJ193" i="1"/>
  <c r="AK215" i="1"/>
  <c r="AJ217" i="1"/>
  <c r="AJ69" i="21" s="1"/>
  <c r="AJ87" i="21" s="1"/>
  <c r="AJ216" i="1"/>
  <c r="AJ118" i="20"/>
  <c r="AI317" i="20"/>
  <c r="AI24" i="20"/>
  <c r="AI473" i="1" s="1"/>
  <c r="AI217" i="20"/>
  <c r="B102" i="18"/>
  <c r="B34" i="18"/>
  <c r="B36" i="18" s="1"/>
  <c r="B33" i="18"/>
  <c r="B35" i="18" s="1"/>
  <c r="AH346" i="20"/>
  <c r="AG312" i="20"/>
  <c r="AJ318" i="20"/>
  <c r="AK352" i="20"/>
  <c r="S62" i="19"/>
  <c r="AG403" i="1"/>
  <c r="B53" i="18"/>
  <c r="B52" i="18"/>
  <c r="AJ113" i="20"/>
  <c r="AI19" i="20"/>
  <c r="AI421" i="1" s="1"/>
  <c r="AI246" i="20"/>
  <c r="AI212" i="20" s="1"/>
  <c r="AH123" i="1"/>
  <c r="AH121" i="1" s="1"/>
  <c r="AH80" i="1" s="1"/>
  <c r="AH91" i="1" s="1"/>
  <c r="AG94" i="1"/>
  <c r="S65" i="19" s="1"/>
  <c r="AH77" i="1"/>
  <c r="S48" i="19"/>
  <c r="AI386" i="1"/>
  <c r="AJ407" i="1"/>
  <c r="AI387" i="1"/>
  <c r="AI115" i="1"/>
  <c r="AI307" i="20"/>
  <c r="AI14" i="20"/>
  <c r="AI299" i="1" s="1"/>
  <c r="AJ107" i="20"/>
  <c r="AI207" i="20"/>
  <c r="AJ385" i="1"/>
  <c r="AK413" i="1"/>
  <c r="AJ526" i="1"/>
  <c r="AK126" i="20"/>
  <c r="AJ322" i="20"/>
  <c r="AJ29" i="20"/>
  <c r="AJ222" i="20"/>
  <c r="AJ303" i="1"/>
  <c r="AJ122" i="1" s="1"/>
  <c r="AI281" i="1"/>
  <c r="AI304" i="1"/>
  <c r="AI70" i="21" s="1"/>
  <c r="AI88" i="21" s="1"/>
  <c r="AI513" i="1"/>
  <c r="AH521" i="1"/>
  <c r="AH522" i="1" s="1"/>
  <c r="AH510" i="1"/>
  <c r="AH509" i="1"/>
  <c r="AH512" i="1"/>
  <c r="AH511" i="1"/>
  <c r="AI122" i="1"/>
  <c r="AG6" i="21"/>
  <c r="AG8" i="21" s="1"/>
  <c r="AG45" i="21" s="1"/>
  <c r="U56" i="19"/>
  <c r="AP85" i="1"/>
  <c r="AQ85" i="1" s="1"/>
  <c r="AR85" i="1" s="1"/>
  <c r="AS85" i="1" s="1"/>
  <c r="G47" i="18"/>
  <c r="H53" i="28" l="1"/>
  <c r="G53" i="28"/>
  <c r="F53" i="28"/>
  <c r="L14" i="12"/>
  <c r="C28" i="12"/>
  <c r="F28" i="12"/>
  <c r="AG57" i="1"/>
  <c r="AG54" i="1"/>
  <c r="S13" i="19"/>
  <c r="S95" i="19" s="1"/>
  <c r="AG44" i="1"/>
  <c r="AG63" i="1"/>
  <c r="AI196" i="1"/>
  <c r="AI197" i="1" s="1"/>
  <c r="AI206" i="1" s="1"/>
  <c r="T7" i="28"/>
  <c r="AJ283" i="1"/>
  <c r="AK314" i="1"/>
  <c r="AJ282" i="1"/>
  <c r="AG21" i="1"/>
  <c r="S22" i="19" s="1"/>
  <c r="S23" i="19" s="1"/>
  <c r="AI388" i="1"/>
  <c r="AI393" i="1" s="1"/>
  <c r="AI403" i="1" s="1"/>
  <c r="AI404" i="1" s="1"/>
  <c r="AO102" i="20"/>
  <c r="AN9" i="20"/>
  <c r="AN211" i="1" s="1"/>
  <c r="AN202" i="20"/>
  <c r="AN236" i="20"/>
  <c r="AS25" i="20"/>
  <c r="AS486" i="1" s="1"/>
  <c r="AT120" i="20"/>
  <c r="AS218" i="20"/>
  <c r="AJ223" i="1"/>
  <c r="AJ195" i="1"/>
  <c r="AJ194" i="1"/>
  <c r="AK222" i="1"/>
  <c r="AH294" i="1"/>
  <c r="AH21" i="1" s="1"/>
  <c r="AH13" i="1"/>
  <c r="AH6" i="21"/>
  <c r="AH8" i="21" s="1"/>
  <c r="AH45" i="21" s="1"/>
  <c r="B103" i="18"/>
  <c r="AJ123" i="1"/>
  <c r="AJ121" i="1" s="1"/>
  <c r="AJ80" i="1" s="1"/>
  <c r="AK336" i="20"/>
  <c r="AJ302" i="20"/>
  <c r="AI481" i="1"/>
  <c r="AI482" i="1"/>
  <c r="AI472" i="1"/>
  <c r="AI471" i="1"/>
  <c r="AI470" i="1"/>
  <c r="AI469" i="1"/>
  <c r="AK526" i="1"/>
  <c r="AL126" i="20"/>
  <c r="AK29" i="20"/>
  <c r="AK322" i="20"/>
  <c r="AK222" i="20"/>
  <c r="AI113" i="1"/>
  <c r="AI116" i="1" s="1"/>
  <c r="AG9" i="21"/>
  <c r="AG46" i="21" s="1"/>
  <c r="AK318" i="20"/>
  <c r="AL352" i="20"/>
  <c r="AI346" i="20"/>
  <c r="AH312" i="20"/>
  <c r="AK118" i="20"/>
  <c r="AJ317" i="20"/>
  <c r="AJ24" i="20"/>
  <c r="AJ473" i="1" s="1"/>
  <c r="AJ217" i="20"/>
  <c r="AK193" i="1"/>
  <c r="AL215" i="1"/>
  <c r="AK217" i="1"/>
  <c r="AK69" i="21" s="1"/>
  <c r="AK87" i="21" s="1"/>
  <c r="AK216" i="1"/>
  <c r="AG100" i="1"/>
  <c r="AH404" i="1"/>
  <c r="AH482" i="1"/>
  <c r="AG12" i="21"/>
  <c r="AG49" i="21" s="1"/>
  <c r="AG43" i="21"/>
  <c r="AG13" i="21"/>
  <c r="AG50" i="21" s="1"/>
  <c r="AG10" i="21"/>
  <c r="AG47" i="21" s="1"/>
  <c r="AG7" i="21"/>
  <c r="AG11" i="21"/>
  <c r="AG48" i="21" s="1"/>
  <c r="AI284" i="1"/>
  <c r="AI285" i="1" s="1"/>
  <c r="AK385" i="1"/>
  <c r="AL413" i="1"/>
  <c r="AK107" i="20"/>
  <c r="AJ307" i="20"/>
  <c r="AJ14" i="20"/>
  <c r="AJ299" i="1" s="1"/>
  <c r="AJ207" i="20"/>
  <c r="AI123" i="1"/>
  <c r="AI121" i="1" s="1"/>
  <c r="AI80" i="1" s="1"/>
  <c r="AI91" i="1" s="1"/>
  <c r="AJ513" i="1"/>
  <c r="AI521" i="1"/>
  <c r="AI509" i="1"/>
  <c r="AI512" i="1"/>
  <c r="AI511" i="1"/>
  <c r="AI510" i="1"/>
  <c r="AJ281" i="1"/>
  <c r="AK303" i="1"/>
  <c r="AK122" i="1" s="1"/>
  <c r="AJ304" i="1"/>
  <c r="AJ70" i="21" s="1"/>
  <c r="AJ88" i="21" s="1"/>
  <c r="AJ386" i="1"/>
  <c r="AK407" i="1"/>
  <c r="AJ387" i="1"/>
  <c r="AJ115" i="1"/>
  <c r="AH94" i="1"/>
  <c r="AH100" i="1" s="1"/>
  <c r="AI77" i="1"/>
  <c r="AJ19" i="20"/>
  <c r="AJ421" i="1" s="1"/>
  <c r="AK113" i="20"/>
  <c r="AJ246" i="20"/>
  <c r="AJ212" i="20" s="1"/>
  <c r="AG404" i="1"/>
  <c r="B55" i="18"/>
  <c r="AH207" i="1"/>
  <c r="V56" i="19"/>
  <c r="AT85" i="1"/>
  <c r="AU85" i="1" s="1"/>
  <c r="AV85" i="1" s="1"/>
  <c r="AW85" i="1" s="1"/>
  <c r="W56" i="19" s="1"/>
  <c r="H47" i="18"/>
  <c r="I54" i="28" l="1"/>
  <c r="I56" i="28" s="1"/>
  <c r="AJ196" i="1"/>
  <c r="AJ197" i="1" s="1"/>
  <c r="U7" i="28"/>
  <c r="AG22" i="1"/>
  <c r="AG52" i="1" s="1"/>
  <c r="AG51" i="1"/>
  <c r="AG14" i="21"/>
  <c r="AG21" i="21" s="1"/>
  <c r="AL314" i="1"/>
  <c r="AK282" i="1"/>
  <c r="AK283" i="1"/>
  <c r="AL222" i="1"/>
  <c r="AK195" i="1"/>
  <c r="AK223" i="1"/>
  <c r="AK194" i="1"/>
  <c r="AU120" i="20"/>
  <c r="AT218" i="20"/>
  <c r="AT25" i="20"/>
  <c r="AT486" i="1" s="1"/>
  <c r="AP102" i="20"/>
  <c r="AO236" i="20"/>
  <c r="AO202" i="20" s="1"/>
  <c r="AO9" i="20"/>
  <c r="AO211" i="1" s="1"/>
  <c r="AK123" i="1"/>
  <c r="AK121" i="1" s="1"/>
  <c r="AK80" i="1" s="1"/>
  <c r="T51" i="19" s="1"/>
  <c r="AJ91" i="1"/>
  <c r="AI6" i="21"/>
  <c r="AI8" i="21" s="1"/>
  <c r="AI45" i="21" s="1"/>
  <c r="AI294" i="1"/>
  <c r="AI295" i="1" s="1"/>
  <c r="AI13" i="1"/>
  <c r="AJ206" i="1"/>
  <c r="AJ481" i="1"/>
  <c r="AJ482" i="1" s="1"/>
  <c r="AJ472" i="1"/>
  <c r="AJ471" i="1"/>
  <c r="AJ470" i="1"/>
  <c r="AJ469" i="1"/>
  <c r="B62" i="18"/>
  <c r="B82" i="18" s="1"/>
  <c r="B56" i="18"/>
  <c r="AJ388" i="1"/>
  <c r="AJ393" i="1" s="1"/>
  <c r="AG44" i="21"/>
  <c r="AI21" i="1"/>
  <c r="AI207" i="1"/>
  <c r="AJ77" i="1"/>
  <c r="AI94" i="1"/>
  <c r="AI100" i="1" s="1"/>
  <c r="AK386" i="1"/>
  <c r="AL407" i="1"/>
  <c r="AK387" i="1"/>
  <c r="AK115" i="1"/>
  <c r="AL107" i="20"/>
  <c r="AK307" i="20"/>
  <c r="AK14" i="20"/>
  <c r="AK299" i="1" s="1"/>
  <c r="AK207" i="20"/>
  <c r="S71" i="19"/>
  <c r="AJ346" i="20"/>
  <c r="AI312" i="20"/>
  <c r="AG20" i="21"/>
  <c r="AG32" i="21"/>
  <c r="AG51" i="21"/>
  <c r="AG19" i="21"/>
  <c r="AG15" i="21"/>
  <c r="AG18" i="21"/>
  <c r="AH22" i="1"/>
  <c r="AH52" i="1" s="1"/>
  <c r="AH51" i="1"/>
  <c r="AH14" i="21"/>
  <c r="AH16" i="21" s="1"/>
  <c r="AK19" i="20"/>
  <c r="AK421" i="1" s="1"/>
  <c r="AL113" i="20"/>
  <c r="AK246" i="20"/>
  <c r="AK212" i="20" s="1"/>
  <c r="AK281" i="1"/>
  <c r="AL303" i="1"/>
  <c r="AK304" i="1"/>
  <c r="AK70" i="21" s="1"/>
  <c r="AK88" i="21" s="1"/>
  <c r="AJ521" i="1"/>
  <c r="AJ522" i="1" s="1"/>
  <c r="AK513" i="1"/>
  <c r="AJ512" i="1"/>
  <c r="AJ511" i="1"/>
  <c r="AJ510" i="1"/>
  <c r="AJ509" i="1"/>
  <c r="AL385" i="1"/>
  <c r="AM413" i="1"/>
  <c r="AL193" i="1"/>
  <c r="AM215" i="1"/>
  <c r="AL217" i="1"/>
  <c r="AL69" i="21" s="1"/>
  <c r="AL87" i="21" s="1"/>
  <c r="AL216" i="1"/>
  <c r="AL318" i="20"/>
  <c r="AM352" i="20"/>
  <c r="AL526" i="1"/>
  <c r="AM126" i="20"/>
  <c r="AL322" i="20"/>
  <c r="AL29" i="20"/>
  <c r="AL222" i="20"/>
  <c r="B104" i="18"/>
  <c r="AH13" i="21"/>
  <c r="AH50" i="21" s="1"/>
  <c r="AH12" i="21"/>
  <c r="AH49" i="21" s="1"/>
  <c r="AH43" i="21"/>
  <c r="AH10" i="21"/>
  <c r="AH47" i="21" s="1"/>
  <c r="AH7" i="21"/>
  <c r="AH44" i="21" s="1"/>
  <c r="AH9" i="21"/>
  <c r="AH46" i="21" s="1"/>
  <c r="AH11" i="21"/>
  <c r="AH48" i="21" s="1"/>
  <c r="AH295" i="1"/>
  <c r="AJ113" i="1"/>
  <c r="AJ116" i="1" s="1"/>
  <c r="AJ284" i="1"/>
  <c r="AJ285" i="1" s="1"/>
  <c r="AI522" i="1"/>
  <c r="AK24" i="20"/>
  <c r="AK473" i="1" s="1"/>
  <c r="AL118" i="20"/>
  <c r="AK317" i="20"/>
  <c r="AK217" i="20"/>
  <c r="AL336" i="20"/>
  <c r="AK302" i="20"/>
  <c r="AH57" i="1"/>
  <c r="AH54" i="1"/>
  <c r="AH43" i="1"/>
  <c r="AH44" i="1"/>
  <c r="AG23" i="1"/>
  <c r="I47" i="18"/>
  <c r="AJ13" i="1" l="1"/>
  <c r="AK388" i="1"/>
  <c r="AK393" i="1" s="1"/>
  <c r="V7" i="28"/>
  <c r="AL283" i="1"/>
  <c r="AM314" i="1"/>
  <c r="AL282" i="1"/>
  <c r="AG16" i="21"/>
  <c r="AH53" i="21" s="1"/>
  <c r="AG17" i="21"/>
  <c r="AK196" i="1"/>
  <c r="AK197" i="1" s="1"/>
  <c r="AK206" i="1" s="1"/>
  <c r="AP9" i="20"/>
  <c r="AP211" i="1" s="1"/>
  <c r="AQ102" i="20"/>
  <c r="AP236" i="20"/>
  <c r="AP202" i="20"/>
  <c r="AV120" i="20"/>
  <c r="AU25" i="20"/>
  <c r="AU486" i="1" s="1"/>
  <c r="AU218" i="20"/>
  <c r="AL195" i="1"/>
  <c r="AM222" i="1"/>
  <c r="AL223" i="1"/>
  <c r="AL194" i="1"/>
  <c r="AJ403" i="1"/>
  <c r="AJ404" i="1" s="1"/>
  <c r="AJ57" i="1"/>
  <c r="AJ54" i="1"/>
  <c r="AJ43" i="1"/>
  <c r="AJ44" i="1"/>
  <c r="AK481" i="1"/>
  <c r="AK472" i="1"/>
  <c r="AK471" i="1"/>
  <c r="AK470" i="1"/>
  <c r="AK469" i="1"/>
  <c r="AL302" i="20"/>
  <c r="AM336" i="20"/>
  <c r="AM526" i="1"/>
  <c r="AN126" i="20"/>
  <c r="AM29" i="20"/>
  <c r="AM322" i="20"/>
  <c r="AM222" i="20"/>
  <c r="AK521" i="1"/>
  <c r="AK522" i="1" s="1"/>
  <c r="AL513" i="1"/>
  <c r="AK511" i="1"/>
  <c r="AK510" i="1"/>
  <c r="AK509" i="1"/>
  <c r="AK512" i="1"/>
  <c r="AL281" i="1"/>
  <c r="AM303" i="1"/>
  <c r="AM122" i="1" s="1"/>
  <c r="AL304" i="1"/>
  <c r="AL70" i="21" s="1"/>
  <c r="AL88" i="21" s="1"/>
  <c r="AM113" i="20"/>
  <c r="AL19" i="20"/>
  <c r="AL421" i="1" s="1"/>
  <c r="AL246" i="20"/>
  <c r="AL212" i="20" s="1"/>
  <c r="AG58" i="21"/>
  <c r="AG39" i="21"/>
  <c r="AK113" i="1"/>
  <c r="AK116" i="1" s="1"/>
  <c r="T100" i="19" s="1"/>
  <c r="T97" i="19" s="1"/>
  <c r="AH34" i="21"/>
  <c r="B57" i="18"/>
  <c r="B68" i="18"/>
  <c r="AJ207" i="1"/>
  <c r="AG34" i="1"/>
  <c r="S35" i="19" s="1"/>
  <c r="AG25" i="1"/>
  <c r="S24" i="19"/>
  <c r="AG22" i="21"/>
  <c r="AG53" i="1"/>
  <c r="AL24" i="20"/>
  <c r="AL473" i="1" s="1"/>
  <c r="AL317" i="20"/>
  <c r="AM118" i="20"/>
  <c r="AL217" i="20"/>
  <c r="AM385" i="1"/>
  <c r="AN413" i="1"/>
  <c r="AK284" i="1"/>
  <c r="AK285" i="1" s="1"/>
  <c r="AG36" i="21"/>
  <c r="AG55" i="21"/>
  <c r="AK346" i="20"/>
  <c r="AJ312" i="20"/>
  <c r="B83" i="18"/>
  <c r="B120" i="18"/>
  <c r="B139" i="18" s="1"/>
  <c r="AI57" i="1"/>
  <c r="AI54" i="1"/>
  <c r="AI43" i="1"/>
  <c r="AI44" i="1"/>
  <c r="AK403" i="1"/>
  <c r="AK404" i="1" s="1"/>
  <c r="B105" i="18"/>
  <c r="AN352" i="20"/>
  <c r="AM318" i="20"/>
  <c r="AL122" i="1"/>
  <c r="AG33" i="21"/>
  <c r="AG52" i="21"/>
  <c r="AL14" i="20"/>
  <c r="AL299" i="1" s="1"/>
  <c r="AL307" i="20"/>
  <c r="AM107" i="20"/>
  <c r="AL207" i="20"/>
  <c r="AL387" i="1"/>
  <c r="AL386" i="1"/>
  <c r="AM407" i="1"/>
  <c r="AL115" i="1"/>
  <c r="AK77" i="1"/>
  <c r="AJ94" i="1"/>
  <c r="AJ100" i="1" s="1"/>
  <c r="AI23" i="1"/>
  <c r="AK91" i="1"/>
  <c r="AJ294" i="1"/>
  <c r="AM193" i="1"/>
  <c r="AN215" i="1"/>
  <c r="AM217" i="1"/>
  <c r="AM69" i="21" s="1"/>
  <c r="AM87" i="21" s="1"/>
  <c r="AM216" i="1"/>
  <c r="AH32" i="21"/>
  <c r="AH21" i="21"/>
  <c r="AH39" i="21" s="1"/>
  <c r="AH20" i="21"/>
  <c r="AH51" i="21"/>
  <c r="AH19" i="21"/>
  <c r="AH17" i="21"/>
  <c r="AH15" i="21"/>
  <c r="AH33" i="21" s="1"/>
  <c r="AH18" i="21"/>
  <c r="AG56" i="21"/>
  <c r="AG37" i="21"/>
  <c r="AG38" i="21"/>
  <c r="AG57" i="21"/>
  <c r="AI51" i="1"/>
  <c r="AI22" i="1"/>
  <c r="AI52" i="1" s="1"/>
  <c r="AI14" i="21"/>
  <c r="AI16" i="21" s="1"/>
  <c r="AH23" i="1"/>
  <c r="AJ6" i="21"/>
  <c r="AJ8" i="21" s="1"/>
  <c r="AJ45" i="21" s="1"/>
  <c r="AI13" i="21"/>
  <c r="AI50" i="21" s="1"/>
  <c r="AI12" i="21"/>
  <c r="AI49" i="21" s="1"/>
  <c r="AI43" i="21"/>
  <c r="AI9" i="21"/>
  <c r="AI46" i="21" s="1"/>
  <c r="AI7" i="21"/>
  <c r="AI44" i="21" s="1"/>
  <c r="AI10" i="21"/>
  <c r="AI47" i="21" s="1"/>
  <c r="AI11" i="21"/>
  <c r="AI48" i="21" s="1"/>
  <c r="J47" i="18"/>
  <c r="AJ21" i="1" l="1"/>
  <c r="W7" i="28"/>
  <c r="AL196" i="1"/>
  <c r="AL197" i="1" s="1"/>
  <c r="AL206" i="1" s="1"/>
  <c r="AG53" i="21"/>
  <c r="AG34" i="21"/>
  <c r="AL388" i="1"/>
  <c r="AL393" i="1" s="1"/>
  <c r="AL403" i="1" s="1"/>
  <c r="AL404" i="1" s="1"/>
  <c r="AM282" i="1"/>
  <c r="AM283" i="1"/>
  <c r="AN314" i="1"/>
  <c r="AG54" i="21"/>
  <c r="AG35" i="21"/>
  <c r="AR102" i="20"/>
  <c r="AQ236" i="20"/>
  <c r="AQ202" i="20"/>
  <c r="AQ9" i="20"/>
  <c r="AQ211" i="1" s="1"/>
  <c r="AJ295" i="1"/>
  <c r="AJ23" i="1" s="1"/>
  <c r="AK13" i="1"/>
  <c r="AK43" i="1" s="1"/>
  <c r="AM223" i="1"/>
  <c r="AM195" i="1"/>
  <c r="AN222" i="1"/>
  <c r="AM194" i="1"/>
  <c r="AW120" i="20"/>
  <c r="AV25" i="20"/>
  <c r="AV486" i="1" s="1"/>
  <c r="AV218" i="20"/>
  <c r="AL481" i="1"/>
  <c r="AL472" i="1"/>
  <c r="AL471" i="1"/>
  <c r="AL470" i="1"/>
  <c r="AL469" i="1"/>
  <c r="AJ22" i="1"/>
  <c r="AJ52" i="1" s="1"/>
  <c r="AJ14" i="21"/>
  <c r="AJ51" i="1"/>
  <c r="AH25" i="1"/>
  <c r="AH26" i="1" s="1"/>
  <c r="AH53" i="1"/>
  <c r="AH22" i="21"/>
  <c r="AH36" i="21"/>
  <c r="AH55" i="21"/>
  <c r="AI34" i="21"/>
  <c r="AI53" i="21"/>
  <c r="AM386" i="1"/>
  <c r="AN407" i="1"/>
  <c r="AM387" i="1"/>
  <c r="AM115" i="1"/>
  <c r="AM307" i="20"/>
  <c r="AM14" i="20"/>
  <c r="AM299" i="1" s="1"/>
  <c r="AN107" i="20"/>
  <c r="AM207" i="20"/>
  <c r="B106" i="18"/>
  <c r="AL346" i="20"/>
  <c r="AK312" i="20"/>
  <c r="C22" i="18"/>
  <c r="C29" i="18"/>
  <c r="S26" i="19"/>
  <c r="AG55" i="1"/>
  <c r="AK294" i="1"/>
  <c r="AK295" i="1" s="1"/>
  <c r="AK6" i="21"/>
  <c r="AK8" i="21" s="1"/>
  <c r="AK45" i="21" s="1"/>
  <c r="AI21" i="21"/>
  <c r="AI20" i="21"/>
  <c r="AI51" i="21"/>
  <c r="AI32" i="21"/>
  <c r="AI19" i="21"/>
  <c r="AI17" i="21"/>
  <c r="AI18" i="21"/>
  <c r="AI15" i="21"/>
  <c r="AH38" i="21"/>
  <c r="AH57" i="21"/>
  <c r="AJ16" i="21"/>
  <c r="AH52" i="21"/>
  <c r="AL123" i="1"/>
  <c r="AL121" i="1" s="1"/>
  <c r="AL80" i="1" s="1"/>
  <c r="B84" i="18"/>
  <c r="B121" i="18"/>
  <c r="B140" i="18" s="1"/>
  <c r="AN118" i="20"/>
  <c r="AM317" i="20"/>
  <c r="AM24" i="20"/>
  <c r="AM473" i="1" s="1"/>
  <c r="AM217" i="20"/>
  <c r="AG26" i="1"/>
  <c r="AM513" i="1"/>
  <c r="AL521" i="1"/>
  <c r="AL522" i="1" s="1"/>
  <c r="AL510" i="1"/>
  <c r="AL509" i="1"/>
  <c r="AL512" i="1"/>
  <c r="AL511" i="1"/>
  <c r="AN526" i="1"/>
  <c r="AO126" i="20"/>
  <c r="AN322" i="20"/>
  <c r="AN29" i="20"/>
  <c r="AN222" i="20"/>
  <c r="AJ9" i="21"/>
  <c r="AJ46" i="21" s="1"/>
  <c r="AH35" i="21"/>
  <c r="AH54" i="21"/>
  <c r="AM123" i="1"/>
  <c r="AM121" i="1" s="1"/>
  <c r="AM80" i="1" s="1"/>
  <c r="T62" i="19"/>
  <c r="AK94" i="1"/>
  <c r="T65" i="19" s="1"/>
  <c r="AL77" i="1"/>
  <c r="T48" i="19"/>
  <c r="AN385" i="1"/>
  <c r="AO413" i="1"/>
  <c r="AG28" i="21"/>
  <c r="AG65" i="21" s="1"/>
  <c r="AG59" i="21"/>
  <c r="AG29" i="21"/>
  <c r="AG66" i="21" s="1"/>
  <c r="AG27" i="21"/>
  <c r="AG64" i="21" s="1"/>
  <c r="AG23" i="21"/>
  <c r="AG60" i="21" s="1"/>
  <c r="AG26" i="21"/>
  <c r="AG63" i="21" s="1"/>
  <c r="AG24" i="21"/>
  <c r="AG61" i="21" s="1"/>
  <c r="AG25" i="21"/>
  <c r="AG62" i="21" s="1"/>
  <c r="AM281" i="1"/>
  <c r="AN303" i="1"/>
  <c r="AN122" i="1" s="1"/>
  <c r="AM304" i="1"/>
  <c r="AM70" i="21" s="1"/>
  <c r="AM88" i="21" s="1"/>
  <c r="AK21" i="1"/>
  <c r="T22" i="19" s="1"/>
  <c r="AK207" i="1"/>
  <c r="AJ43" i="21"/>
  <c r="AJ13" i="21"/>
  <c r="AJ50" i="21" s="1"/>
  <c r="AJ12" i="21"/>
  <c r="AJ49" i="21" s="1"/>
  <c r="AJ11" i="21"/>
  <c r="AJ48" i="21" s="1"/>
  <c r="AJ7" i="21"/>
  <c r="AJ44" i="21" s="1"/>
  <c r="AJ10" i="21"/>
  <c r="AJ47" i="21" s="1"/>
  <c r="AH37" i="21"/>
  <c r="AH56" i="21"/>
  <c r="AO215" i="1"/>
  <c r="AN193" i="1"/>
  <c r="AN217" i="1"/>
  <c r="AN69" i="21" s="1"/>
  <c r="AN87" i="21" s="1"/>
  <c r="AN216" i="1"/>
  <c r="AI25" i="1"/>
  <c r="AI53" i="1"/>
  <c r="AI22" i="21"/>
  <c r="AL113" i="1"/>
  <c r="AL116" i="1" s="1"/>
  <c r="AO352" i="20"/>
  <c r="AN318" i="20"/>
  <c r="AM388" i="1"/>
  <c r="AM393" i="1" s="1"/>
  <c r="AH58" i="21"/>
  <c r="AN113" i="20"/>
  <c r="AM19" i="20"/>
  <c r="AM421" i="1" s="1"/>
  <c r="AM246" i="20"/>
  <c r="AM212" i="20" s="1"/>
  <c r="AL284" i="1"/>
  <c r="AL285" i="1" s="1"/>
  <c r="AN336" i="20"/>
  <c r="AM302" i="20"/>
  <c r="AK482" i="1"/>
  <c r="AJ17" i="21"/>
  <c r="K47" i="18"/>
  <c r="AM196" i="1" l="1"/>
  <c r="AM197" i="1" s="1"/>
  <c r="AK100" i="1"/>
  <c r="X7" i="28"/>
  <c r="AK54" i="1"/>
  <c r="AN283" i="1"/>
  <c r="AO314" i="1"/>
  <c r="AN282" i="1"/>
  <c r="T13" i="19"/>
  <c r="T95" i="19" s="1"/>
  <c r="AK57" i="1"/>
  <c r="AN223" i="1"/>
  <c r="AN194" i="1"/>
  <c r="AO222" i="1"/>
  <c r="AN195" i="1"/>
  <c r="AK44" i="1"/>
  <c r="AW218" i="20"/>
  <c r="AW25" i="20"/>
  <c r="AW486" i="1" s="1"/>
  <c r="AR9" i="20"/>
  <c r="AR211" i="1" s="1"/>
  <c r="AS102" i="20"/>
  <c r="AR236" i="20"/>
  <c r="AR202" i="20" s="1"/>
  <c r="AM206" i="1"/>
  <c r="AL13" i="1"/>
  <c r="AL6" i="21"/>
  <c r="AL8" i="21" s="1"/>
  <c r="AL45" i="21" s="1"/>
  <c r="AL294" i="1"/>
  <c r="AL21" i="1" s="1"/>
  <c r="AM481" i="1"/>
  <c r="AM482" i="1" s="1"/>
  <c r="AM472" i="1"/>
  <c r="AM471" i="1"/>
  <c r="AM470" i="1"/>
  <c r="AM469" i="1"/>
  <c r="AM403" i="1"/>
  <c r="AM404" i="1" s="1"/>
  <c r="AL91" i="1"/>
  <c r="AJ25" i="1"/>
  <c r="AJ22" i="21"/>
  <c r="AJ53" i="1"/>
  <c r="E29" i="18"/>
  <c r="E22" i="18"/>
  <c r="AI55" i="1"/>
  <c r="AK23" i="1"/>
  <c r="AO385" i="1"/>
  <c r="AP413" i="1"/>
  <c r="AJ53" i="21"/>
  <c r="AJ34" i="21"/>
  <c r="AI36" i="21"/>
  <c r="AI55" i="21"/>
  <c r="AL207" i="1"/>
  <c r="AO107" i="20"/>
  <c r="AN307" i="20"/>
  <c r="AN14" i="20"/>
  <c r="AN299" i="1" s="1"/>
  <c r="AN207" i="20"/>
  <c r="AH28" i="1"/>
  <c r="O8" i="28" s="1"/>
  <c r="AH56" i="1"/>
  <c r="AO336" i="20"/>
  <c r="AN302" i="20"/>
  <c r="AN19" i="20"/>
  <c r="AN421" i="1" s="1"/>
  <c r="AO113" i="20"/>
  <c r="AN246" i="20"/>
  <c r="AN212" i="20" s="1"/>
  <c r="AI29" i="21"/>
  <c r="AI28" i="21"/>
  <c r="AI59" i="21"/>
  <c r="AI25" i="21"/>
  <c r="AI26" i="21"/>
  <c r="AI24" i="21"/>
  <c r="AI23" i="21"/>
  <c r="AI27" i="21"/>
  <c r="AN123" i="1"/>
  <c r="AN121" i="1" s="1"/>
  <c r="AN80" i="1" s="1"/>
  <c r="AN281" i="1"/>
  <c r="AO303" i="1"/>
  <c r="AO122" i="1" s="1"/>
  <c r="AN304" i="1"/>
  <c r="AN70" i="21" s="1"/>
  <c r="AN88" i="21" s="1"/>
  <c r="AO526" i="1"/>
  <c r="AP126" i="20"/>
  <c r="AO29" i="20"/>
  <c r="AO322" i="20"/>
  <c r="AO222" i="20"/>
  <c r="AI35" i="21"/>
  <c r="AI54" i="21"/>
  <c r="AI38" i="21"/>
  <c r="AI57" i="21"/>
  <c r="B107" i="18"/>
  <c r="AN386" i="1"/>
  <c r="AO407" i="1"/>
  <c r="AN387" i="1"/>
  <c r="AN115" i="1"/>
  <c r="AH59" i="21"/>
  <c r="AH28" i="21"/>
  <c r="AH65" i="21" s="1"/>
  <c r="AH29" i="21"/>
  <c r="AH66" i="21" s="1"/>
  <c r="AH27" i="21"/>
  <c r="AH64" i="21" s="1"/>
  <c r="AH23" i="21"/>
  <c r="AH60" i="21" s="1"/>
  <c r="AH26" i="21"/>
  <c r="AH63" i="21" s="1"/>
  <c r="AH25" i="21"/>
  <c r="AH62" i="21" s="1"/>
  <c r="AH24" i="21"/>
  <c r="AH61" i="21" s="1"/>
  <c r="D22" i="18"/>
  <c r="D29" i="18"/>
  <c r="AH55" i="1"/>
  <c r="AO193" i="1"/>
  <c r="AP215" i="1"/>
  <c r="AO217" i="1"/>
  <c r="AO69" i="21" s="1"/>
  <c r="AO87" i="21" s="1"/>
  <c r="AO216" i="1"/>
  <c r="AK14" i="21"/>
  <c r="AK22" i="1"/>
  <c r="AK52" i="1" s="1"/>
  <c r="AK51" i="1"/>
  <c r="AM284" i="1"/>
  <c r="AM285" i="1" s="1"/>
  <c r="T71" i="19"/>
  <c r="AN513" i="1"/>
  <c r="AM521" i="1"/>
  <c r="AM522" i="1" s="1"/>
  <c r="AM509" i="1"/>
  <c r="AM512" i="1"/>
  <c r="AM511" i="1"/>
  <c r="AM510" i="1"/>
  <c r="B85" i="18"/>
  <c r="B122" i="18"/>
  <c r="B141" i="18" s="1"/>
  <c r="AI56" i="21"/>
  <c r="AI37" i="21"/>
  <c r="AI39" i="21"/>
  <c r="AI58" i="21"/>
  <c r="T24" i="19"/>
  <c r="AJ21" i="21"/>
  <c r="AJ20" i="21"/>
  <c r="AJ32" i="21"/>
  <c r="AJ51" i="21"/>
  <c r="AJ19" i="21"/>
  <c r="AJ15" i="21"/>
  <c r="AJ18" i="21"/>
  <c r="AJ54" i="21"/>
  <c r="AJ35" i="21"/>
  <c r="AO318" i="20"/>
  <c r="AP352" i="20"/>
  <c r="AI26" i="1"/>
  <c r="AM77" i="1"/>
  <c r="AL94" i="1"/>
  <c r="AG28" i="1"/>
  <c r="N8" i="28" s="1"/>
  <c r="N12" i="28" s="1"/>
  <c r="N13" i="28" s="1"/>
  <c r="S27" i="19"/>
  <c r="AG56" i="1"/>
  <c r="AO118" i="20"/>
  <c r="AN317" i="20"/>
  <c r="AN24" i="20"/>
  <c r="AN473" i="1" s="1"/>
  <c r="AN217" i="20"/>
  <c r="AI33" i="21"/>
  <c r="AI52" i="21"/>
  <c r="AK13" i="21"/>
  <c r="AK50" i="21" s="1"/>
  <c r="AK12" i="21"/>
  <c r="AK49" i="21" s="1"/>
  <c r="AK43" i="21"/>
  <c r="AK7" i="21"/>
  <c r="AK44" i="21" s="1"/>
  <c r="AK10" i="21"/>
  <c r="AK47" i="21" s="1"/>
  <c r="AK11" i="21"/>
  <c r="AK48" i="21" s="1"/>
  <c r="AK9" i="21"/>
  <c r="AK46" i="21" s="1"/>
  <c r="AM346" i="20"/>
  <c r="AL312" i="20"/>
  <c r="AM113" i="1"/>
  <c r="AM116" i="1" s="1"/>
  <c r="AL482" i="1"/>
  <c r="L47" i="18"/>
  <c r="Y7" i="28" l="1"/>
  <c r="AP314" i="1"/>
  <c r="AO282" i="1"/>
  <c r="AO283" i="1"/>
  <c r="AN196" i="1"/>
  <c r="AN197" i="1" s="1"/>
  <c r="AN206" i="1" s="1"/>
  <c r="AS9" i="20"/>
  <c r="AS211" i="1" s="1"/>
  <c r="AS236" i="20"/>
  <c r="AS202" i="20"/>
  <c r="AT102" i="20"/>
  <c r="T23" i="19"/>
  <c r="AN388" i="1"/>
  <c r="AO195" i="1"/>
  <c r="AO223" i="1"/>
  <c r="AO194" i="1"/>
  <c r="AP222" i="1"/>
  <c r="AM6" i="21"/>
  <c r="AM13" i="1"/>
  <c r="AM294" i="1"/>
  <c r="AM21" i="1" s="1"/>
  <c r="AN481" i="1"/>
  <c r="AN482" i="1" s="1"/>
  <c r="AN472" i="1"/>
  <c r="AN471" i="1"/>
  <c r="AN470" i="1"/>
  <c r="AN469" i="1"/>
  <c r="AN346" i="20"/>
  <c r="AM312" i="20"/>
  <c r="AJ36" i="21"/>
  <c r="AJ55" i="21"/>
  <c r="AN521" i="1"/>
  <c r="AN522" i="1"/>
  <c r="AO513" i="1"/>
  <c r="AN512" i="1"/>
  <c r="AN511" i="1"/>
  <c r="AN510" i="1"/>
  <c r="AN509" i="1"/>
  <c r="AK21" i="21"/>
  <c r="AK20" i="21"/>
  <c r="AK51" i="21"/>
  <c r="AK32" i="21"/>
  <c r="AK19" i="21"/>
  <c r="AK18" i="21"/>
  <c r="AK15" i="21"/>
  <c r="AK17" i="21"/>
  <c r="AP193" i="1"/>
  <c r="AQ215" i="1"/>
  <c r="AP217" i="1"/>
  <c r="AP69" i="21" s="1"/>
  <c r="AP87" i="21" s="1"/>
  <c r="AP216" i="1"/>
  <c r="AN113" i="1"/>
  <c r="AN116" i="1" s="1"/>
  <c r="AN393" i="1"/>
  <c r="AI61" i="21"/>
  <c r="AI65" i="21"/>
  <c r="AH140" i="1"/>
  <c r="AH33" i="1"/>
  <c r="D15" i="18"/>
  <c r="D23" i="18" s="1"/>
  <c r="D25" i="18" s="1"/>
  <c r="AH58" i="1"/>
  <c r="AH66" i="1"/>
  <c r="AH67" i="1"/>
  <c r="AP107" i="20"/>
  <c r="AO307" i="20"/>
  <c r="AO14" i="20"/>
  <c r="AO299" i="1" s="1"/>
  <c r="AO207" i="20"/>
  <c r="AK25" i="1"/>
  <c r="AK26" i="1" s="1"/>
  <c r="AK53" i="1"/>
  <c r="AK22" i="21"/>
  <c r="AJ29" i="21"/>
  <c r="AJ66" i="21" s="1"/>
  <c r="AJ28" i="21"/>
  <c r="AJ65" i="21" s="1"/>
  <c r="AJ59" i="21"/>
  <c r="AJ26" i="21"/>
  <c r="AJ63" i="21" s="1"/>
  <c r="AJ27" i="21"/>
  <c r="AJ64" i="21" s="1"/>
  <c r="AJ25" i="21"/>
  <c r="AJ62" i="21" s="1"/>
  <c r="AJ23" i="21"/>
  <c r="AJ60" i="21" s="1"/>
  <c r="AJ24" i="21"/>
  <c r="AJ61" i="21" s="1"/>
  <c r="AL57" i="1"/>
  <c r="AL54" i="1"/>
  <c r="AL43" i="1"/>
  <c r="AL44" i="1"/>
  <c r="AP318" i="20"/>
  <c r="AQ352" i="20"/>
  <c r="AN77" i="1"/>
  <c r="AM94" i="1"/>
  <c r="AJ33" i="21"/>
  <c r="AJ52" i="21"/>
  <c r="AJ57" i="21"/>
  <c r="AJ38" i="21"/>
  <c r="B86" i="18"/>
  <c r="B123" i="18"/>
  <c r="B142" i="18" s="1"/>
  <c r="B108" i="18"/>
  <c r="AP526" i="1"/>
  <c r="AQ126" i="20"/>
  <c r="AP322" i="20"/>
  <c r="AP29" i="20"/>
  <c r="AP222" i="20"/>
  <c r="AI63" i="21"/>
  <c r="AI66" i="21"/>
  <c r="AP336" i="20"/>
  <c r="AO302" i="20"/>
  <c r="AP385" i="1"/>
  <c r="AQ413" i="1"/>
  <c r="F22" i="18"/>
  <c r="F29" i="18"/>
  <c r="AJ55" i="1"/>
  <c r="AM91" i="1"/>
  <c r="AL100" i="1"/>
  <c r="AO24" i="20"/>
  <c r="AO473" i="1" s="1"/>
  <c r="AP118" i="20"/>
  <c r="AO317" i="20"/>
  <c r="AO217" i="20"/>
  <c r="AG106" i="1"/>
  <c r="AG140" i="1"/>
  <c r="S29" i="19"/>
  <c r="K21" i="28" s="1"/>
  <c r="C15" i="18"/>
  <c r="C23" i="18" s="1"/>
  <c r="C25" i="18" s="1"/>
  <c r="C31" i="18" s="1"/>
  <c r="AG147" i="1"/>
  <c r="AG67" i="1"/>
  <c r="AG66" i="1"/>
  <c r="AG58" i="1"/>
  <c r="AI28" i="1"/>
  <c r="P8" i="28" s="1"/>
  <c r="AI56" i="1"/>
  <c r="AJ37" i="21"/>
  <c r="AJ56" i="21"/>
  <c r="AJ58" i="21"/>
  <c r="AJ39" i="21"/>
  <c r="AO386" i="1"/>
  <c r="AP407" i="1"/>
  <c r="AO387" i="1"/>
  <c r="AO115" i="1"/>
  <c r="AO281" i="1"/>
  <c r="AP303" i="1"/>
  <c r="AO304" i="1"/>
  <c r="AO70" i="21" s="1"/>
  <c r="AO88" i="21" s="1"/>
  <c r="AI64" i="21"/>
  <c r="AI62" i="21"/>
  <c r="AO19" i="20"/>
  <c r="AO421" i="1" s="1"/>
  <c r="AP113" i="20"/>
  <c r="AO246" i="20"/>
  <c r="AO212" i="20" s="1"/>
  <c r="AJ26" i="1"/>
  <c r="AL295" i="1"/>
  <c r="AO123" i="1"/>
  <c r="AO121" i="1" s="1"/>
  <c r="AO80" i="1" s="1"/>
  <c r="U51" i="19" s="1"/>
  <c r="AK16" i="21"/>
  <c r="AN284" i="1"/>
  <c r="AN285" i="1" s="1"/>
  <c r="AI60" i="21"/>
  <c r="AL22" i="1"/>
  <c r="AL52" i="1" s="1"/>
  <c r="AL51" i="1"/>
  <c r="AL14" i="21"/>
  <c r="AL16" i="21" s="1"/>
  <c r="AL13" i="21"/>
  <c r="AL50" i="21" s="1"/>
  <c r="AL12" i="21"/>
  <c r="AL49" i="21" s="1"/>
  <c r="AL43" i="21"/>
  <c r="AL11" i="21"/>
  <c r="AL48" i="21" s="1"/>
  <c r="AL7" i="21"/>
  <c r="AL44" i="21" s="1"/>
  <c r="AL10" i="21"/>
  <c r="AL47" i="21" s="1"/>
  <c r="AL9" i="21"/>
  <c r="AL46" i="21" s="1"/>
  <c r="AM207" i="1"/>
  <c r="M47" i="18"/>
  <c r="N6" i="28" l="1"/>
  <c r="AH168" i="1"/>
  <c r="O9" i="28"/>
  <c r="O12" i="28" s="1"/>
  <c r="O13" i="28" s="1"/>
  <c r="AO196" i="1"/>
  <c r="AO197" i="1" s="1"/>
  <c r="Z7" i="28"/>
  <c r="AO388" i="1"/>
  <c r="AO393" i="1" s="1"/>
  <c r="AO403" i="1" s="1"/>
  <c r="AO404" i="1" s="1"/>
  <c r="AP282" i="1"/>
  <c r="AQ314" i="1"/>
  <c r="AP283" i="1"/>
  <c r="AN6" i="21"/>
  <c r="AN12" i="21" s="1"/>
  <c r="AT9" i="20"/>
  <c r="AT211" i="1" s="1"/>
  <c r="AU102" i="20"/>
  <c r="AT236" i="20"/>
  <c r="AT202" i="20" s="1"/>
  <c r="AP223" i="1"/>
  <c r="AP194" i="1"/>
  <c r="AQ222" i="1"/>
  <c r="AP195" i="1"/>
  <c r="AN13" i="21"/>
  <c r="AN7" i="21"/>
  <c r="AO206" i="1"/>
  <c r="AL34" i="21"/>
  <c r="AL53" i="21"/>
  <c r="AO481" i="1"/>
  <c r="AO472" i="1"/>
  <c r="AO471" i="1"/>
  <c r="AO470" i="1"/>
  <c r="AO469" i="1"/>
  <c r="AM51" i="1"/>
  <c r="AM22" i="1"/>
  <c r="AM52" i="1" s="1"/>
  <c r="AM14" i="21"/>
  <c r="AP281" i="1"/>
  <c r="AQ303" i="1"/>
  <c r="AQ122" i="1" s="1"/>
  <c r="AP304" i="1"/>
  <c r="AP70" i="21" s="1"/>
  <c r="AP88" i="21" s="1"/>
  <c r="AP386" i="1"/>
  <c r="AP387" i="1"/>
  <c r="AQ407" i="1"/>
  <c r="AP115" i="1"/>
  <c r="AG172" i="1"/>
  <c r="AH106" i="1"/>
  <c r="P9" i="28" s="1"/>
  <c r="P12" i="28" s="1"/>
  <c r="P13" i="28" s="1"/>
  <c r="S77" i="19"/>
  <c r="C4" i="18"/>
  <c r="C6" i="18" s="1"/>
  <c r="AG108" i="1"/>
  <c r="AG131" i="1"/>
  <c r="AG148" i="1"/>
  <c r="K18" i="28" s="1"/>
  <c r="K29" i="28" s="1"/>
  <c r="AG128" i="1"/>
  <c r="AG132" i="1" s="1"/>
  <c r="AG145" i="1"/>
  <c r="AG146" i="1"/>
  <c r="AP24" i="20"/>
  <c r="AP473" i="1" s="1"/>
  <c r="AQ118" i="20"/>
  <c r="AP317" i="20"/>
  <c r="AP217" i="20"/>
  <c r="AQ385" i="1"/>
  <c r="AR413" i="1"/>
  <c r="AO77" i="1"/>
  <c r="AN94" i="1"/>
  <c r="AK28" i="1"/>
  <c r="R8" i="28" s="1"/>
  <c r="AK56" i="1"/>
  <c r="AH142" i="1"/>
  <c r="AH63" i="1"/>
  <c r="AK37" i="21"/>
  <c r="AK56" i="21"/>
  <c r="AK39" i="21"/>
  <c r="AK58" i="21"/>
  <c r="AM13" i="21"/>
  <c r="AM50" i="21" s="1"/>
  <c r="AM12" i="21"/>
  <c r="AM49" i="21" s="1"/>
  <c r="AM43" i="21"/>
  <c r="AM9" i="21"/>
  <c r="AM46" i="21" s="1"/>
  <c r="AM11" i="21"/>
  <c r="AM48" i="21" s="1"/>
  <c r="AM10" i="21"/>
  <c r="AM47" i="21" s="1"/>
  <c r="AM7" i="21"/>
  <c r="AM44" i="21" s="1"/>
  <c r="AK34" i="21"/>
  <c r="AK53" i="21"/>
  <c r="AO284" i="1"/>
  <c r="AO285" i="1" s="1"/>
  <c r="AN13" i="1"/>
  <c r="AQ336" i="20"/>
  <c r="AP302" i="20"/>
  <c r="B109" i="18"/>
  <c r="G29" i="18"/>
  <c r="G22" i="18"/>
  <c r="AK55" i="1"/>
  <c r="T26" i="19"/>
  <c r="AP307" i="20"/>
  <c r="AQ107" i="20"/>
  <c r="AP14" i="20"/>
  <c r="AP299" i="1" s="1"/>
  <c r="AP207" i="20"/>
  <c r="AH141" i="1"/>
  <c r="AN403" i="1"/>
  <c r="AN404" i="1" s="1"/>
  <c r="AK35" i="21"/>
  <c r="AK54" i="21"/>
  <c r="AO346" i="20"/>
  <c r="AN312" i="20"/>
  <c r="AM8" i="21"/>
  <c r="AM45" i="21" s="1"/>
  <c r="AN294" i="1"/>
  <c r="AN295" i="1" s="1"/>
  <c r="AP19" i="20"/>
  <c r="AP421" i="1" s="1"/>
  <c r="AQ113" i="20"/>
  <c r="AP246" i="20"/>
  <c r="AP212" i="20" s="1"/>
  <c r="AO113" i="1"/>
  <c r="AO116" i="1" s="1"/>
  <c r="U100" i="19" s="1"/>
  <c r="U97" i="19" s="1"/>
  <c r="S37" i="19"/>
  <c r="B87" i="18"/>
  <c r="B124" i="18"/>
  <c r="B143" i="18" s="1"/>
  <c r="AQ318" i="20"/>
  <c r="AR352" i="20"/>
  <c r="AK28" i="21"/>
  <c r="AK65" i="21" s="1"/>
  <c r="AK59" i="21"/>
  <c r="AK29" i="21"/>
  <c r="AK66" i="21" s="1"/>
  <c r="AK25" i="21"/>
  <c r="AK62" i="21" s="1"/>
  <c r="AK27" i="21"/>
  <c r="AK64" i="21" s="1"/>
  <c r="AK23" i="21"/>
  <c r="AK60" i="21" s="1"/>
  <c r="AK24" i="21"/>
  <c r="AK61" i="21" s="1"/>
  <c r="AK26" i="21"/>
  <c r="AK63" i="21" s="1"/>
  <c r="D31" i="18"/>
  <c r="AQ193" i="1"/>
  <c r="AR215" i="1"/>
  <c r="AQ217" i="1"/>
  <c r="AQ69" i="21" s="1"/>
  <c r="AQ87" i="21" s="1"/>
  <c r="AQ216" i="1"/>
  <c r="AK33" i="21"/>
  <c r="AK52" i="21"/>
  <c r="AO521" i="1"/>
  <c r="AO522" i="1"/>
  <c r="AP513" i="1"/>
  <c r="AO511" i="1"/>
  <c r="AO510" i="1"/>
  <c r="AO509" i="1"/>
  <c r="AO512" i="1"/>
  <c r="AM16" i="21"/>
  <c r="AM295" i="1"/>
  <c r="AL32" i="21"/>
  <c r="AL51" i="21"/>
  <c r="AL21" i="21"/>
  <c r="AL20" i="21"/>
  <c r="AL18" i="21"/>
  <c r="AL15" i="21"/>
  <c r="AL17" i="21"/>
  <c r="AL19" i="21"/>
  <c r="AJ28" i="1"/>
  <c r="AJ56" i="1"/>
  <c r="T27" i="19"/>
  <c r="E15" i="18"/>
  <c r="E23" i="18" s="1"/>
  <c r="E25" i="18" s="1"/>
  <c r="AI140" i="1"/>
  <c r="AK151" i="1" s="1"/>
  <c r="AI33" i="1"/>
  <c r="AI66" i="1"/>
  <c r="AI67" i="1"/>
  <c r="AI58" i="1"/>
  <c r="AG141" i="1"/>
  <c r="AG142" i="1" s="1"/>
  <c r="AI151" i="1"/>
  <c r="AJ151" i="1"/>
  <c r="AN91" i="1"/>
  <c r="AM100" i="1"/>
  <c r="AN207" i="1"/>
  <c r="AL23" i="1"/>
  <c r="AQ526" i="1"/>
  <c r="AR126" i="20"/>
  <c r="AQ322" i="20"/>
  <c r="AQ29" i="20"/>
  <c r="AQ222" i="20"/>
  <c r="AP122" i="1"/>
  <c r="AK36" i="21"/>
  <c r="AK55" i="21"/>
  <c r="AK38" i="21"/>
  <c r="AK57" i="21"/>
  <c r="AM57" i="1"/>
  <c r="AM54" i="1"/>
  <c r="AM43" i="1"/>
  <c r="AM44" i="1"/>
  <c r="N47" i="18"/>
  <c r="AN9" i="21" l="1"/>
  <c r="AH147" i="1"/>
  <c r="AP388" i="1"/>
  <c r="AP393" i="1" s="1"/>
  <c r="T29" i="19"/>
  <c r="L21" i="28" s="1"/>
  <c r="L22" i="28" s="1"/>
  <c r="Q8" i="28"/>
  <c r="AN10" i="21"/>
  <c r="AN47" i="21" s="1"/>
  <c r="AN43" i="21"/>
  <c r="L20" i="28"/>
  <c r="AN11" i="21"/>
  <c r="AN8" i="21"/>
  <c r="L5" i="27"/>
  <c r="O6" i="28"/>
  <c r="B30" i="28"/>
  <c r="AA7" i="28"/>
  <c r="AN21" i="1"/>
  <c r="AN45" i="21"/>
  <c r="AN46" i="21"/>
  <c r="AI168" i="1"/>
  <c r="AR314" i="1"/>
  <c r="AQ283" i="1"/>
  <c r="AQ282" i="1"/>
  <c r="AP196" i="1"/>
  <c r="AP197" i="1" s="1"/>
  <c r="AP206" i="1" s="1"/>
  <c r="AU9" i="20"/>
  <c r="AU211" i="1" s="1"/>
  <c r="AU236" i="20"/>
  <c r="AU202" i="20" s="1"/>
  <c r="AV102" i="20"/>
  <c r="S91" i="19"/>
  <c r="B14" i="17" s="1"/>
  <c r="B16" i="17" s="1"/>
  <c r="B18" i="17" s="1"/>
  <c r="S92" i="19"/>
  <c r="AQ194" i="1"/>
  <c r="AQ196" i="1" s="1"/>
  <c r="AQ197" i="1" s="1"/>
  <c r="AR222" i="1"/>
  <c r="AQ223" i="1"/>
  <c r="AQ195" i="1"/>
  <c r="AP481" i="1"/>
  <c r="AP482" i="1" s="1"/>
  <c r="AP472" i="1"/>
  <c r="AP471" i="1"/>
  <c r="AP470" i="1"/>
  <c r="AP469" i="1"/>
  <c r="AP403" i="1"/>
  <c r="AO6" i="21"/>
  <c r="AO13" i="1"/>
  <c r="U13" i="19" s="1"/>
  <c r="U95" i="19" s="1"/>
  <c r="AO294" i="1"/>
  <c r="AO21" i="1" s="1"/>
  <c r="U22" i="19" s="1"/>
  <c r="AP123" i="1"/>
  <c r="AP121" i="1" s="1"/>
  <c r="AP80" i="1" s="1"/>
  <c r="AL25" i="1"/>
  <c r="AL53" i="1"/>
  <c r="AL22" i="21"/>
  <c r="AI142" i="1"/>
  <c r="AI63" i="1"/>
  <c r="AL36" i="21"/>
  <c r="AL55" i="21"/>
  <c r="AS352" i="20"/>
  <c r="AR318" i="20"/>
  <c r="AO94" i="1"/>
  <c r="U65" i="19" s="1"/>
  <c r="AP77" i="1"/>
  <c r="U48" i="19"/>
  <c r="S79" i="19"/>
  <c r="AG73" i="1"/>
  <c r="AG109" i="1"/>
  <c r="S80" i="19" s="1"/>
  <c r="AP284" i="1"/>
  <c r="AP285" i="1" s="1"/>
  <c r="AP13" i="1" s="1"/>
  <c r="AN48" i="21"/>
  <c r="AL58" i="21"/>
  <c r="AL39" i="21"/>
  <c r="AN23" i="1"/>
  <c r="AO91" i="1"/>
  <c r="AN100" i="1"/>
  <c r="AI141" i="1"/>
  <c r="AL37" i="21"/>
  <c r="AL56" i="21"/>
  <c r="AL38" i="21"/>
  <c r="AL57" i="21"/>
  <c r="AQ123" i="1"/>
  <c r="AQ121" i="1" s="1"/>
  <c r="AQ80" i="1" s="1"/>
  <c r="AR107" i="20"/>
  <c r="AQ307" i="20"/>
  <c r="AQ14" i="20"/>
  <c r="AQ299" i="1" s="1"/>
  <c r="AQ207" i="20"/>
  <c r="AN57" i="1"/>
  <c r="AN54" i="1"/>
  <c r="AN43" i="1"/>
  <c r="AN44" i="1"/>
  <c r="G15" i="18"/>
  <c r="G23" i="18" s="1"/>
  <c r="G25" i="18" s="1"/>
  <c r="AK33" i="1"/>
  <c r="AK67" i="1"/>
  <c r="AK58" i="1"/>
  <c r="AK140" i="1"/>
  <c r="AK66" i="1"/>
  <c r="AR385" i="1"/>
  <c r="AS413" i="1"/>
  <c r="AQ24" i="20"/>
  <c r="AQ473" i="1" s="1"/>
  <c r="AR118" i="20"/>
  <c r="AQ317" i="20"/>
  <c r="AQ217" i="20"/>
  <c r="C12" i="18"/>
  <c r="C51" i="18" s="1"/>
  <c r="AM21" i="21"/>
  <c r="AM20" i="21"/>
  <c r="AM51" i="21"/>
  <c r="AM32" i="21"/>
  <c r="AM15" i="21"/>
  <c r="AM17" i="21"/>
  <c r="AM19" i="21"/>
  <c r="AM18" i="21"/>
  <c r="AN49" i="21"/>
  <c r="AQ19" i="20"/>
  <c r="AQ421" i="1" s="1"/>
  <c r="AR113" i="20"/>
  <c r="AQ246" i="20"/>
  <c r="AQ212" i="20" s="1"/>
  <c r="AR336" i="20"/>
  <c r="AQ302" i="20"/>
  <c r="S17" i="5"/>
  <c r="AP113" i="1"/>
  <c r="AP116" i="1" s="1"/>
  <c r="AO207" i="1"/>
  <c r="AN44" i="21"/>
  <c r="AN50" i="21"/>
  <c r="AR526" i="1"/>
  <c r="AS126" i="20"/>
  <c r="AR29" i="20"/>
  <c r="AR322" i="20"/>
  <c r="AR222" i="20"/>
  <c r="AJ33" i="1"/>
  <c r="F15" i="18"/>
  <c r="F23" i="18" s="1"/>
  <c r="F25" i="18" s="1"/>
  <c r="AJ140" i="1"/>
  <c r="AJ58" i="1"/>
  <c r="AJ66" i="1"/>
  <c r="AJ67" i="1"/>
  <c r="AL35" i="21"/>
  <c r="AL54" i="21"/>
  <c r="AM34" i="21"/>
  <c r="AM53" i="21"/>
  <c r="AP522" i="1"/>
  <c r="AQ513" i="1"/>
  <c r="AP521" i="1"/>
  <c r="AP510" i="1"/>
  <c r="AP509" i="1"/>
  <c r="AP512" i="1"/>
  <c r="AP511" i="1"/>
  <c r="AR193" i="1"/>
  <c r="AS215" i="1"/>
  <c r="AR217" i="1"/>
  <c r="AR69" i="21" s="1"/>
  <c r="AR87" i="21" s="1"/>
  <c r="AR216" i="1"/>
  <c r="AN14" i="21"/>
  <c r="AN16" i="21" s="1"/>
  <c r="AN22" i="1"/>
  <c r="AN52" i="1" s="1"/>
  <c r="AN51" i="1"/>
  <c r="E31" i="18"/>
  <c r="AL33" i="21"/>
  <c r="AL52" i="21"/>
  <c r="B88" i="18"/>
  <c r="B125" i="18"/>
  <c r="B144" i="18" s="1"/>
  <c r="AM23" i="1"/>
  <c r="AP346" i="20"/>
  <c r="AO312" i="20"/>
  <c r="B110" i="18"/>
  <c r="D4" i="18"/>
  <c r="D6" i="18" s="1"/>
  <c r="D12" i="18" s="1"/>
  <c r="D34" i="18" s="1"/>
  <c r="D36" i="18" s="1"/>
  <c r="AH108" i="1"/>
  <c r="AI106" i="1"/>
  <c r="AH146" i="1"/>
  <c r="AH131" i="1"/>
  <c r="AH172" i="1"/>
  <c r="AH145" i="1"/>
  <c r="AH128" i="1"/>
  <c r="AH132" i="1" s="1"/>
  <c r="AQ386" i="1"/>
  <c r="AR407" i="1"/>
  <c r="AQ387" i="1"/>
  <c r="AQ115" i="1"/>
  <c r="AQ281" i="1"/>
  <c r="AR303" i="1"/>
  <c r="AR122" i="1" s="1"/>
  <c r="AQ304" i="1"/>
  <c r="AQ70" i="21" s="1"/>
  <c r="AQ88" i="21" s="1"/>
  <c r="AO482" i="1"/>
  <c r="O47" i="18"/>
  <c r="T37" i="19" l="1"/>
  <c r="T96" i="19" s="1"/>
  <c r="AJ168" i="1"/>
  <c r="Q9" i="28"/>
  <c r="Q12" i="28" s="1"/>
  <c r="Q13" i="28" s="1"/>
  <c r="L25" i="28"/>
  <c r="L26" i="28" s="1"/>
  <c r="L28" i="28"/>
  <c r="L31" i="28" s="1"/>
  <c r="AB7" i="28"/>
  <c r="T34" i="19"/>
  <c r="AQ388" i="1"/>
  <c r="U23" i="19"/>
  <c r="AS314" i="1"/>
  <c r="AR282" i="1"/>
  <c r="AR283" i="1"/>
  <c r="AR223" i="1"/>
  <c r="AR194" i="1"/>
  <c r="AR195" i="1"/>
  <c r="AS222" i="1"/>
  <c r="AV236" i="20"/>
  <c r="AV202" i="20" s="1"/>
  <c r="AW102" i="20"/>
  <c r="AV9" i="20"/>
  <c r="AV211" i="1" s="1"/>
  <c r="AR123" i="1"/>
  <c r="AR121" i="1" s="1"/>
  <c r="AR80" i="1" s="1"/>
  <c r="AP57" i="1"/>
  <c r="AP54" i="1"/>
  <c r="AP43" i="1"/>
  <c r="AP44" i="1"/>
  <c r="AQ481" i="1"/>
  <c r="AQ482" i="1" s="1"/>
  <c r="AQ472" i="1"/>
  <c r="AQ471" i="1"/>
  <c r="AQ470" i="1"/>
  <c r="AQ469" i="1"/>
  <c r="AN53" i="21"/>
  <c r="AN34" i="21"/>
  <c r="AI108" i="1"/>
  <c r="E4" i="18"/>
  <c r="E6" i="18" s="1"/>
  <c r="AJ106" i="1"/>
  <c r="AI146" i="1"/>
  <c r="AI145" i="1"/>
  <c r="AI172" i="1"/>
  <c r="AI131" i="1"/>
  <c r="AI128" i="1"/>
  <c r="AI132" i="1" s="1"/>
  <c r="AI147" i="1"/>
  <c r="B89" i="18"/>
  <c r="B126" i="18"/>
  <c r="B145" i="18" s="1"/>
  <c r="F31" i="18"/>
  <c r="AQ393" i="1"/>
  <c r="AS113" i="20"/>
  <c r="AR19" i="20"/>
  <c r="AR421" i="1" s="1"/>
  <c r="AR246" i="20"/>
  <c r="AR212" i="20" s="1"/>
  <c r="AM35" i="21"/>
  <c r="AM54" i="21"/>
  <c r="AM38" i="21"/>
  <c r="AM57" i="21"/>
  <c r="AK142" i="1"/>
  <c r="AK63" i="1"/>
  <c r="H29" i="18"/>
  <c r="H22" i="18"/>
  <c r="AL55" i="1"/>
  <c r="AO57" i="1"/>
  <c r="AO54" i="1"/>
  <c r="AO43" i="1"/>
  <c r="AO44" i="1"/>
  <c r="AP6" i="21"/>
  <c r="AP8" i="21" s="1"/>
  <c r="AQ284" i="1"/>
  <c r="AQ285" i="1" s="1"/>
  <c r="AQ113" i="1"/>
  <c r="AQ116" i="1" s="1"/>
  <c r="AH109" i="1"/>
  <c r="AH73" i="1"/>
  <c r="B111" i="18"/>
  <c r="B70" i="18"/>
  <c r="AQ346" i="20"/>
  <c r="AP312" i="20"/>
  <c r="AS193" i="1"/>
  <c r="AT215" i="1"/>
  <c r="AS217" i="1"/>
  <c r="AS69" i="21" s="1"/>
  <c r="AS87" i="21" s="1"/>
  <c r="AS216" i="1"/>
  <c r="AQ521" i="1"/>
  <c r="AR513" i="1"/>
  <c r="AQ509" i="1"/>
  <c r="AQ512" i="1"/>
  <c r="AQ511" i="1"/>
  <c r="AQ510" i="1"/>
  <c r="AJ142" i="1"/>
  <c r="B42" i="17" s="1"/>
  <c r="AJ63" i="1"/>
  <c r="AS526" i="1"/>
  <c r="AT126" i="20"/>
  <c r="AS322" i="20"/>
  <c r="AS29" i="20"/>
  <c r="AS222" i="20"/>
  <c r="AS336" i="20"/>
  <c r="AR302" i="20"/>
  <c r="AM33" i="21"/>
  <c r="AM52" i="21"/>
  <c r="AM39" i="21"/>
  <c r="AM58" i="21"/>
  <c r="AS385" i="1"/>
  <c r="AT413" i="1"/>
  <c r="AK141" i="1"/>
  <c r="G31" i="18"/>
  <c r="AN25" i="1"/>
  <c r="AN22" i="21"/>
  <c r="AN53" i="1"/>
  <c r="AT352" i="20"/>
  <c r="AS318" i="20"/>
  <c r="AL59" i="21"/>
  <c r="AL28" i="21"/>
  <c r="AL65" i="21" s="1"/>
  <c r="AL29" i="21"/>
  <c r="AL66" i="21" s="1"/>
  <c r="AL25" i="21"/>
  <c r="AL62" i="21" s="1"/>
  <c r="AL27" i="21"/>
  <c r="AL64" i="21" s="1"/>
  <c r="AL26" i="21"/>
  <c r="AL63" i="21" s="1"/>
  <c r="AL23" i="21"/>
  <c r="AL60" i="21" s="1"/>
  <c r="AL24" i="21"/>
  <c r="AL61" i="21" s="1"/>
  <c r="AO13" i="21"/>
  <c r="AO50" i="21" s="1"/>
  <c r="AO12" i="21"/>
  <c r="AO49" i="21" s="1"/>
  <c r="AO43" i="21"/>
  <c r="AO9" i="21"/>
  <c r="AO46" i="21" s="1"/>
  <c r="AO7" i="21"/>
  <c r="AO44" i="21" s="1"/>
  <c r="AO11" i="21"/>
  <c r="AO48" i="21" s="1"/>
  <c r="AO10" i="21"/>
  <c r="AO47" i="21" s="1"/>
  <c r="AM25" i="1"/>
  <c r="AM26" i="1" s="1"/>
  <c r="AM53" i="1"/>
  <c r="AM22" i="21"/>
  <c r="AQ206" i="1"/>
  <c r="AR196" i="1"/>
  <c r="AR197" i="1" s="1"/>
  <c r="AM36" i="21"/>
  <c r="AM55" i="21"/>
  <c r="AG180" i="1"/>
  <c r="AG179" i="1" s="1"/>
  <c r="S44" i="19"/>
  <c r="AG87" i="1"/>
  <c r="AP294" i="1"/>
  <c r="AP295" i="1" s="1"/>
  <c r="AO8" i="21"/>
  <c r="AO45" i="21" s="1"/>
  <c r="AP404" i="1"/>
  <c r="AR281" i="1"/>
  <c r="AS303" i="1"/>
  <c r="AR304" i="1"/>
  <c r="AR70" i="21" s="1"/>
  <c r="AR88" i="21" s="1"/>
  <c r="AR387" i="1"/>
  <c r="AR386" i="1"/>
  <c r="AS407" i="1"/>
  <c r="AR115" i="1"/>
  <c r="D51" i="18"/>
  <c r="D101" i="18"/>
  <c r="D44" i="18"/>
  <c r="D26" i="18"/>
  <c r="D27" i="18" s="1"/>
  <c r="AN21" i="21"/>
  <c r="AN20" i="21"/>
  <c r="AN32" i="21"/>
  <c r="AN51" i="21"/>
  <c r="AN18" i="21"/>
  <c r="AN19" i="21"/>
  <c r="AN15" i="21"/>
  <c r="AJ141" i="1"/>
  <c r="J5" i="27"/>
  <c r="AM151" i="1"/>
  <c r="AL151" i="1"/>
  <c r="AO14" i="21"/>
  <c r="AO51" i="1"/>
  <c r="AO22" i="1"/>
  <c r="AO52" i="1" s="1"/>
  <c r="AM56" i="21"/>
  <c r="AM37" i="21"/>
  <c r="C26" i="18"/>
  <c r="C27" i="18" s="1"/>
  <c r="C101" i="18"/>
  <c r="C44" i="18"/>
  <c r="C34" i="18"/>
  <c r="C36" i="18" s="1"/>
  <c r="AR317" i="20"/>
  <c r="AR24" i="20"/>
  <c r="AR473" i="1" s="1"/>
  <c r="AS118" i="20"/>
  <c r="AR217" i="20"/>
  <c r="AR14" i="20"/>
  <c r="AR299" i="1" s="1"/>
  <c r="AS107" i="20"/>
  <c r="AR307" i="20"/>
  <c r="AR207" i="20"/>
  <c r="AP91" i="1"/>
  <c r="AO100" i="1"/>
  <c r="U62" i="19"/>
  <c r="AQ77" i="1"/>
  <c r="AP94" i="1"/>
  <c r="AN17" i="21"/>
  <c r="AL26" i="1"/>
  <c r="AO295" i="1"/>
  <c r="AO23" i="1" s="1"/>
  <c r="AP207" i="1"/>
  <c r="P47" i="18"/>
  <c r="P6" i="28" l="1"/>
  <c r="AP21" i="1"/>
  <c r="AP51" i="1" s="1"/>
  <c r="R9" i="28"/>
  <c r="R12" i="28" s="1"/>
  <c r="R13" i="28" s="1"/>
  <c r="AC7" i="28"/>
  <c r="AS282" i="1"/>
  <c r="AS283" i="1"/>
  <c r="AT314" i="1"/>
  <c r="AQ6" i="21"/>
  <c r="AQ9" i="21" s="1"/>
  <c r="AQ13" i="1"/>
  <c r="AQ43" i="1" s="1"/>
  <c r="AQ294" i="1"/>
  <c r="AQ295" i="1" s="1"/>
  <c r="AS223" i="1"/>
  <c r="AS195" i="1"/>
  <c r="AS194" i="1"/>
  <c r="AT222" i="1"/>
  <c r="AR388" i="1"/>
  <c r="AR393" i="1" s="1"/>
  <c r="AR403" i="1" s="1"/>
  <c r="AR404" i="1" s="1"/>
  <c r="M5" i="27"/>
  <c r="AW9" i="20"/>
  <c r="AW211" i="1" s="1"/>
  <c r="AW202" i="20"/>
  <c r="AW236" i="20"/>
  <c r="AR481" i="1"/>
  <c r="AR482" i="1" s="1"/>
  <c r="AR472" i="1"/>
  <c r="AR471" i="1"/>
  <c r="AR470" i="1"/>
  <c r="AR469" i="1"/>
  <c r="AO25" i="1"/>
  <c r="AO53" i="1"/>
  <c r="AO22" i="21"/>
  <c r="U24" i="19"/>
  <c r="U26" i="19"/>
  <c r="AL28" i="1"/>
  <c r="S8" i="28" s="1"/>
  <c r="AL56" i="1"/>
  <c r="AR77" i="1"/>
  <c r="AQ94" i="1"/>
  <c r="AN37" i="21"/>
  <c r="AN56" i="21"/>
  <c r="AN57" i="21"/>
  <c r="AN38" i="21"/>
  <c r="S58" i="19"/>
  <c r="S90" i="19" s="1"/>
  <c r="AG110" i="1"/>
  <c r="AQ54" i="1"/>
  <c r="AM29" i="21"/>
  <c r="AM66" i="21" s="1"/>
  <c r="AM28" i="21"/>
  <c r="AM65" i="21" s="1"/>
  <c r="AM59" i="21"/>
  <c r="AM26" i="21"/>
  <c r="AM63" i="21" s="1"/>
  <c r="AM25" i="21"/>
  <c r="AM62" i="21" s="1"/>
  <c r="AM27" i="21"/>
  <c r="AM64" i="21" s="1"/>
  <c r="AM23" i="21"/>
  <c r="AM60" i="21" s="1"/>
  <c r="AM24" i="21"/>
  <c r="AM61" i="21" s="1"/>
  <c r="AN29" i="21"/>
  <c r="AN66" i="21" s="1"/>
  <c r="AN28" i="21"/>
  <c r="AN65" i="21" s="1"/>
  <c r="AN59" i="21"/>
  <c r="AN27" i="21"/>
  <c r="AN26" i="21"/>
  <c r="AN24" i="21"/>
  <c r="AN25" i="21"/>
  <c r="AN23" i="21"/>
  <c r="AU413" i="1"/>
  <c r="AT385" i="1"/>
  <c r="AU215" i="1"/>
  <c r="AT193" i="1"/>
  <c r="AT216" i="1"/>
  <c r="AT217" i="1"/>
  <c r="AP13" i="21"/>
  <c r="AP50" i="21" s="1"/>
  <c r="AP12" i="21"/>
  <c r="AP49" i="21" s="1"/>
  <c r="AP43" i="21"/>
  <c r="AP10" i="21"/>
  <c r="AP47" i="21" s="1"/>
  <c r="AP11" i="21"/>
  <c r="AP48" i="21" s="1"/>
  <c r="AP7" i="21"/>
  <c r="AP44" i="21" s="1"/>
  <c r="AP9" i="21"/>
  <c r="AP46" i="21" s="1"/>
  <c r="AS19" i="20"/>
  <c r="AS421" i="1" s="1"/>
  <c r="AT113" i="20"/>
  <c r="AS246" i="20"/>
  <c r="AS212" i="20"/>
  <c r="E12" i="18"/>
  <c r="E51" i="18" s="1"/>
  <c r="AR206" i="1"/>
  <c r="AU352" i="20"/>
  <c r="AT318" i="20"/>
  <c r="J29" i="18"/>
  <c r="J22" i="18"/>
  <c r="AN55" i="1"/>
  <c r="AU126" i="20"/>
  <c r="AT526" i="1"/>
  <c r="AT322" i="20"/>
  <c r="AT29" i="20"/>
  <c r="AT222" i="20"/>
  <c r="B112" i="18"/>
  <c r="AQ403" i="1"/>
  <c r="AI109" i="1"/>
  <c r="AI73" i="1"/>
  <c r="AN58" i="21"/>
  <c r="AN39" i="21"/>
  <c r="AR113" i="1"/>
  <c r="AR116" i="1" s="1"/>
  <c r="AO24" i="21"/>
  <c r="U71" i="19"/>
  <c r="AS307" i="20"/>
  <c r="AS14" i="20"/>
  <c r="AS299" i="1" s="1"/>
  <c r="AT107" i="20"/>
  <c r="AS207" i="20"/>
  <c r="C53" i="18"/>
  <c r="C55" i="18" s="1"/>
  <c r="C52" i="18"/>
  <c r="D53" i="18"/>
  <c r="D55" i="18" s="1"/>
  <c r="D52" i="18"/>
  <c r="AS386" i="1"/>
  <c r="AT407" i="1"/>
  <c r="AS387" i="1"/>
  <c r="AS115" i="1"/>
  <c r="AT303" i="1"/>
  <c r="AS281" i="1"/>
  <c r="AS304" i="1"/>
  <c r="AS70" i="21" s="1"/>
  <c r="AS88" i="21" s="1"/>
  <c r="AG171" i="1"/>
  <c r="AG68" i="21"/>
  <c r="AG170" i="1"/>
  <c r="AG173" i="1" s="1"/>
  <c r="C33" i="18"/>
  <c r="C35" i="18" s="1"/>
  <c r="AG178" i="1"/>
  <c r="AG184" i="1"/>
  <c r="S87" i="19" s="1"/>
  <c r="AM28" i="1"/>
  <c r="T8" i="28" s="1"/>
  <c r="AM56" i="1"/>
  <c r="AN26" i="1"/>
  <c r="AS513" i="1"/>
  <c r="AR521" i="1"/>
  <c r="AR522" i="1"/>
  <c r="AR512" i="1"/>
  <c r="AR511" i="1"/>
  <c r="AR510" i="1"/>
  <c r="AR509" i="1"/>
  <c r="B90" i="18"/>
  <c r="B127" i="18"/>
  <c r="B146" i="18" s="1"/>
  <c r="AN54" i="21"/>
  <c r="AN35" i="21"/>
  <c r="AT118" i="20"/>
  <c r="AS317" i="20"/>
  <c r="AS24" i="20"/>
  <c r="AS473" i="1" s="1"/>
  <c r="AS217" i="20"/>
  <c r="AO21" i="21"/>
  <c r="AO20" i="21"/>
  <c r="AO51" i="21"/>
  <c r="AO32" i="21"/>
  <c r="AO15" i="21"/>
  <c r="AO17" i="21"/>
  <c r="AO18" i="21"/>
  <c r="AO19" i="21"/>
  <c r="AN36" i="21"/>
  <c r="AN55" i="21"/>
  <c r="AP23" i="1"/>
  <c r="AO16" i="21"/>
  <c r="AP100" i="1"/>
  <c r="AQ91" i="1"/>
  <c r="C102" i="18"/>
  <c r="AN33" i="21"/>
  <c r="AN52" i="21"/>
  <c r="D102" i="18"/>
  <c r="AR284" i="1"/>
  <c r="AR285" i="1" s="1"/>
  <c r="AP45" i="21"/>
  <c r="AQ207" i="1"/>
  <c r="I22" i="18"/>
  <c r="I29" i="18"/>
  <c r="AM55" i="1"/>
  <c r="AT336" i="20"/>
  <c r="AS302" i="20"/>
  <c r="AQ522" i="1"/>
  <c r="AS122" i="1"/>
  <c r="AR346" i="20"/>
  <c r="AQ312" i="20"/>
  <c r="AH87" i="1"/>
  <c r="AH110" i="1" s="1"/>
  <c r="AH180" i="1"/>
  <c r="AH179" i="1" s="1"/>
  <c r="AJ147" i="1"/>
  <c r="AK168" i="1"/>
  <c r="AJ128" i="1"/>
  <c r="AJ132" i="1" s="1"/>
  <c r="AJ131" i="1"/>
  <c r="AJ172" i="1"/>
  <c r="AJ145" i="1"/>
  <c r="F4" i="18"/>
  <c r="F6" i="18" s="1"/>
  <c r="AJ108" i="1"/>
  <c r="AK106" i="1"/>
  <c r="AJ146" i="1"/>
  <c r="Q47" i="18"/>
  <c r="AQ57" i="1" l="1"/>
  <c r="AP22" i="1"/>
  <c r="AP52" i="1" s="1"/>
  <c r="AO61" i="21"/>
  <c r="AP14" i="21"/>
  <c r="AP16" i="21" s="1"/>
  <c r="AP53" i="21" s="1"/>
  <c r="AQ44" i="1"/>
  <c r="AS196" i="1"/>
  <c r="AS197" i="1" s="1"/>
  <c r="AQ46" i="21"/>
  <c r="S9" i="28"/>
  <c r="S12" i="28" s="1"/>
  <c r="S13" i="28" s="1"/>
  <c r="Q6" i="28"/>
  <c r="AQ21" i="1"/>
  <c r="AQ14" i="21" s="1"/>
  <c r="AQ17" i="21" s="1"/>
  <c r="AD7" i="28"/>
  <c r="AQ8" i="21"/>
  <c r="AQ45" i="21" s="1"/>
  <c r="AS388" i="1"/>
  <c r="AN63" i="21"/>
  <c r="AQ10" i="21"/>
  <c r="AQ47" i="21" s="1"/>
  <c r="AQ43" i="21"/>
  <c r="AQ404" i="1"/>
  <c r="AT282" i="1"/>
  <c r="AT283" i="1"/>
  <c r="AU314" i="1"/>
  <c r="AQ12" i="21"/>
  <c r="AQ49" i="21" s="1"/>
  <c r="AQ13" i="21"/>
  <c r="AQ50" i="21" s="1"/>
  <c r="AU222" i="1"/>
  <c r="AT195" i="1"/>
  <c r="AT223" i="1"/>
  <c r="AT194" i="1"/>
  <c r="AK147" i="1"/>
  <c r="AN60" i="21"/>
  <c r="AN64" i="21"/>
  <c r="AQ11" i="21"/>
  <c r="AQ48" i="21" s="1"/>
  <c r="AQ7" i="21"/>
  <c r="AQ44" i="21" s="1"/>
  <c r="AS481" i="1"/>
  <c r="AS482" i="1" s="1"/>
  <c r="AS472" i="1"/>
  <c r="AS471" i="1"/>
  <c r="AS470" i="1"/>
  <c r="AS469" i="1"/>
  <c r="AS206" i="1"/>
  <c r="AR13" i="1"/>
  <c r="AR6" i="21"/>
  <c r="AR8" i="21" s="1"/>
  <c r="AR45" i="21" s="1"/>
  <c r="AR294" i="1"/>
  <c r="AR21" i="1" s="1"/>
  <c r="AG80" i="21"/>
  <c r="AG78" i="21"/>
  <c r="AG84" i="21"/>
  <c r="AG77" i="21"/>
  <c r="AG86" i="21"/>
  <c r="AG82" i="21"/>
  <c r="AG81" i="21"/>
  <c r="AG83" i="21"/>
  <c r="AG79" i="21"/>
  <c r="AT281" i="1"/>
  <c r="AU303" i="1"/>
  <c r="AT304" i="1"/>
  <c r="C56" i="18"/>
  <c r="C62" i="18"/>
  <c r="C82" i="18" s="1"/>
  <c r="B113" i="18"/>
  <c r="AU526" i="1"/>
  <c r="AV126" i="20"/>
  <c r="AU322" i="20"/>
  <c r="AU29" i="20"/>
  <c r="AU222" i="20"/>
  <c r="AU193" i="1"/>
  <c r="AV215" i="1"/>
  <c r="AU122" i="1"/>
  <c r="AU217" i="1"/>
  <c r="AU216" i="1"/>
  <c r="K29" i="18"/>
  <c r="K22" i="18"/>
  <c r="AO55" i="1"/>
  <c r="F12" i="18"/>
  <c r="AS346" i="20"/>
  <c r="AR312" i="20"/>
  <c r="AO35" i="21"/>
  <c r="AO54" i="21"/>
  <c r="AT387" i="1"/>
  <c r="AU407" i="1"/>
  <c r="AT386" i="1"/>
  <c r="AT115" i="1"/>
  <c r="AH170" i="1"/>
  <c r="AH173" i="1" s="1"/>
  <c r="AH68" i="21"/>
  <c r="AH171" i="1"/>
  <c r="AH178" i="1"/>
  <c r="D33" i="18"/>
  <c r="D35" i="18" s="1"/>
  <c r="AH184" i="1"/>
  <c r="AS123" i="1"/>
  <c r="AS121" i="1" s="1"/>
  <c r="AS80" i="1" s="1"/>
  <c r="AQ23" i="1"/>
  <c r="AP34" i="21"/>
  <c r="D103" i="18"/>
  <c r="C103" i="18"/>
  <c r="AO34" i="21"/>
  <c r="AO53" i="21"/>
  <c r="AO33" i="21"/>
  <c r="AO52" i="21"/>
  <c r="AO39" i="21"/>
  <c r="AO58" i="21"/>
  <c r="AT317" i="20"/>
  <c r="AT24" i="20"/>
  <c r="AT473" i="1" s="1"/>
  <c r="AU118" i="20"/>
  <c r="AT217" i="20"/>
  <c r="I15" i="18"/>
  <c r="I23" i="18" s="1"/>
  <c r="I25" i="18" s="1"/>
  <c r="AM33" i="1"/>
  <c r="AM67" i="1"/>
  <c r="AM66" i="1"/>
  <c r="AM140" i="1"/>
  <c r="AM58" i="1"/>
  <c r="AL168" i="1"/>
  <c r="AK172" i="1"/>
  <c r="AK128" i="1"/>
  <c r="AK132" i="1" s="1"/>
  <c r="H5" i="27" s="1"/>
  <c r="AK131" i="1"/>
  <c r="F5" i="27" s="1"/>
  <c r="AK108" i="1"/>
  <c r="G4" i="18"/>
  <c r="G6" i="18" s="1"/>
  <c r="G12" i="18" s="1"/>
  <c r="T77" i="19"/>
  <c r="M20" i="28" s="1"/>
  <c r="AL106" i="1"/>
  <c r="AK146" i="1"/>
  <c r="AK145" i="1"/>
  <c r="AK148" i="1"/>
  <c r="L18" i="28" s="1"/>
  <c r="AO37" i="21"/>
  <c r="AO56" i="21"/>
  <c r="B91" i="18"/>
  <c r="B128" i="18"/>
  <c r="B147" i="18" s="1"/>
  <c r="AS522" i="1"/>
  <c r="AT513" i="1"/>
  <c r="AS521" i="1"/>
  <c r="AS511" i="1"/>
  <c r="AS510" i="1"/>
  <c r="AS509" i="1"/>
  <c r="AS512" i="1"/>
  <c r="AS113" i="1"/>
  <c r="AS116" i="1" s="1"/>
  <c r="V100" i="19" s="1"/>
  <c r="V97" i="19" s="1"/>
  <c r="AS393" i="1"/>
  <c r="AV352" i="20"/>
  <c r="AU318" i="20"/>
  <c r="AN62" i="21"/>
  <c r="H15" i="18"/>
  <c r="H23" i="18" s="1"/>
  <c r="H25" i="18" s="1"/>
  <c r="AL33" i="1"/>
  <c r="AL58" i="1"/>
  <c r="AL140" i="1"/>
  <c r="AL67" i="1"/>
  <c r="AL66" i="1"/>
  <c r="AO28" i="21"/>
  <c r="AO65" i="21" s="1"/>
  <c r="AO59" i="21"/>
  <c r="AO29" i="21"/>
  <c r="AO66" i="21" s="1"/>
  <c r="AO27" i="21"/>
  <c r="AO64" i="21" s="1"/>
  <c r="AO25" i="21"/>
  <c r="AO62" i="21" s="1"/>
  <c r="AO26" i="21"/>
  <c r="AO63" i="21" s="1"/>
  <c r="AO23" i="21"/>
  <c r="AO60" i="21" s="1"/>
  <c r="AU336" i="20"/>
  <c r="AT302" i="20"/>
  <c r="AJ73" i="1"/>
  <c r="AJ109" i="1"/>
  <c r="AQ100" i="1"/>
  <c r="AR91" i="1"/>
  <c r="AP25" i="1"/>
  <c r="AP26" i="1" s="1"/>
  <c r="AP53" i="1"/>
  <c r="AP22" i="21"/>
  <c r="AO36" i="21"/>
  <c r="AO55" i="21"/>
  <c r="AN28" i="1"/>
  <c r="U8" i="28" s="1"/>
  <c r="AN56" i="1"/>
  <c r="D62" i="18"/>
  <c r="D82" i="18" s="1"/>
  <c r="D56" i="18"/>
  <c r="AT14" i="20"/>
  <c r="AT299" i="1" s="1"/>
  <c r="AU107" i="20"/>
  <c r="AT307" i="20"/>
  <c r="AT207" i="20"/>
  <c r="E101" i="18"/>
  <c r="E44" i="18"/>
  <c r="E26" i="18"/>
  <c r="E27" i="18" s="1"/>
  <c r="E34" i="18"/>
  <c r="E36" i="18" s="1"/>
  <c r="AT19" i="20"/>
  <c r="AT421" i="1" s="1"/>
  <c r="AU113" i="20"/>
  <c r="AT246" i="20"/>
  <c r="AT212" i="20" s="1"/>
  <c r="AT122" i="1"/>
  <c r="AN61" i="21"/>
  <c r="AS77" i="1"/>
  <c r="AR94" i="1"/>
  <c r="AO38" i="21"/>
  <c r="AO57" i="21"/>
  <c r="AS284" i="1"/>
  <c r="AS285" i="1" s="1"/>
  <c r="AI180" i="1"/>
  <c r="AI179" i="1" s="1"/>
  <c r="AI87" i="1"/>
  <c r="AI110" i="1" s="1"/>
  <c r="AR207" i="1"/>
  <c r="AU385" i="1"/>
  <c r="AV413" i="1"/>
  <c r="AO26" i="1"/>
  <c r="R47" i="18"/>
  <c r="AP19" i="21" l="1"/>
  <c r="AP32" i="21"/>
  <c r="AQ22" i="1"/>
  <c r="AQ52" i="1" s="1"/>
  <c r="AP18" i="21"/>
  <c r="AP55" i="21" s="1"/>
  <c r="AP21" i="21"/>
  <c r="AP15" i="21"/>
  <c r="AP33" i="21" s="1"/>
  <c r="AP20" i="21"/>
  <c r="AP38" i="21" s="1"/>
  <c r="AQ51" i="1"/>
  <c r="AP17" i="21"/>
  <c r="AP51" i="21"/>
  <c r="M28" i="28"/>
  <c r="R6" i="28"/>
  <c r="L29" i="28"/>
  <c r="L19" i="28"/>
  <c r="AL147" i="1"/>
  <c r="T9" i="28"/>
  <c r="T12" i="28" s="1"/>
  <c r="T13" i="28" s="1"/>
  <c r="AT196" i="1"/>
  <c r="AT197" i="1" s="1"/>
  <c r="AT206" i="1" s="1"/>
  <c r="AT388" i="1"/>
  <c r="AT393" i="1" s="1"/>
  <c r="AV314" i="1"/>
  <c r="AU283" i="1"/>
  <c r="AU282" i="1"/>
  <c r="AV222" i="1"/>
  <c r="AU195" i="1"/>
  <c r="AU194" i="1"/>
  <c r="AU223" i="1"/>
  <c r="AT481" i="1"/>
  <c r="AT482" i="1" s="1"/>
  <c r="AT469" i="1"/>
  <c r="AT470" i="1"/>
  <c r="AT471" i="1"/>
  <c r="AT472" i="1"/>
  <c r="V51" i="19"/>
  <c r="AS13" i="1"/>
  <c r="AS294" i="1"/>
  <c r="AS295" i="1" s="1"/>
  <c r="AS6" i="21"/>
  <c r="AS8" i="21" s="1"/>
  <c r="AS45" i="21" s="1"/>
  <c r="U29" i="19"/>
  <c r="M21" i="28" s="1"/>
  <c r="M22" i="28" s="1"/>
  <c r="AO28" i="1"/>
  <c r="V8" i="28" s="1"/>
  <c r="AO56" i="1"/>
  <c r="U27" i="19"/>
  <c r="E53" i="18"/>
  <c r="E55" i="18" s="1"/>
  <c r="E52" i="18"/>
  <c r="AP36" i="21"/>
  <c r="AP58" i="21"/>
  <c r="AP39" i="21"/>
  <c r="D83" i="18"/>
  <c r="D120" i="18"/>
  <c r="D139" i="18" s="1"/>
  <c r="AP28" i="1"/>
  <c r="W8" i="28" s="1"/>
  <c r="AP56" i="1"/>
  <c r="AQ21" i="21"/>
  <c r="AQ20" i="21"/>
  <c r="AQ51" i="21"/>
  <c r="AQ32" i="21"/>
  <c r="AQ19" i="21"/>
  <c r="AQ15" i="21"/>
  <c r="AQ16" i="21"/>
  <c r="AQ18" i="21"/>
  <c r="AJ87" i="1"/>
  <c r="AJ110" i="1" s="1"/>
  <c r="AJ180" i="1"/>
  <c r="AJ179" i="1" s="1"/>
  <c r="B92" i="18"/>
  <c r="B129" i="18"/>
  <c r="B148" i="18" s="1"/>
  <c r="G51" i="18"/>
  <c r="G44" i="18"/>
  <c r="G101" i="18"/>
  <c r="G26" i="18"/>
  <c r="G27" i="18" s="1"/>
  <c r="G34" i="18"/>
  <c r="G36" i="18" s="1"/>
  <c r="AM141" i="1"/>
  <c r="I31" i="18"/>
  <c r="AU317" i="20"/>
  <c r="AU24" i="20"/>
  <c r="AU473" i="1" s="1"/>
  <c r="AV118" i="20"/>
  <c r="AU217" i="20"/>
  <c r="D104" i="18"/>
  <c r="AQ25" i="1"/>
  <c r="AQ26" i="1" s="1"/>
  <c r="AQ53" i="1"/>
  <c r="AQ22" i="21"/>
  <c r="F44" i="18"/>
  <c r="F101" i="18"/>
  <c r="F26" i="18"/>
  <c r="F27" i="18" s="1"/>
  <c r="F34" i="18"/>
  <c r="F36" i="18" s="1"/>
  <c r="AV526" i="1"/>
  <c r="AW126" i="20"/>
  <c r="AV222" i="20"/>
  <c r="AV322" i="20"/>
  <c r="AV29" i="20"/>
  <c r="C83" i="18"/>
  <c r="C120" i="18"/>
  <c r="C139" i="18" s="1"/>
  <c r="AT284" i="1"/>
  <c r="AT285" i="1" s="1"/>
  <c r="AT294" i="1" s="1"/>
  <c r="AR57" i="1"/>
  <c r="AR54" i="1"/>
  <c r="AR43" i="1"/>
  <c r="AR44" i="1"/>
  <c r="V13" i="19"/>
  <c r="V95" i="19" s="1"/>
  <c r="AV385" i="1"/>
  <c r="AW413" i="1"/>
  <c r="AW385" i="1" s="1"/>
  <c r="E102" i="18"/>
  <c r="AP35" i="21"/>
  <c r="AP54" i="21"/>
  <c r="AU14" i="20"/>
  <c r="AU299" i="1" s="1"/>
  <c r="AV107" i="20"/>
  <c r="AU307" i="20"/>
  <c r="AU207" i="20"/>
  <c r="AP59" i="21"/>
  <c r="AP28" i="21"/>
  <c r="AP65" i="21" s="1"/>
  <c r="AP29" i="21"/>
  <c r="AP66" i="21" s="1"/>
  <c r="AP26" i="21"/>
  <c r="AP63" i="21" s="1"/>
  <c r="AP27" i="21"/>
  <c r="AP64" i="21" s="1"/>
  <c r="AP24" i="21"/>
  <c r="AP61" i="21" s="1"/>
  <c r="AP25" i="21"/>
  <c r="AP62" i="21" s="1"/>
  <c r="AP23" i="21"/>
  <c r="AP60" i="21" s="1"/>
  <c r="L29" i="18"/>
  <c r="L22" i="18"/>
  <c r="AP55" i="1"/>
  <c r="AL141" i="1"/>
  <c r="AO151" i="1"/>
  <c r="AN151" i="1"/>
  <c r="H31" i="18"/>
  <c r="AW352" i="20"/>
  <c r="AW318" i="20" s="1"/>
  <c r="AV318" i="20"/>
  <c r="S18" i="5"/>
  <c r="T79" i="19"/>
  <c r="AK73" i="1"/>
  <c r="AK109" i="1"/>
  <c r="T80" i="19" s="1"/>
  <c r="AT113" i="1"/>
  <c r="AT116" i="1" s="1"/>
  <c r="C57" i="18"/>
  <c r="C68" i="18"/>
  <c r="AI68" i="21"/>
  <c r="AI171" i="1"/>
  <c r="AI170" i="1"/>
  <c r="AI173" i="1" s="1"/>
  <c r="E33" i="18"/>
  <c r="E35" i="18" s="1"/>
  <c r="AI178" i="1"/>
  <c r="AI184" i="1"/>
  <c r="AT403" i="1"/>
  <c r="AT404" i="1" s="1"/>
  <c r="AV113" i="20"/>
  <c r="AU19" i="20"/>
  <c r="AU421" i="1" s="1"/>
  <c r="AU246" i="20"/>
  <c r="AU212" i="20"/>
  <c r="AQ35" i="21"/>
  <c r="AQ54" i="21"/>
  <c r="AP37" i="21"/>
  <c r="AP56" i="21"/>
  <c r="J15" i="18"/>
  <c r="J23" i="18" s="1"/>
  <c r="J25" i="18" s="1"/>
  <c r="AN33" i="1"/>
  <c r="AN140" i="1"/>
  <c r="AN67" i="1"/>
  <c r="AN66" i="1"/>
  <c r="AN58" i="1"/>
  <c r="AR100" i="1"/>
  <c r="AS91" i="1"/>
  <c r="AV336" i="20"/>
  <c r="AU302" i="20"/>
  <c r="AS403" i="1"/>
  <c r="AS404" i="1" s="1"/>
  <c r="AM168" i="1"/>
  <c r="AL108" i="1"/>
  <c r="AM106" i="1"/>
  <c r="AL145" i="1"/>
  <c r="AL128" i="1"/>
  <c r="AL132" i="1" s="1"/>
  <c r="AL172" i="1"/>
  <c r="H4" i="18"/>
  <c r="H6" i="18" s="1"/>
  <c r="H12" i="18" s="1"/>
  <c r="H26" i="18" s="1"/>
  <c r="H27" i="18" s="1"/>
  <c r="AL131" i="1"/>
  <c r="AL146" i="1"/>
  <c r="C104" i="18"/>
  <c r="AT346" i="20"/>
  <c r="AS312" i="20"/>
  <c r="AU123" i="1"/>
  <c r="AU121" i="1" s="1"/>
  <c r="AU80" i="1" s="1"/>
  <c r="B114" i="18"/>
  <c r="AR295" i="1"/>
  <c r="AR14" i="21"/>
  <c r="AR16" i="21" s="1"/>
  <c r="AR22" i="1"/>
  <c r="AR52" i="1" s="1"/>
  <c r="AR51" i="1"/>
  <c r="AT77" i="1"/>
  <c r="AS94" i="1"/>
  <c r="V65" i="19" s="1"/>
  <c r="V48" i="19"/>
  <c r="AT123" i="1"/>
  <c r="AT121" i="1" s="1"/>
  <c r="AT80" i="1" s="1"/>
  <c r="AP57" i="21"/>
  <c r="D57" i="18"/>
  <c r="D68" i="18"/>
  <c r="AL63" i="1"/>
  <c r="AL142" i="1"/>
  <c r="AT521" i="1"/>
  <c r="AT522" i="1" s="1"/>
  <c r="AU513" i="1"/>
  <c r="AT509" i="1"/>
  <c r="AT510" i="1"/>
  <c r="AT511" i="1"/>
  <c r="AT512" i="1"/>
  <c r="T91" i="19"/>
  <c r="C14" i="17" s="1"/>
  <c r="C16" i="17" s="1"/>
  <c r="C18" i="17" s="1"/>
  <c r="T92" i="19"/>
  <c r="AM63" i="1"/>
  <c r="AM142" i="1"/>
  <c r="AH82" i="21"/>
  <c r="AH78" i="21"/>
  <c r="AH80" i="21"/>
  <c r="AH77" i="21"/>
  <c r="AH86" i="21"/>
  <c r="AH79" i="21"/>
  <c r="AH83" i="21"/>
  <c r="AH81" i="21"/>
  <c r="AH84" i="21"/>
  <c r="AU387" i="1"/>
  <c r="AU386" i="1"/>
  <c r="AV407" i="1"/>
  <c r="AU115" i="1"/>
  <c r="F51" i="18"/>
  <c r="AV193" i="1"/>
  <c r="AW215" i="1"/>
  <c r="AV216" i="1"/>
  <c r="AV217" i="1"/>
  <c r="AU281" i="1"/>
  <c r="AV303" i="1"/>
  <c r="AU304" i="1"/>
  <c r="AR43" i="21"/>
  <c r="AR13" i="21"/>
  <c r="AR50" i="21" s="1"/>
  <c r="AR12" i="21"/>
  <c r="AR49" i="21" s="1"/>
  <c r="AR11" i="21"/>
  <c r="AR48" i="21" s="1"/>
  <c r="AR9" i="21"/>
  <c r="AR46" i="21" s="1"/>
  <c r="AR10" i="21"/>
  <c r="AR47" i="21" s="1"/>
  <c r="AR7" i="21"/>
  <c r="AR44" i="21" s="1"/>
  <c r="AS207" i="1"/>
  <c r="S47" i="18"/>
  <c r="AP52" i="21" l="1"/>
  <c r="M31" i="28"/>
  <c r="AS21" i="1"/>
  <c r="AS51" i="1" s="1"/>
  <c r="M25" i="28"/>
  <c r="M26" i="28" s="1"/>
  <c r="AM147" i="1"/>
  <c r="U9" i="28"/>
  <c r="U12" i="28" s="1"/>
  <c r="U13" i="28" s="1"/>
  <c r="S6" i="28"/>
  <c r="AS9" i="21"/>
  <c r="AS46" i="21" s="1"/>
  <c r="AU196" i="1"/>
  <c r="AU197" i="1" s="1"/>
  <c r="AU206" i="1" s="1"/>
  <c r="AU207" i="1" s="1"/>
  <c r="AV282" i="1"/>
  <c r="AW314" i="1"/>
  <c r="AV283" i="1"/>
  <c r="AU388" i="1"/>
  <c r="AU393" i="1" s="1"/>
  <c r="AV223" i="1"/>
  <c r="AV195" i="1"/>
  <c r="AV196" i="1" s="1"/>
  <c r="AV194" i="1"/>
  <c r="AW222" i="1"/>
  <c r="AU481" i="1"/>
  <c r="AU482" i="1" s="1"/>
  <c r="AU469" i="1"/>
  <c r="AU470" i="1"/>
  <c r="AU471" i="1"/>
  <c r="AU472" i="1"/>
  <c r="E56" i="18"/>
  <c r="E62" i="18"/>
  <c r="E82" i="18" s="1"/>
  <c r="AL109" i="1"/>
  <c r="AL73" i="1"/>
  <c r="AN141" i="1"/>
  <c r="AP151" i="1"/>
  <c r="AT21" i="1"/>
  <c r="AT295" i="1"/>
  <c r="AQ29" i="21"/>
  <c r="AQ66" i="21" s="1"/>
  <c r="AQ28" i="21"/>
  <c r="AQ65" i="21" s="1"/>
  <c r="AQ59" i="21"/>
  <c r="AQ26" i="21"/>
  <c r="AQ63" i="21" s="1"/>
  <c r="AQ23" i="21"/>
  <c r="AQ60" i="21" s="1"/>
  <c r="AQ27" i="21"/>
  <c r="AQ64" i="21" s="1"/>
  <c r="AQ24" i="21"/>
  <c r="AQ61" i="21" s="1"/>
  <c r="AQ25" i="21"/>
  <c r="AQ62" i="21" s="1"/>
  <c r="AJ171" i="1"/>
  <c r="AJ170" i="1"/>
  <c r="AJ173" i="1" s="1"/>
  <c r="AJ68" i="21"/>
  <c r="F33" i="18"/>
  <c r="F35" i="18" s="1"/>
  <c r="AJ178" i="1"/>
  <c r="AJ184" i="1"/>
  <c r="AQ33" i="21"/>
  <c r="AQ52" i="21"/>
  <c r="AQ38" i="21"/>
  <c r="AQ57" i="21"/>
  <c r="L15" i="18"/>
  <c r="L23" i="18" s="1"/>
  <c r="L25" i="18" s="1"/>
  <c r="AP33" i="1"/>
  <c r="AP140" i="1"/>
  <c r="AP58" i="1"/>
  <c r="AP67" i="1"/>
  <c r="AP66" i="1"/>
  <c r="U37" i="19"/>
  <c r="U96" i="19" s="1"/>
  <c r="AS23" i="1"/>
  <c r="AV386" i="1"/>
  <c r="AW407" i="1"/>
  <c r="AV387" i="1"/>
  <c r="AV115" i="1"/>
  <c r="AR53" i="21"/>
  <c r="AR34" i="21"/>
  <c r="C105" i="18"/>
  <c r="AW113" i="20"/>
  <c r="AV246" i="20"/>
  <c r="AV19" i="20"/>
  <c r="AV421" i="1" s="1"/>
  <c r="AV212" i="20"/>
  <c r="AI78" i="21"/>
  <c r="AI82" i="21"/>
  <c r="AI80" i="21"/>
  <c r="AI79" i="21"/>
  <c r="AI84" i="21"/>
  <c r="AI83" i="21"/>
  <c r="AI77" i="21"/>
  <c r="AI86" i="21"/>
  <c r="AI81" i="21"/>
  <c r="H34" i="18"/>
  <c r="H36" i="18" s="1"/>
  <c r="AV307" i="20"/>
  <c r="AV14" i="20"/>
  <c r="AV299" i="1" s="1"/>
  <c r="AW107" i="20"/>
  <c r="AV207" i="20"/>
  <c r="AR23" i="1"/>
  <c r="AT13" i="1"/>
  <c r="D105" i="18"/>
  <c r="AQ56" i="21"/>
  <c r="AQ37" i="21"/>
  <c r="AQ39" i="21"/>
  <c r="AQ58" i="21"/>
  <c r="AS13" i="21"/>
  <c r="AS50" i="21" s="1"/>
  <c r="AS12" i="21"/>
  <c r="AS49" i="21" s="1"/>
  <c r="AS43" i="21"/>
  <c r="AS11" i="21"/>
  <c r="AS48" i="21" s="1"/>
  <c r="AS10" i="21"/>
  <c r="AS47" i="21" s="1"/>
  <c r="AS7" i="21"/>
  <c r="AS44" i="21" s="1"/>
  <c r="AU113" i="1"/>
  <c r="AU116" i="1" s="1"/>
  <c r="AU284" i="1"/>
  <c r="AU285" i="1" s="1"/>
  <c r="AW193" i="1"/>
  <c r="AW216" i="1"/>
  <c r="AW217" i="1"/>
  <c r="AV513" i="1"/>
  <c r="AU521" i="1"/>
  <c r="AU522" i="1"/>
  <c r="AU509" i="1"/>
  <c r="AU510" i="1"/>
  <c r="AU511" i="1"/>
  <c r="AU512" i="1"/>
  <c r="AT94" i="1"/>
  <c r="AU77" i="1"/>
  <c r="AR21" i="21"/>
  <c r="AR20" i="21"/>
  <c r="AR32" i="21"/>
  <c r="AR51" i="21"/>
  <c r="AR19" i="21"/>
  <c r="AR15" i="21"/>
  <c r="AR17" i="21"/>
  <c r="AR18" i="21"/>
  <c r="B115" i="18"/>
  <c r="AW336" i="20"/>
  <c r="AW302" i="20" s="1"/>
  <c r="AV302" i="20"/>
  <c r="AN142" i="1"/>
  <c r="AN63" i="1"/>
  <c r="T44" i="19"/>
  <c r="AK180" i="1"/>
  <c r="AK179" i="1" s="1"/>
  <c r="AK87" i="1"/>
  <c r="E103" i="18"/>
  <c r="AT207" i="1"/>
  <c r="F102" i="18"/>
  <c r="AQ28" i="1"/>
  <c r="X8" i="28" s="1"/>
  <c r="AQ56" i="1"/>
  <c r="G102" i="18"/>
  <c r="B93" i="18"/>
  <c r="B130" i="18"/>
  <c r="B149" i="18" s="1"/>
  <c r="AQ36" i="21"/>
  <c r="AQ55" i="21"/>
  <c r="D84" i="18"/>
  <c r="D121" i="18"/>
  <c r="D140" i="18" s="1"/>
  <c r="AV281" i="1"/>
  <c r="AW303" i="1"/>
  <c r="AW122" i="1" s="1"/>
  <c r="AV304" i="1"/>
  <c r="AV122" i="1"/>
  <c r="AS14" i="21"/>
  <c r="AU346" i="20"/>
  <c r="AT312" i="20"/>
  <c r="H51" i="18"/>
  <c r="H101" i="18"/>
  <c r="H44" i="18"/>
  <c r="AM108" i="1"/>
  <c r="I4" i="18"/>
  <c r="I6" i="18" s="1"/>
  <c r="I12" i="18" s="1"/>
  <c r="I34" i="18" s="1"/>
  <c r="I36" i="18" s="1"/>
  <c r="AM128" i="1"/>
  <c r="AM132" i="1" s="1"/>
  <c r="AN106" i="1"/>
  <c r="AM131" i="1"/>
  <c r="AM172" i="1"/>
  <c r="AN168" i="1"/>
  <c r="AM145" i="1"/>
  <c r="AM146" i="1"/>
  <c r="AS100" i="1"/>
  <c r="AT91" i="1"/>
  <c r="V62" i="19"/>
  <c r="J31" i="18"/>
  <c r="C84" i="18"/>
  <c r="C121" i="18"/>
  <c r="C140" i="18" s="1"/>
  <c r="AW526" i="1"/>
  <c r="AW322" i="20"/>
  <c r="AW29" i="20"/>
  <c r="AW222" i="20"/>
  <c r="F52" i="18"/>
  <c r="F53" i="18"/>
  <c r="F55" i="18" s="1"/>
  <c r="M22" i="18"/>
  <c r="M29" i="18"/>
  <c r="AQ55" i="1"/>
  <c r="AW118" i="20"/>
  <c r="AV317" i="20"/>
  <c r="AV24" i="20"/>
  <c r="AV473" i="1" s="1"/>
  <c r="AV217" i="20"/>
  <c r="G52" i="18"/>
  <c r="G53" i="18"/>
  <c r="G55" i="18" s="1"/>
  <c r="AQ34" i="21"/>
  <c r="AQ53" i="21"/>
  <c r="K15" i="18"/>
  <c r="K23" i="18" s="1"/>
  <c r="K25" i="18" s="1"/>
  <c r="AO33" i="1"/>
  <c r="AO140" i="1"/>
  <c r="AO58" i="1"/>
  <c r="AO67" i="1"/>
  <c r="AO66" i="1"/>
  <c r="AS57" i="1"/>
  <c r="AS54" i="1"/>
  <c r="AS43" i="1"/>
  <c r="AS44" i="1"/>
  <c r="V22" i="19" l="1"/>
  <c r="V23" i="19" s="1"/>
  <c r="AS22" i="1"/>
  <c r="AS52" i="1" s="1"/>
  <c r="AR151" i="1"/>
  <c r="AV388" i="1"/>
  <c r="AV393" i="1" s="1"/>
  <c r="T6" i="28"/>
  <c r="V9" i="28"/>
  <c r="V12" i="28" s="1"/>
  <c r="V13" i="28" s="1"/>
  <c r="AT23" i="1"/>
  <c r="AT25" i="1" s="1"/>
  <c r="AW283" i="1"/>
  <c r="AW282" i="1"/>
  <c r="AU403" i="1"/>
  <c r="AU404" i="1" s="1"/>
  <c r="AV197" i="1"/>
  <c r="AW195" i="1"/>
  <c r="AW194" i="1"/>
  <c r="AW223" i="1"/>
  <c r="G56" i="18"/>
  <c r="G62" i="18"/>
  <c r="G82" i="18" s="1"/>
  <c r="AW123" i="1"/>
  <c r="AW121" i="1" s="1"/>
  <c r="AW80" i="1" s="1"/>
  <c r="W51" i="19" s="1"/>
  <c r="AU294" i="1"/>
  <c r="AU295" i="1" s="1"/>
  <c r="AU13" i="1"/>
  <c r="AV481" i="1"/>
  <c r="AV482" i="1" s="1"/>
  <c r="AV469" i="1"/>
  <c r="AV470" i="1"/>
  <c r="AV471" i="1"/>
  <c r="AV472" i="1"/>
  <c r="AV403" i="1"/>
  <c r="AV404" i="1" s="1"/>
  <c r="K31" i="18"/>
  <c r="AW317" i="20"/>
  <c r="AW24" i="20"/>
  <c r="AW473" i="1" s="1"/>
  <c r="AW217" i="20"/>
  <c r="F56" i="18"/>
  <c r="F62" i="18"/>
  <c r="F82" i="18" s="1"/>
  <c r="H52" i="18"/>
  <c r="H53" i="18"/>
  <c r="H55" i="18" s="1"/>
  <c r="AV346" i="20"/>
  <c r="AU312" i="20"/>
  <c r="AS21" i="21"/>
  <c r="AS20" i="21"/>
  <c r="AS51" i="21"/>
  <c r="AS32" i="21"/>
  <c r="AS19" i="21"/>
  <c r="AS18" i="21"/>
  <c r="AS15" i="21"/>
  <c r="AV284" i="1"/>
  <c r="AV285" i="1" s="1"/>
  <c r="D85" i="18"/>
  <c r="D122" i="18"/>
  <c r="D141" i="18" s="1"/>
  <c r="AT53" i="1"/>
  <c r="E104" i="18"/>
  <c r="AK171" i="1"/>
  <c r="AK68" i="21"/>
  <c r="AK170" i="1"/>
  <c r="AK173" i="1" s="1"/>
  <c r="G33" i="18"/>
  <c r="G35" i="18" s="1"/>
  <c r="AK178" i="1"/>
  <c r="AK184" i="1"/>
  <c r="T87" i="19" s="1"/>
  <c r="B116" i="18"/>
  <c r="AR33" i="21"/>
  <c r="AR52" i="21"/>
  <c r="AR57" i="21"/>
  <c r="AR38" i="21"/>
  <c r="AW386" i="1"/>
  <c r="AW387" i="1"/>
  <c r="AW115" i="1"/>
  <c r="AP63" i="1"/>
  <c r="E57" i="18"/>
  <c r="E68" i="18"/>
  <c r="AT100" i="1"/>
  <c r="AU91" i="1"/>
  <c r="I51" i="18"/>
  <c r="I101" i="18"/>
  <c r="I44" i="18"/>
  <c r="I26" i="18"/>
  <c r="I27" i="18" s="1"/>
  <c r="H102" i="18"/>
  <c r="AV123" i="1"/>
  <c r="AV121" i="1" s="1"/>
  <c r="AV80" i="1" s="1"/>
  <c r="B94" i="18"/>
  <c r="B131" i="18"/>
  <c r="B150" i="18" s="1"/>
  <c r="AQ33" i="1"/>
  <c r="AQ63" i="1" s="1"/>
  <c r="M15" i="18"/>
  <c r="M23" i="18" s="1"/>
  <c r="M25" i="18" s="1"/>
  <c r="AQ140" i="1"/>
  <c r="AQ67" i="1"/>
  <c r="AQ66" i="1"/>
  <c r="AQ58" i="1"/>
  <c r="AR37" i="21"/>
  <c r="AR56" i="21"/>
  <c r="AR58" i="21"/>
  <c r="AR39" i="21"/>
  <c r="AW307" i="20"/>
  <c r="AW14" i="20"/>
  <c r="AW299" i="1" s="1"/>
  <c r="AW207" i="20"/>
  <c r="AO141" i="1"/>
  <c r="V71" i="19"/>
  <c r="AM109" i="1"/>
  <c r="AM73" i="1"/>
  <c r="AS16" i="21"/>
  <c r="AQ151" i="1"/>
  <c r="AS17" i="21"/>
  <c r="AR36" i="21"/>
  <c r="AR55" i="21"/>
  <c r="AU94" i="1"/>
  <c r="AV77" i="1"/>
  <c r="AW513" i="1"/>
  <c r="AV521" i="1"/>
  <c r="AV522" i="1" s="1"/>
  <c r="AV509" i="1"/>
  <c r="AV510" i="1"/>
  <c r="AV511" i="1"/>
  <c r="AV512" i="1"/>
  <c r="D106" i="18"/>
  <c r="AT43" i="1"/>
  <c r="AT44" i="1"/>
  <c r="AT54" i="1"/>
  <c r="AT57" i="1"/>
  <c r="AV113" i="1"/>
  <c r="AV116" i="1" s="1"/>
  <c r="L31" i="18"/>
  <c r="AO63" i="1"/>
  <c r="AO142" i="1"/>
  <c r="U34" i="19"/>
  <c r="C85" i="18"/>
  <c r="C122" i="18"/>
  <c r="C141" i="18" s="1"/>
  <c r="AN147" i="1"/>
  <c r="AN128" i="1"/>
  <c r="AN132" i="1" s="1"/>
  <c r="J4" i="18"/>
  <c r="J6" i="18" s="1"/>
  <c r="J12" i="18" s="1"/>
  <c r="AN131" i="1"/>
  <c r="AO106" i="1"/>
  <c r="AN145" i="1"/>
  <c r="AN146" i="1"/>
  <c r="AN108" i="1"/>
  <c r="AO168" i="1"/>
  <c r="AN172" i="1"/>
  <c r="AW281" i="1"/>
  <c r="AW304" i="1"/>
  <c r="G103" i="18"/>
  <c r="F103" i="18"/>
  <c r="T58" i="19"/>
  <c r="T90" i="19" s="1"/>
  <c r="AK110" i="1"/>
  <c r="AR54" i="21"/>
  <c r="AR35" i="21"/>
  <c r="AV206" i="1"/>
  <c r="AV207" i="1" s="1"/>
  <c r="AR25" i="1"/>
  <c r="AR26" i="1" s="1"/>
  <c r="AR22" i="21"/>
  <c r="AR53" i="1"/>
  <c r="V24" i="19"/>
  <c r="AW19" i="20"/>
  <c r="AW421" i="1" s="1"/>
  <c r="AW246" i="20"/>
  <c r="AW212" i="20" s="1"/>
  <c r="C106" i="18"/>
  <c r="AS25" i="1"/>
  <c r="AS26" i="1" s="1"/>
  <c r="AS53" i="1"/>
  <c r="AS22" i="21"/>
  <c r="AP141" i="1"/>
  <c r="AJ81" i="21"/>
  <c r="AJ82" i="21"/>
  <c r="AJ79" i="21"/>
  <c r="AJ84" i="21"/>
  <c r="AJ77" i="21"/>
  <c r="AJ80" i="21"/>
  <c r="AJ83" i="21"/>
  <c r="AJ78" i="21"/>
  <c r="AJ86" i="21"/>
  <c r="AT51" i="1"/>
  <c r="AT22" i="1"/>
  <c r="AT52" i="1" s="1"/>
  <c r="AS151" i="1"/>
  <c r="AL87" i="1"/>
  <c r="AL110" i="1" s="1"/>
  <c r="AL180" i="1"/>
  <c r="AL179" i="1" s="1"/>
  <c r="E83" i="18"/>
  <c r="E120" i="18"/>
  <c r="E139" i="18" s="1"/>
  <c r="AO148" i="1" l="1"/>
  <c r="M18" i="28" s="1"/>
  <c r="W9" i="28"/>
  <c r="W12" i="28" s="1"/>
  <c r="W13" i="28" s="1"/>
  <c r="U6" i="28"/>
  <c r="AU21" i="1"/>
  <c r="AW196" i="1"/>
  <c r="AW197" i="1" s="1"/>
  <c r="AU23" i="1"/>
  <c r="AU53" i="1" s="1"/>
  <c r="AW481" i="1"/>
  <c r="AW482" i="1" s="1"/>
  <c r="AW469" i="1"/>
  <c r="AW470" i="1"/>
  <c r="AW471" i="1"/>
  <c r="AW472" i="1"/>
  <c r="AV294" i="1"/>
  <c r="AV295" i="1" s="1"/>
  <c r="AV23" i="1" s="1"/>
  <c r="AV13" i="1"/>
  <c r="AS28" i="1"/>
  <c r="Z8" i="28" s="1"/>
  <c r="AS56" i="1"/>
  <c r="AW206" i="1"/>
  <c r="AW207" i="1" s="1"/>
  <c r="C107" i="18"/>
  <c r="AR28" i="1"/>
  <c r="Y8" i="28" s="1"/>
  <c r="AR56" i="1"/>
  <c r="V27" i="19"/>
  <c r="D107" i="18"/>
  <c r="AM87" i="1"/>
  <c r="AM110" i="1" s="1"/>
  <c r="AM180" i="1"/>
  <c r="AM179" i="1" s="1"/>
  <c r="P29" i="18"/>
  <c r="P22" i="18"/>
  <c r="AT55" i="1"/>
  <c r="AS37" i="21"/>
  <c r="AS56" i="21"/>
  <c r="AS39" i="21"/>
  <c r="AS58" i="21"/>
  <c r="E84" i="18"/>
  <c r="E121" i="18"/>
  <c r="E140" i="18" s="1"/>
  <c r="AL171" i="1"/>
  <c r="AL170" i="1"/>
  <c r="AL173" i="1" s="1"/>
  <c r="AL68" i="21"/>
  <c r="AL178" i="1"/>
  <c r="AL184" i="1"/>
  <c r="H33" i="18"/>
  <c r="H35" i="18" s="1"/>
  <c r="N29" i="18"/>
  <c r="N22" i="18"/>
  <c r="AR55" i="1"/>
  <c r="V26" i="19"/>
  <c r="F104" i="18"/>
  <c r="AW284" i="1"/>
  <c r="AW285" i="1" s="1"/>
  <c r="AO147" i="1"/>
  <c r="U77" i="19"/>
  <c r="N20" i="28" s="1"/>
  <c r="AO145" i="1"/>
  <c r="AO108" i="1"/>
  <c r="AO146" i="1"/>
  <c r="AP168" i="1"/>
  <c r="AO172" i="1"/>
  <c r="AO131" i="1"/>
  <c r="K4" i="18"/>
  <c r="K6" i="18" s="1"/>
  <c r="AP106" i="1"/>
  <c r="X9" i="28" s="1"/>
  <c r="X12" i="28" s="1"/>
  <c r="X13" i="28" s="1"/>
  <c r="AO128" i="1"/>
  <c r="AO132" i="1" s="1"/>
  <c r="C86" i="18"/>
  <c r="C123" i="18"/>
  <c r="C142" i="18" s="1"/>
  <c r="AV94" i="1"/>
  <c r="AW77" i="1"/>
  <c r="AS35" i="21"/>
  <c r="AS54" i="21"/>
  <c r="AW113" i="1"/>
  <c r="AW116" i="1" s="1"/>
  <c r="W100" i="19" s="1"/>
  <c r="W97" i="19" s="1"/>
  <c r="E105" i="18"/>
  <c r="AT26" i="1"/>
  <c r="F83" i="18"/>
  <c r="F120" i="18"/>
  <c r="F139" i="18" s="1"/>
  <c r="AU43" i="1"/>
  <c r="AU44" i="1"/>
  <c r="AU54" i="1"/>
  <c r="AU57" i="1"/>
  <c r="O29" i="18"/>
  <c r="O22" i="18"/>
  <c r="AS55" i="1"/>
  <c r="AU51" i="1"/>
  <c r="AU22" i="1"/>
  <c r="AU52" i="1" s="1"/>
  <c r="AN109" i="1"/>
  <c r="AN73" i="1"/>
  <c r="AQ141" i="1"/>
  <c r="I52" i="18"/>
  <c r="I53" i="18"/>
  <c r="I55" i="18" s="1"/>
  <c r="AU100" i="1"/>
  <c r="AV91" i="1"/>
  <c r="AK84" i="21"/>
  <c r="AK81" i="21"/>
  <c r="AK83" i="21"/>
  <c r="AK80" i="21"/>
  <c r="AK77" i="21"/>
  <c r="AK86" i="21"/>
  <c r="AK82" i="21"/>
  <c r="AK78" i="21"/>
  <c r="AK79" i="21"/>
  <c r="AS33" i="21"/>
  <c r="AS52" i="21"/>
  <c r="AW346" i="20"/>
  <c r="AW312" i="20" s="1"/>
  <c r="AV312" i="20"/>
  <c r="F57" i="18"/>
  <c r="F68" i="18"/>
  <c r="G83" i="18"/>
  <c r="G120" i="18"/>
  <c r="G139" i="18" s="1"/>
  <c r="AS28" i="21"/>
  <c r="AS59" i="21"/>
  <c r="AS29" i="21"/>
  <c r="AS27" i="21"/>
  <c r="AS26" i="21"/>
  <c r="AS23" i="21"/>
  <c r="AS25" i="21"/>
  <c r="AS24" i="21"/>
  <c r="AR29" i="21"/>
  <c r="AR66" i="21" s="1"/>
  <c r="AR28" i="21"/>
  <c r="AR65" i="21" s="1"/>
  <c r="AR59" i="21"/>
  <c r="AR27" i="21"/>
  <c r="AR64" i="21" s="1"/>
  <c r="AR25" i="21"/>
  <c r="AR62" i="21" s="1"/>
  <c r="AR26" i="21"/>
  <c r="AR63" i="21" s="1"/>
  <c r="AR23" i="21"/>
  <c r="AR60" i="21" s="1"/>
  <c r="AR24" i="21"/>
  <c r="AR61" i="21" s="1"/>
  <c r="G104" i="18"/>
  <c r="J51" i="18"/>
  <c r="J101" i="18"/>
  <c r="J44" i="18"/>
  <c r="J26" i="18"/>
  <c r="J27" i="18" s="1"/>
  <c r="J34" i="18"/>
  <c r="J36" i="18" s="1"/>
  <c r="S19" i="5"/>
  <c r="AW521" i="1"/>
  <c r="AW522" i="1"/>
  <c r="AW509" i="1"/>
  <c r="AW510" i="1"/>
  <c r="AW511" i="1"/>
  <c r="AW512" i="1"/>
  <c r="AS34" i="21"/>
  <c r="AS53" i="21"/>
  <c r="M31" i="18"/>
  <c r="B95" i="18"/>
  <c r="B132" i="18"/>
  <c r="B151" i="18" s="1"/>
  <c r="H103" i="18"/>
  <c r="I102" i="18"/>
  <c r="AW388" i="1"/>
  <c r="AW393" i="1" s="1"/>
  <c r="D86" i="18"/>
  <c r="D123" i="18"/>
  <c r="D142" i="18" s="1"/>
  <c r="AS36" i="21"/>
  <c r="AS55" i="21"/>
  <c r="AS38" i="21"/>
  <c r="AS57" i="21"/>
  <c r="H62" i="18"/>
  <c r="H82" i="18" s="1"/>
  <c r="H56" i="18"/>
  <c r="G57" i="18"/>
  <c r="G68" i="18"/>
  <c r="V6" i="28" l="1"/>
  <c r="N28" i="28"/>
  <c r="M19" i="28"/>
  <c r="M29" i="28"/>
  <c r="AS62" i="21"/>
  <c r="AS66" i="21"/>
  <c r="AU25" i="1"/>
  <c r="AU26" i="1" s="1"/>
  <c r="AU56" i="1" s="1"/>
  <c r="AS63" i="21"/>
  <c r="AS65" i="21"/>
  <c r="AV21" i="1"/>
  <c r="AV25" i="1"/>
  <c r="AV26" i="1" s="1"/>
  <c r="AV53" i="1"/>
  <c r="AW294" i="1"/>
  <c r="AW295" i="1" s="1"/>
  <c r="AW13" i="1"/>
  <c r="W13" i="19" s="1"/>
  <c r="W95" i="19" s="1"/>
  <c r="AU28" i="1"/>
  <c r="AB8" i="28" s="1"/>
  <c r="H57" i="18"/>
  <c r="H68" i="18"/>
  <c r="J102" i="18"/>
  <c r="I56" i="18"/>
  <c r="I62" i="18"/>
  <c r="I82" i="18" s="1"/>
  <c r="AN180" i="1"/>
  <c r="AN179" i="1" s="1"/>
  <c r="AN87" i="1"/>
  <c r="AN110" i="1" s="1"/>
  <c r="F84" i="18"/>
  <c r="F121" i="18"/>
  <c r="F140" i="18" s="1"/>
  <c r="O15" i="18"/>
  <c r="O23" i="18" s="1"/>
  <c r="O25" i="18" s="1"/>
  <c r="AS33" i="1"/>
  <c r="AS63" i="1" s="1"/>
  <c r="AS140" i="1"/>
  <c r="AS141" i="1" s="1"/>
  <c r="AS58" i="1"/>
  <c r="AS67" i="1"/>
  <c r="AS66" i="1"/>
  <c r="H83" i="18"/>
  <c r="H120" i="18"/>
  <c r="H139" i="18" s="1"/>
  <c r="AW403" i="1"/>
  <c r="AW404" i="1" s="1"/>
  <c r="I103" i="18"/>
  <c r="B96" i="18"/>
  <c r="B133" i="18"/>
  <c r="B152" i="18" s="1"/>
  <c r="AS61" i="21"/>
  <c r="AS64" i="21"/>
  <c r="AT28" i="1"/>
  <c r="AA8" i="28" s="1"/>
  <c r="AT56" i="1"/>
  <c r="C87" i="18"/>
  <c r="C124" i="18"/>
  <c r="C143" i="18" s="1"/>
  <c r="AP147" i="1"/>
  <c r="AQ106" i="1"/>
  <c r="AP172" i="1"/>
  <c r="L4" i="18"/>
  <c r="L6" i="18" s="1"/>
  <c r="L12" i="18" s="1"/>
  <c r="AP145" i="1"/>
  <c r="AP146" i="1"/>
  <c r="AQ168" i="1"/>
  <c r="AP108" i="1"/>
  <c r="AP128" i="1"/>
  <c r="AP132" i="1" s="1"/>
  <c r="AP131" i="1"/>
  <c r="U92" i="19"/>
  <c r="U91" i="19"/>
  <c r="D14" i="17" s="1"/>
  <c r="D16" i="17" s="1"/>
  <c r="D18" i="17" s="1"/>
  <c r="D108" i="18"/>
  <c r="AR33" i="1"/>
  <c r="N15" i="18"/>
  <c r="N23" i="18" s="1"/>
  <c r="N25" i="18" s="1"/>
  <c r="AR140" i="1"/>
  <c r="AR67" i="1"/>
  <c r="AR66" i="1"/>
  <c r="AR58" i="1"/>
  <c r="V29" i="19"/>
  <c r="N21" i="28" s="1"/>
  <c r="N22" i="28" s="1"/>
  <c r="AV43" i="1"/>
  <c r="AV44" i="1"/>
  <c r="AV54" i="1"/>
  <c r="AV57" i="1"/>
  <c r="Q22" i="18"/>
  <c r="Q29" i="18"/>
  <c r="AU55" i="1"/>
  <c r="G84" i="18"/>
  <c r="G121" i="18"/>
  <c r="G140" i="18" s="1"/>
  <c r="AV100" i="1"/>
  <c r="AW91" i="1"/>
  <c r="AW94" i="1"/>
  <c r="W65" i="19" s="1"/>
  <c r="W48" i="19"/>
  <c r="K12" i="18"/>
  <c r="K51" i="18" s="1"/>
  <c r="F105" i="18"/>
  <c r="AM68" i="21"/>
  <c r="AM171" i="1"/>
  <c r="AM170" i="1"/>
  <c r="AM173" i="1" s="1"/>
  <c r="I33" i="18"/>
  <c r="I35" i="18" s="1"/>
  <c r="AM178" i="1"/>
  <c r="AM184" i="1"/>
  <c r="D87" i="18"/>
  <c r="D124" i="18"/>
  <c r="D143" i="18" s="1"/>
  <c r="H104" i="18"/>
  <c r="J52" i="18"/>
  <c r="J53" i="18"/>
  <c r="J55" i="18" s="1"/>
  <c r="G105" i="18"/>
  <c r="AS60" i="21"/>
  <c r="E106" i="18"/>
  <c r="U79" i="19"/>
  <c r="AO109" i="1"/>
  <c r="U80" i="19" s="1"/>
  <c r="AO73" i="1"/>
  <c r="AV22" i="1"/>
  <c r="AV52" i="1" s="1"/>
  <c r="AV51" i="1"/>
  <c r="AL82" i="21"/>
  <c r="AL81" i="21"/>
  <c r="AL84" i="21"/>
  <c r="AL86" i="21"/>
  <c r="AL83" i="21"/>
  <c r="AL80" i="21"/>
  <c r="AL77" i="21"/>
  <c r="AL79" i="21"/>
  <c r="AL78" i="21"/>
  <c r="E85" i="18"/>
  <c r="E122" i="18"/>
  <c r="E141" i="18" s="1"/>
  <c r="C108" i="18"/>
  <c r="W6" i="28" l="1"/>
  <c r="N31" i="28"/>
  <c r="Y9" i="28"/>
  <c r="Y12" i="28" s="1"/>
  <c r="Y13" i="28" s="1"/>
  <c r="N25" i="28"/>
  <c r="N26" i="28" s="1"/>
  <c r="AW23" i="1"/>
  <c r="AW53" i="1" s="1"/>
  <c r="AW25" i="1"/>
  <c r="W26" i="19" s="1"/>
  <c r="W24" i="19"/>
  <c r="AO87" i="1"/>
  <c r="AO180" i="1"/>
  <c r="AO179" i="1" s="1"/>
  <c r="U44" i="19"/>
  <c r="E107" i="18"/>
  <c r="F106" i="18"/>
  <c r="D109" i="18"/>
  <c r="AP73" i="1"/>
  <c r="AP109" i="1"/>
  <c r="L51" i="18"/>
  <c r="L44" i="18"/>
  <c r="L101" i="18"/>
  <c r="L26" i="18"/>
  <c r="L27" i="18" s="1"/>
  <c r="L34" i="18"/>
  <c r="L36" i="18" s="1"/>
  <c r="P15" i="18"/>
  <c r="P23" i="18" s="1"/>
  <c r="P25" i="18" s="1"/>
  <c r="AT33" i="1"/>
  <c r="AT58" i="1"/>
  <c r="AT66" i="1"/>
  <c r="AT67" i="1"/>
  <c r="AT140" i="1"/>
  <c r="AV151" i="1" s="1"/>
  <c r="B97" i="18"/>
  <c r="B135" i="18" s="1"/>
  <c r="B154" i="18" s="1"/>
  <c r="B155" i="18" s="1"/>
  <c r="B69" i="18" s="1"/>
  <c r="B71" i="18" s="1"/>
  <c r="B74" i="18" s="1"/>
  <c r="B77" i="18" s="1"/>
  <c r="B134" i="18"/>
  <c r="B153" i="18" s="1"/>
  <c r="O31" i="18"/>
  <c r="I83" i="18"/>
  <c r="I120" i="18"/>
  <c r="I139" i="18" s="1"/>
  <c r="AU33" i="1"/>
  <c r="AU63" i="1" s="1"/>
  <c r="Q15" i="18"/>
  <c r="Q23" i="18" s="1"/>
  <c r="Q25" i="18" s="1"/>
  <c r="AU58" i="1"/>
  <c r="AU66" i="1"/>
  <c r="AU67" i="1"/>
  <c r="AU140" i="1"/>
  <c r="AU141" i="1" s="1"/>
  <c r="G85" i="18"/>
  <c r="G122" i="18"/>
  <c r="G141" i="18" s="1"/>
  <c r="N31" i="18"/>
  <c r="C88" i="18"/>
  <c r="C125" i="18"/>
  <c r="C144" i="18" s="1"/>
  <c r="F85" i="18"/>
  <c r="F122" i="18"/>
  <c r="F141" i="18" s="1"/>
  <c r="I57" i="18"/>
  <c r="I68" i="18"/>
  <c r="AW43" i="1"/>
  <c r="AW44" i="1"/>
  <c r="AW54" i="1"/>
  <c r="AW57" i="1"/>
  <c r="C109" i="18"/>
  <c r="G106" i="18"/>
  <c r="H105" i="18"/>
  <c r="J56" i="18"/>
  <c r="J62" i="18"/>
  <c r="J82" i="18" s="1"/>
  <c r="AM84" i="21"/>
  <c r="AM82" i="21"/>
  <c r="AM86" i="21"/>
  <c r="AM77" i="21"/>
  <c r="AM81" i="21"/>
  <c r="AM83" i="21"/>
  <c r="AM79" i="21"/>
  <c r="AM78" i="21"/>
  <c r="AM80" i="21"/>
  <c r="K44" i="18"/>
  <c r="K101" i="18"/>
  <c r="K26" i="18"/>
  <c r="K27" i="18" s="1"/>
  <c r="K34" i="18"/>
  <c r="K36" i="18" s="1"/>
  <c r="AW100" i="1"/>
  <c r="W62" i="19"/>
  <c r="V37" i="19"/>
  <c r="V96" i="19" s="1"/>
  <c r="AR63" i="1"/>
  <c r="V34" i="19"/>
  <c r="AQ147" i="1"/>
  <c r="AQ146" i="1"/>
  <c r="AR168" i="1"/>
  <c r="M4" i="18"/>
  <c r="M6" i="18" s="1"/>
  <c r="AR106" i="1"/>
  <c r="AQ145" i="1"/>
  <c r="AQ172" i="1"/>
  <c r="AQ128" i="1"/>
  <c r="AQ132" i="1" s="1"/>
  <c r="AQ108" i="1"/>
  <c r="AQ131" i="1"/>
  <c r="I104" i="18"/>
  <c r="H84" i="18"/>
  <c r="H121" i="18"/>
  <c r="H140" i="18" s="1"/>
  <c r="AW21" i="1"/>
  <c r="AV28" i="1"/>
  <c r="AC8" i="28" s="1"/>
  <c r="AV56" i="1"/>
  <c r="E86" i="18"/>
  <c r="E123" i="18"/>
  <c r="E142" i="18" s="1"/>
  <c r="D88" i="18"/>
  <c r="D125" i="18"/>
  <c r="D144" i="18" s="1"/>
  <c r="AR141" i="1"/>
  <c r="AT151" i="1"/>
  <c r="AU151" i="1"/>
  <c r="AN171" i="1"/>
  <c r="AN68" i="21"/>
  <c r="AN170" i="1"/>
  <c r="AN173" i="1" s="1"/>
  <c r="AN178" i="1"/>
  <c r="J33" i="18"/>
  <c r="J35" i="18" s="1"/>
  <c r="AN184" i="1"/>
  <c r="J103" i="18"/>
  <c r="R29" i="18"/>
  <c r="R22" i="18"/>
  <c r="AV55" i="1"/>
  <c r="Z9" i="28" l="1"/>
  <c r="Z12" i="28" s="1"/>
  <c r="Z13" i="28" s="1"/>
  <c r="X6" i="28"/>
  <c r="AW26" i="1"/>
  <c r="AW51" i="1"/>
  <c r="AW22" i="1"/>
  <c r="AW52" i="1" s="1"/>
  <c r="W22" i="19"/>
  <c r="W23" i="19" s="1"/>
  <c r="J83" i="18"/>
  <c r="J120" i="18"/>
  <c r="J139" i="18" s="1"/>
  <c r="AN84" i="21"/>
  <c r="AN78" i="21"/>
  <c r="AN79" i="21"/>
  <c r="AN77" i="21"/>
  <c r="AN80" i="21"/>
  <c r="AN86" i="21"/>
  <c r="AN83" i="21"/>
  <c r="AN82" i="21"/>
  <c r="AN81" i="21"/>
  <c r="D89" i="18"/>
  <c r="D126" i="18"/>
  <c r="D145" i="18" s="1"/>
  <c r="AV33" i="1"/>
  <c r="AV63" i="1" s="1"/>
  <c r="R15" i="18"/>
  <c r="R23" i="18" s="1"/>
  <c r="R25" i="18" s="1"/>
  <c r="AV140" i="1"/>
  <c r="AV141" i="1" s="1"/>
  <c r="AV58" i="1"/>
  <c r="AV66" i="1"/>
  <c r="AV67" i="1"/>
  <c r="H106" i="18"/>
  <c r="C110" i="18"/>
  <c r="F86" i="18"/>
  <c r="F123" i="18"/>
  <c r="F142" i="18" s="1"/>
  <c r="E108" i="18"/>
  <c r="Q31" i="18"/>
  <c r="I84" i="18"/>
  <c r="I121" i="18"/>
  <c r="I140" i="18" s="1"/>
  <c r="P31" i="18"/>
  <c r="L102" i="18"/>
  <c r="AP87" i="1"/>
  <c r="AP110" i="1" s="1"/>
  <c r="AP180" i="1"/>
  <c r="AP179" i="1" s="1"/>
  <c r="AW151" i="1"/>
  <c r="E87" i="18"/>
  <c r="E124" i="18"/>
  <c r="E143" i="18" s="1"/>
  <c r="M12" i="18"/>
  <c r="M51" i="18" s="1"/>
  <c r="W71" i="19"/>
  <c r="K102" i="18"/>
  <c r="J57" i="18"/>
  <c r="J68" i="18"/>
  <c r="G107" i="18"/>
  <c r="C89" i="18"/>
  <c r="C126" i="18"/>
  <c r="C145" i="18" s="1"/>
  <c r="AT141" i="1"/>
  <c r="AT63" i="1"/>
  <c r="L52" i="18"/>
  <c r="L53" i="18"/>
  <c r="L55" i="18" s="1"/>
  <c r="D110" i="18"/>
  <c r="F107" i="18"/>
  <c r="AO68" i="21"/>
  <c r="AO171" i="1"/>
  <c r="AO170" i="1"/>
  <c r="AO173" i="1" s="1"/>
  <c r="AO178" i="1"/>
  <c r="K33" i="18"/>
  <c r="K35" i="18" s="1"/>
  <c r="AO184" i="1"/>
  <c r="U87" i="19" s="1"/>
  <c r="S29" i="18"/>
  <c r="S22" i="18"/>
  <c r="AW55" i="1"/>
  <c r="I105" i="18"/>
  <c r="AQ109" i="1"/>
  <c r="AQ73" i="1"/>
  <c r="N4" i="18"/>
  <c r="N6" i="18" s="1"/>
  <c r="AR128" i="1"/>
  <c r="AR132" i="1" s="1"/>
  <c r="AR145" i="1"/>
  <c r="AR146" i="1"/>
  <c r="AS168" i="1"/>
  <c r="AR108" i="1"/>
  <c r="AR131" i="1"/>
  <c r="AS106" i="1"/>
  <c r="AA9" i="28" s="1"/>
  <c r="AA12" i="28" s="1"/>
  <c r="AA13" i="28" s="1"/>
  <c r="AR172" i="1"/>
  <c r="AR147" i="1"/>
  <c r="J104" i="18"/>
  <c r="H85" i="18"/>
  <c r="H122" i="18"/>
  <c r="H141" i="18" s="1"/>
  <c r="K53" i="18"/>
  <c r="K55" i="18" s="1"/>
  <c r="K52" i="18"/>
  <c r="G86" i="18"/>
  <c r="G123" i="18"/>
  <c r="G142" i="18" s="1"/>
  <c r="U58" i="19"/>
  <c r="U90" i="19" s="1"/>
  <c r="AO110" i="1"/>
  <c r="AW28" i="1"/>
  <c r="AW56" i="1"/>
  <c r="W27" i="19"/>
  <c r="AS148" i="1" l="1"/>
  <c r="N18" i="28" s="1"/>
  <c r="Y6" i="28"/>
  <c r="W29" i="19"/>
  <c r="O21" i="28" s="1"/>
  <c r="O22" i="28" s="1"/>
  <c r="P22" i="28" s="1"/>
  <c r="Q22" i="28" s="1"/>
  <c r="R22" i="28" s="1"/>
  <c r="S22" i="28" s="1"/>
  <c r="T22" i="28" s="1"/>
  <c r="U22" i="28" s="1"/>
  <c r="V22" i="28" s="1"/>
  <c r="W22" i="28" s="1"/>
  <c r="X22" i="28" s="1"/>
  <c r="AD8" i="28"/>
  <c r="AR109" i="1"/>
  <c r="AR73" i="1"/>
  <c r="F108" i="18"/>
  <c r="E88" i="18"/>
  <c r="E125" i="18"/>
  <c r="E144" i="18" s="1"/>
  <c r="AP68" i="21"/>
  <c r="AP171" i="1"/>
  <c r="AP170" i="1"/>
  <c r="AP173" i="1" s="1"/>
  <c r="L33" i="18"/>
  <c r="L35" i="18" s="1"/>
  <c r="AP178" i="1"/>
  <c r="AP184" i="1"/>
  <c r="G108" i="18"/>
  <c r="K103" i="18"/>
  <c r="F87" i="18"/>
  <c r="F124" i="18"/>
  <c r="F143" i="18" s="1"/>
  <c r="H107" i="18"/>
  <c r="J84" i="18"/>
  <c r="J121" i="18"/>
  <c r="J140" i="18" s="1"/>
  <c r="G87" i="18"/>
  <c r="G124" i="18"/>
  <c r="G143" i="18" s="1"/>
  <c r="N12" i="18"/>
  <c r="N51" i="18" s="1"/>
  <c r="S15" i="18"/>
  <c r="S23" i="18" s="1"/>
  <c r="S25" i="18" s="1"/>
  <c r="AW33" i="1"/>
  <c r="AW58" i="1"/>
  <c r="AW66" i="1"/>
  <c r="AW67" i="1"/>
  <c r="AW140" i="1"/>
  <c r="AS147" i="1"/>
  <c r="AS128" i="1"/>
  <c r="AS132" i="1" s="1"/>
  <c r="AS145" i="1"/>
  <c r="AS108" i="1"/>
  <c r="AS131" i="1"/>
  <c r="AS172" i="1"/>
  <c r="AT106" i="1"/>
  <c r="O4" i="18"/>
  <c r="O6" i="18" s="1"/>
  <c r="AT168" i="1"/>
  <c r="AS146" i="1"/>
  <c r="V77" i="19"/>
  <c r="O20" i="28" s="1"/>
  <c r="AQ180" i="1"/>
  <c r="AQ179" i="1" s="1"/>
  <c r="AQ87" i="1"/>
  <c r="AQ110" i="1" s="1"/>
  <c r="AO86" i="21"/>
  <c r="AO77" i="21"/>
  <c r="AO82" i="21"/>
  <c r="AO80" i="21"/>
  <c r="AO81" i="21"/>
  <c r="AO84" i="21"/>
  <c r="AO83" i="21"/>
  <c r="AO79" i="21"/>
  <c r="AO78" i="21"/>
  <c r="D111" i="18"/>
  <c r="D70" i="18"/>
  <c r="M44" i="18"/>
  <c r="M101" i="18"/>
  <c r="M26" i="18"/>
  <c r="M27" i="18" s="1"/>
  <c r="M34" i="18"/>
  <c r="M36" i="18" s="1"/>
  <c r="E109" i="18"/>
  <c r="D90" i="18"/>
  <c r="D127" i="18"/>
  <c r="D146" i="18" s="1"/>
  <c r="J105" i="18"/>
  <c r="I106" i="18"/>
  <c r="K62" i="18"/>
  <c r="K82" i="18" s="1"/>
  <c r="K56" i="18"/>
  <c r="H86" i="18"/>
  <c r="H123" i="18"/>
  <c r="H142" i="18" s="1"/>
  <c r="L56" i="18"/>
  <c r="L62" i="18"/>
  <c r="L82" i="18" s="1"/>
  <c r="C90" i="18"/>
  <c r="C127" i="18"/>
  <c r="C146" i="18" s="1"/>
  <c r="L103" i="18"/>
  <c r="I85" i="18"/>
  <c r="I122" i="18"/>
  <c r="I141" i="18" s="1"/>
  <c r="C111" i="18"/>
  <c r="C70" i="18"/>
  <c r="R31" i="18"/>
  <c r="S20" i="5" l="1"/>
  <c r="O25" i="28"/>
  <c r="P20" i="28" s="1"/>
  <c r="P28" i="28" s="1"/>
  <c r="O28" i="28"/>
  <c r="O31" i="28" s="1"/>
  <c r="O32" i="28" s="1"/>
  <c r="AB9" i="28"/>
  <c r="AB12" i="28" s="1"/>
  <c r="AB13" i="28" s="1"/>
  <c r="W37" i="19"/>
  <c r="W96" i="19" s="1"/>
  <c r="Z6" i="28"/>
  <c r="N19" i="28"/>
  <c r="N29" i="28"/>
  <c r="H87" i="18"/>
  <c r="H124" i="18"/>
  <c r="H143" i="18" s="1"/>
  <c r="C112" i="18"/>
  <c r="L104" i="18"/>
  <c r="L57" i="18"/>
  <c r="L68" i="18"/>
  <c r="K57" i="18"/>
  <c r="K68" i="18"/>
  <c r="AQ68" i="21"/>
  <c r="AQ171" i="1"/>
  <c r="AQ170" i="1"/>
  <c r="AQ173" i="1" s="1"/>
  <c r="M33" i="18"/>
  <c r="M35" i="18" s="1"/>
  <c r="AQ178" i="1"/>
  <c r="AQ184" i="1"/>
  <c r="L83" i="18"/>
  <c r="L120" i="18"/>
  <c r="L139" i="18" s="1"/>
  <c r="K83" i="18"/>
  <c r="K120" i="18"/>
  <c r="K139" i="18" s="1"/>
  <c r="J106" i="18"/>
  <c r="E110" i="18"/>
  <c r="M102" i="18"/>
  <c r="D112" i="18"/>
  <c r="G88" i="18"/>
  <c r="G125" i="18"/>
  <c r="G144" i="18" s="1"/>
  <c r="H108" i="18"/>
  <c r="K104" i="18"/>
  <c r="AP78" i="21"/>
  <c r="AP79" i="21"/>
  <c r="AP84" i="21"/>
  <c r="AP83" i="21"/>
  <c r="AP80" i="21"/>
  <c r="AP81" i="21"/>
  <c r="AP86" i="21"/>
  <c r="AP82" i="21"/>
  <c r="AP77" i="21"/>
  <c r="F109" i="18"/>
  <c r="I107" i="18"/>
  <c r="D91" i="18"/>
  <c r="D128" i="18"/>
  <c r="D147" i="18" s="1"/>
  <c r="I86" i="18"/>
  <c r="I123" i="18"/>
  <c r="I142" i="18" s="1"/>
  <c r="C91" i="18"/>
  <c r="C128" i="18"/>
  <c r="C147" i="18" s="1"/>
  <c r="M52" i="18"/>
  <c r="M53" i="18"/>
  <c r="M55" i="18" s="1"/>
  <c r="O12" i="18"/>
  <c r="O51" i="18" s="1"/>
  <c r="V79" i="19"/>
  <c r="AS109" i="1"/>
  <c r="V80" i="19" s="1"/>
  <c r="AS73" i="1"/>
  <c r="AW141" i="1"/>
  <c r="AY151" i="1"/>
  <c r="AW63" i="1"/>
  <c r="W34" i="19"/>
  <c r="N101" i="18"/>
  <c r="N44" i="18"/>
  <c r="N26" i="18"/>
  <c r="N27" i="18" s="1"/>
  <c r="N34" i="18"/>
  <c r="N36" i="18" s="1"/>
  <c r="AR180" i="1"/>
  <c r="AR179" i="1" s="1"/>
  <c r="AR87" i="1"/>
  <c r="AR110" i="1" s="1"/>
  <c r="V92" i="19"/>
  <c r="V91" i="19"/>
  <c r="E14" i="17" s="1"/>
  <c r="E16" i="17" s="1"/>
  <c r="E18" i="17" s="1"/>
  <c r="AT147" i="1"/>
  <c r="AT128" i="1"/>
  <c r="AT132" i="1" s="1"/>
  <c r="AT131" i="1"/>
  <c r="AT146" i="1"/>
  <c r="AU106" i="1"/>
  <c r="P4" i="18"/>
  <c r="P6" i="18" s="1"/>
  <c r="AT108" i="1"/>
  <c r="AT145" i="1"/>
  <c r="AU168" i="1"/>
  <c r="AT172" i="1"/>
  <c r="S31" i="18"/>
  <c r="J85" i="18"/>
  <c r="J122" i="18"/>
  <c r="J141" i="18" s="1"/>
  <c r="F88" i="18"/>
  <c r="F125" i="18"/>
  <c r="F144" i="18" s="1"/>
  <c r="G109" i="18"/>
  <c r="E89" i="18"/>
  <c r="E126" i="18"/>
  <c r="E145" i="18" s="1"/>
  <c r="AC9" i="28" l="1"/>
  <c r="AC12" i="28" s="1"/>
  <c r="AC13" i="28" s="1"/>
  <c r="AA6" i="28"/>
  <c r="O26" i="28"/>
  <c r="AU147" i="1"/>
  <c r="Q4" i="18"/>
  <c r="Q6" i="18" s="1"/>
  <c r="Q12" i="18" s="1"/>
  <c r="AU128" i="1"/>
  <c r="AU132" i="1" s="1"/>
  <c r="AV106" i="1"/>
  <c r="AU172" i="1"/>
  <c r="AU146" i="1"/>
  <c r="AU131" i="1"/>
  <c r="AV168" i="1"/>
  <c r="AU108" i="1"/>
  <c r="AU145" i="1"/>
  <c r="V44" i="19"/>
  <c r="AS87" i="1"/>
  <c r="AS180" i="1"/>
  <c r="AS179" i="1" s="1"/>
  <c r="O101" i="18"/>
  <c r="O44" i="18"/>
  <c r="O26" i="18"/>
  <c r="O27" i="18" s="1"/>
  <c r="O34" i="18"/>
  <c r="O36" i="18" s="1"/>
  <c r="C92" i="18"/>
  <c r="C129" i="18"/>
  <c r="C148" i="18" s="1"/>
  <c r="D92" i="18"/>
  <c r="D129" i="18"/>
  <c r="D148" i="18" s="1"/>
  <c r="L105" i="18"/>
  <c r="H88" i="18"/>
  <c r="H125" i="18"/>
  <c r="H144" i="18" s="1"/>
  <c r="AR171" i="1"/>
  <c r="AR170" i="1"/>
  <c r="AR173" i="1" s="1"/>
  <c r="AR68" i="21"/>
  <c r="N33" i="18"/>
  <c r="N35" i="18" s="1"/>
  <c r="AR178" i="1"/>
  <c r="AR184" i="1"/>
  <c r="N52" i="18"/>
  <c r="N53" i="18"/>
  <c r="N55" i="18" s="1"/>
  <c r="M56" i="18"/>
  <c r="M62" i="18"/>
  <c r="M82" i="18" s="1"/>
  <c r="K105" i="18"/>
  <c r="G89" i="18"/>
  <c r="G126" i="18"/>
  <c r="G145" i="18" s="1"/>
  <c r="D113" i="18"/>
  <c r="E111" i="18"/>
  <c r="E70" i="18"/>
  <c r="K84" i="18"/>
  <c r="K121" i="18"/>
  <c r="K140" i="18" s="1"/>
  <c r="I87" i="18"/>
  <c r="I124" i="18"/>
  <c r="I143" i="18" s="1"/>
  <c r="I108" i="18"/>
  <c r="F110" i="18"/>
  <c r="AQ82" i="21"/>
  <c r="AQ78" i="21"/>
  <c r="AQ79" i="21"/>
  <c r="AQ83" i="21"/>
  <c r="AQ77" i="21"/>
  <c r="AQ84" i="21"/>
  <c r="AQ81" i="21"/>
  <c r="AQ86" i="21"/>
  <c r="AQ80" i="21"/>
  <c r="C113" i="18"/>
  <c r="G110" i="18"/>
  <c r="J86" i="18"/>
  <c r="J123" i="18"/>
  <c r="J142" i="18" s="1"/>
  <c r="AT109" i="1"/>
  <c r="AT73" i="1"/>
  <c r="N102" i="18"/>
  <c r="E90" i="18"/>
  <c r="E127" i="18"/>
  <c r="E146" i="18" s="1"/>
  <c r="F89" i="18"/>
  <c r="F126" i="18"/>
  <c r="F145" i="18" s="1"/>
  <c r="P12" i="18"/>
  <c r="P51" i="18" s="1"/>
  <c r="H109" i="18"/>
  <c r="M103" i="18"/>
  <c r="J107" i="18"/>
  <c r="L84" i="18"/>
  <c r="L121" i="18"/>
  <c r="L140" i="18" s="1"/>
  <c r="AB6" i="28" l="1"/>
  <c r="AD9" i="28"/>
  <c r="AD12" i="28" s="1"/>
  <c r="AD13" i="28" s="1"/>
  <c r="L85" i="18"/>
  <c r="L122" i="18"/>
  <c r="L141" i="18" s="1"/>
  <c r="I109" i="18"/>
  <c r="AU109" i="1"/>
  <c r="AU73" i="1"/>
  <c r="E112" i="18"/>
  <c r="C93" i="18"/>
  <c r="C130" i="18"/>
  <c r="C149" i="18" s="1"/>
  <c r="H110" i="18"/>
  <c r="F90" i="18"/>
  <c r="F127" i="18"/>
  <c r="F146" i="18" s="1"/>
  <c r="N103" i="18"/>
  <c r="J87" i="18"/>
  <c r="J124" i="18"/>
  <c r="J143" i="18" s="1"/>
  <c r="C114" i="18"/>
  <c r="K85" i="18"/>
  <c r="K122" i="18"/>
  <c r="K141" i="18" s="1"/>
  <c r="N56" i="18"/>
  <c r="N62" i="18"/>
  <c r="N82" i="18" s="1"/>
  <c r="O102" i="18"/>
  <c r="AV147" i="1"/>
  <c r="R4" i="18"/>
  <c r="R6" i="18" s="1"/>
  <c r="AV131" i="1"/>
  <c r="AV146" i="1"/>
  <c r="AV172" i="1"/>
  <c r="AV128" i="1"/>
  <c r="AV132" i="1" s="1"/>
  <c r="AW106" i="1"/>
  <c r="AW168" i="1"/>
  <c r="AV145" i="1"/>
  <c r="AV108" i="1"/>
  <c r="J108" i="18"/>
  <c r="L106" i="18"/>
  <c r="M104" i="18"/>
  <c r="AT87" i="1"/>
  <c r="AT110" i="1" s="1"/>
  <c r="AT180" i="1"/>
  <c r="AT179" i="1" s="1"/>
  <c r="F111" i="18"/>
  <c r="F70" i="18"/>
  <c r="I88" i="18"/>
  <c r="I125" i="18"/>
  <c r="I144" i="18" s="1"/>
  <c r="D114" i="18"/>
  <c r="K106" i="18"/>
  <c r="AR84" i="21"/>
  <c r="AR83" i="21"/>
  <c r="AR82" i="21"/>
  <c r="AR79" i="21"/>
  <c r="AR86" i="21"/>
  <c r="AR81" i="21"/>
  <c r="AR77" i="21"/>
  <c r="AR80" i="21"/>
  <c r="AR78" i="21"/>
  <c r="H89" i="18"/>
  <c r="H126" i="18"/>
  <c r="H145" i="18" s="1"/>
  <c r="D93" i="18"/>
  <c r="D130" i="18"/>
  <c r="D149" i="18" s="1"/>
  <c r="AS170" i="1"/>
  <c r="AS173" i="1" s="1"/>
  <c r="AS68" i="21"/>
  <c r="AS171" i="1"/>
  <c r="O33" i="18"/>
  <c r="O35" i="18" s="1"/>
  <c r="AS178" i="1"/>
  <c r="AS184" i="1"/>
  <c r="V87" i="19" s="1"/>
  <c r="G90" i="18"/>
  <c r="G127" i="18"/>
  <c r="G146" i="18" s="1"/>
  <c r="M57" i="18"/>
  <c r="M68" i="18"/>
  <c r="O53" i="18"/>
  <c r="O55" i="18" s="1"/>
  <c r="O52" i="18"/>
  <c r="P101" i="18"/>
  <c r="P44" i="18"/>
  <c r="P26" i="18"/>
  <c r="P27" i="18" s="1"/>
  <c r="P34" i="18"/>
  <c r="P36" i="18" s="1"/>
  <c r="E91" i="18"/>
  <c r="E128" i="18"/>
  <c r="E147" i="18" s="1"/>
  <c r="G70" i="18"/>
  <c r="G111" i="18"/>
  <c r="M83" i="18"/>
  <c r="M120" i="18"/>
  <c r="M139" i="18" s="1"/>
  <c r="V58" i="19"/>
  <c r="V90" i="19" s="1"/>
  <c r="AS110" i="1"/>
  <c r="Q51" i="18"/>
  <c r="Q44" i="18"/>
  <c r="Q101" i="18"/>
  <c r="Q26" i="18"/>
  <c r="Q27" i="18" s="1"/>
  <c r="Q34" i="18"/>
  <c r="Q36" i="18" s="1"/>
  <c r="AC6" i="28" l="1"/>
  <c r="AS79" i="21"/>
  <c r="AS80" i="21"/>
  <c r="AS77" i="21"/>
  <c r="AS81" i="21"/>
  <c r="AS82" i="21"/>
  <c r="AS86" i="21"/>
  <c r="AS83" i="21"/>
  <c r="AS78" i="21"/>
  <c r="AS84" i="21"/>
  <c r="K107" i="18"/>
  <c r="I89" i="18"/>
  <c r="I126" i="18"/>
  <c r="I145" i="18" s="1"/>
  <c r="AT171" i="1"/>
  <c r="AT170" i="1"/>
  <c r="AT173" i="1" s="1"/>
  <c r="P33" i="18"/>
  <c r="P35" i="18" s="1"/>
  <c r="AT178" i="1"/>
  <c r="AT184" i="1"/>
  <c r="I110" i="18"/>
  <c r="Q53" i="18"/>
  <c r="Q55" i="18" s="1"/>
  <c r="Q52" i="18"/>
  <c r="H90" i="18"/>
  <c r="H127" i="18"/>
  <c r="H146" i="18" s="1"/>
  <c r="D115" i="18"/>
  <c r="L107" i="18"/>
  <c r="AW147" i="1"/>
  <c r="W77" i="19"/>
  <c r="S4" i="18"/>
  <c r="S6" i="18" s="1"/>
  <c r="S12" i="18" s="1"/>
  <c r="AW108" i="1"/>
  <c r="AW145" i="1"/>
  <c r="AW172" i="1"/>
  <c r="AW131" i="1"/>
  <c r="AW128" i="1"/>
  <c r="AW132" i="1" s="1"/>
  <c r="AW146" i="1"/>
  <c r="AW148" i="1"/>
  <c r="O18" i="28" s="1"/>
  <c r="O103" i="18"/>
  <c r="K86" i="18"/>
  <c r="K123" i="18"/>
  <c r="K142" i="18" s="1"/>
  <c r="J88" i="18"/>
  <c r="J125" i="18"/>
  <c r="J144" i="18" s="1"/>
  <c r="F91" i="18"/>
  <c r="F128" i="18"/>
  <c r="F147" i="18" s="1"/>
  <c r="C94" i="18"/>
  <c r="C131" i="18"/>
  <c r="C150" i="18" s="1"/>
  <c r="AU87" i="1"/>
  <c r="AU110" i="1" s="1"/>
  <c r="AU180" i="1"/>
  <c r="AU179" i="1" s="1"/>
  <c r="Q102" i="18"/>
  <c r="G112" i="18"/>
  <c r="P102" i="18"/>
  <c r="M84" i="18"/>
  <c r="M121" i="18"/>
  <c r="M140" i="18" s="1"/>
  <c r="O56" i="18"/>
  <c r="O62" i="18"/>
  <c r="O82" i="18" s="1"/>
  <c r="G91" i="18"/>
  <c r="G128" i="18"/>
  <c r="G147" i="18" s="1"/>
  <c r="AV73" i="1"/>
  <c r="AV109" i="1"/>
  <c r="R12" i="18"/>
  <c r="N83" i="18"/>
  <c r="N120" i="18"/>
  <c r="N139" i="18" s="1"/>
  <c r="L86" i="18"/>
  <c r="L123" i="18"/>
  <c r="L142" i="18" s="1"/>
  <c r="E92" i="18"/>
  <c r="E129" i="18"/>
  <c r="E148" i="18" s="1"/>
  <c r="P53" i="18"/>
  <c r="P55" i="18" s="1"/>
  <c r="P52" i="18"/>
  <c r="D94" i="18"/>
  <c r="D131" i="18"/>
  <c r="D150" i="18" s="1"/>
  <c r="F112" i="18"/>
  <c r="M105" i="18"/>
  <c r="J109" i="18"/>
  <c r="N57" i="18"/>
  <c r="N68" i="18"/>
  <c r="C115" i="18"/>
  <c r="N104" i="18"/>
  <c r="H111" i="18"/>
  <c r="H70" i="18"/>
  <c r="E113" i="18"/>
  <c r="O19" i="28" l="1"/>
  <c r="O29" i="28"/>
  <c r="AD6" i="28"/>
  <c r="E114" i="18"/>
  <c r="F113" i="18"/>
  <c r="K87" i="18"/>
  <c r="K124" i="18"/>
  <c r="K143" i="18" s="1"/>
  <c r="N105" i="18"/>
  <c r="O83" i="18"/>
  <c r="O120" i="18"/>
  <c r="O139" i="18" s="1"/>
  <c r="D116" i="18"/>
  <c r="Q62" i="18"/>
  <c r="Q82" i="18" s="1"/>
  <c r="Q56" i="18"/>
  <c r="P62" i="18"/>
  <c r="P82" i="18" s="1"/>
  <c r="P56" i="18"/>
  <c r="R101" i="18"/>
  <c r="R44" i="18"/>
  <c r="R26" i="18"/>
  <c r="R27" i="18" s="1"/>
  <c r="R34" i="18"/>
  <c r="R36" i="18" s="1"/>
  <c r="G92" i="18"/>
  <c r="G129" i="18"/>
  <c r="G148" i="18" s="1"/>
  <c r="G113" i="18"/>
  <c r="F92" i="18"/>
  <c r="F129" i="18"/>
  <c r="F148" i="18" s="1"/>
  <c r="M106" i="18"/>
  <c r="D95" i="18"/>
  <c r="D132" i="18"/>
  <c r="D151" i="18" s="1"/>
  <c r="E93" i="18"/>
  <c r="E130" i="18"/>
  <c r="E149" i="18" s="1"/>
  <c r="N84" i="18"/>
  <c r="N121" i="18"/>
  <c r="N140" i="18" s="1"/>
  <c r="AV87" i="1"/>
  <c r="AV110" i="1" s="1"/>
  <c r="AV180" i="1"/>
  <c r="AV179" i="1" s="1"/>
  <c r="O57" i="18"/>
  <c r="O68" i="18"/>
  <c r="P103" i="18"/>
  <c r="Q103" i="18"/>
  <c r="C95" i="18"/>
  <c r="C132" i="18"/>
  <c r="C151" i="18" s="1"/>
  <c r="J89" i="18"/>
  <c r="J126" i="18"/>
  <c r="J145" i="18" s="1"/>
  <c r="O104" i="18"/>
  <c r="W79" i="19"/>
  <c r="AW109" i="1"/>
  <c r="W80" i="19" s="1"/>
  <c r="AW73" i="1"/>
  <c r="K108" i="18"/>
  <c r="J110" i="18"/>
  <c r="L87" i="18"/>
  <c r="L124" i="18"/>
  <c r="L143" i="18" s="1"/>
  <c r="M85" i="18"/>
  <c r="M122" i="18"/>
  <c r="M141" i="18" s="1"/>
  <c r="H112" i="18"/>
  <c r="C116" i="18"/>
  <c r="R51" i="18"/>
  <c r="AU170" i="1"/>
  <c r="AU173" i="1" s="1"/>
  <c r="AU171" i="1"/>
  <c r="Q33" i="18"/>
  <c r="Q35" i="18" s="1"/>
  <c r="AU178" i="1"/>
  <c r="AU184" i="1"/>
  <c r="S21" i="5"/>
  <c r="S51" i="18"/>
  <c r="S101" i="18"/>
  <c r="S44" i="18"/>
  <c r="S26" i="18"/>
  <c r="S27" i="18" s="1"/>
  <c r="S34" i="18"/>
  <c r="S36" i="18" s="1"/>
  <c r="L108" i="18"/>
  <c r="H91" i="18"/>
  <c r="H128" i="18"/>
  <c r="H147" i="18" s="1"/>
  <c r="I111" i="18"/>
  <c r="I70" i="18"/>
  <c r="W92" i="19"/>
  <c r="W91" i="19"/>
  <c r="F14" i="17" s="1"/>
  <c r="F16" i="17" s="1"/>
  <c r="F18" i="17" s="1"/>
  <c r="I90" i="18"/>
  <c r="I127" i="18"/>
  <c r="I146" i="18" s="1"/>
  <c r="AV170" i="1" l="1"/>
  <c r="AV173" i="1" s="1"/>
  <c r="AV171" i="1"/>
  <c r="R33" i="18"/>
  <c r="R35" i="18" s="1"/>
  <c r="AV178" i="1"/>
  <c r="AV184" i="1"/>
  <c r="F93" i="18"/>
  <c r="F130" i="18"/>
  <c r="F149" i="18" s="1"/>
  <c r="G93" i="18"/>
  <c r="G130" i="18"/>
  <c r="G149" i="18" s="1"/>
  <c r="R53" i="18"/>
  <c r="R55" i="18" s="1"/>
  <c r="R52" i="18"/>
  <c r="I91" i="18"/>
  <c r="I128" i="18"/>
  <c r="I147" i="18" s="1"/>
  <c r="S102" i="18"/>
  <c r="I112" i="18"/>
  <c r="L109" i="18"/>
  <c r="S52" i="18"/>
  <c r="S53" i="18"/>
  <c r="S55" i="18" s="1"/>
  <c r="M86" i="18"/>
  <c r="M123" i="18"/>
  <c r="M142" i="18" s="1"/>
  <c r="J111" i="18"/>
  <c r="J70" i="18"/>
  <c r="AW180" i="1"/>
  <c r="AW179" i="1" s="1"/>
  <c r="W44" i="19"/>
  <c r="AW87" i="1"/>
  <c r="O105" i="18"/>
  <c r="C96" i="18"/>
  <c r="C133" i="18"/>
  <c r="C152" i="18" s="1"/>
  <c r="P104" i="18"/>
  <c r="E94" i="18"/>
  <c r="E131" i="18"/>
  <c r="E150" i="18" s="1"/>
  <c r="M107" i="18"/>
  <c r="R102" i="18"/>
  <c r="N106" i="18"/>
  <c r="F114" i="18"/>
  <c r="G114" i="18"/>
  <c r="P57" i="18"/>
  <c r="P68" i="18"/>
  <c r="Q57" i="18"/>
  <c r="Q68" i="18"/>
  <c r="H92" i="18"/>
  <c r="H129" i="18"/>
  <c r="H148" i="18" s="1"/>
  <c r="H113" i="18"/>
  <c r="L88" i="18"/>
  <c r="L125" i="18"/>
  <c r="L144" i="18" s="1"/>
  <c r="K109" i="18"/>
  <c r="J90" i="18"/>
  <c r="J127" i="18"/>
  <c r="J146" i="18" s="1"/>
  <c r="Q104" i="18"/>
  <c r="N85" i="18"/>
  <c r="N122" i="18"/>
  <c r="N141" i="18" s="1"/>
  <c r="D96" i="18"/>
  <c r="D133" i="18"/>
  <c r="D152" i="18" s="1"/>
  <c r="P83" i="18"/>
  <c r="P120" i="18"/>
  <c r="P139" i="18" s="1"/>
  <c r="Q83" i="18"/>
  <c r="Q120" i="18"/>
  <c r="Q139" i="18" s="1"/>
  <c r="O84" i="18"/>
  <c r="O121" i="18"/>
  <c r="O140" i="18" s="1"/>
  <c r="K88" i="18"/>
  <c r="K125" i="18"/>
  <c r="K144" i="18" s="1"/>
  <c r="E115" i="18"/>
  <c r="J112" i="18" l="1"/>
  <c r="I92" i="18"/>
  <c r="I129" i="18"/>
  <c r="I148" i="18" s="1"/>
  <c r="F115" i="18"/>
  <c r="R103" i="18"/>
  <c r="K89" i="18"/>
  <c r="K126" i="18"/>
  <c r="K145" i="18" s="1"/>
  <c r="D97" i="18"/>
  <c r="D135" i="18" s="1"/>
  <c r="D154" i="18" s="1"/>
  <c r="D134" i="18"/>
  <c r="D153" i="18" s="1"/>
  <c r="Q105" i="18"/>
  <c r="K110" i="18"/>
  <c r="H114" i="18"/>
  <c r="AW171" i="1"/>
  <c r="AW170" i="1"/>
  <c r="AW173" i="1" s="1"/>
  <c r="S33" i="18"/>
  <c r="S35" i="18" s="1"/>
  <c r="AW178" i="1"/>
  <c r="AW184" i="1"/>
  <c r="W87" i="19" s="1"/>
  <c r="L110" i="18"/>
  <c r="G94" i="18"/>
  <c r="G131" i="18"/>
  <c r="G150" i="18" s="1"/>
  <c r="E95" i="18"/>
  <c r="E132" i="18"/>
  <c r="E151" i="18" s="1"/>
  <c r="Q84" i="18"/>
  <c r="Q121" i="18"/>
  <c r="Q140" i="18" s="1"/>
  <c r="G115" i="18"/>
  <c r="N107" i="18"/>
  <c r="M108" i="18"/>
  <c r="P105" i="18"/>
  <c r="O106" i="18"/>
  <c r="M87" i="18"/>
  <c r="M124" i="18"/>
  <c r="M143" i="18" s="1"/>
  <c r="S62" i="18"/>
  <c r="S82" i="18" s="1"/>
  <c r="S56" i="18"/>
  <c r="S103" i="18"/>
  <c r="C97" i="18"/>
  <c r="C135" i="18" s="1"/>
  <c r="C154" i="18" s="1"/>
  <c r="C134" i="18"/>
  <c r="C153" i="18" s="1"/>
  <c r="E116" i="18"/>
  <c r="O85" i="18"/>
  <c r="O122" i="18"/>
  <c r="O141" i="18" s="1"/>
  <c r="P84" i="18"/>
  <c r="P121" i="18"/>
  <c r="P140" i="18" s="1"/>
  <c r="N86" i="18"/>
  <c r="N123" i="18"/>
  <c r="N142" i="18" s="1"/>
  <c r="J91" i="18"/>
  <c r="J128" i="18"/>
  <c r="J147" i="18" s="1"/>
  <c r="L89" i="18"/>
  <c r="L126" i="18"/>
  <c r="L145" i="18" s="1"/>
  <c r="H93" i="18"/>
  <c r="H130" i="18"/>
  <c r="H149" i="18" s="1"/>
  <c r="W58" i="19"/>
  <c r="W90" i="19" s="1"/>
  <c r="AW110" i="1"/>
  <c r="I113" i="18"/>
  <c r="R56" i="18"/>
  <c r="R62" i="18"/>
  <c r="R82" i="18" s="1"/>
  <c r="F94" i="18"/>
  <c r="F131" i="18"/>
  <c r="F150" i="18" s="1"/>
  <c r="L90" i="18" l="1"/>
  <c r="L127" i="18"/>
  <c r="L146" i="18" s="1"/>
  <c r="N87" i="18"/>
  <c r="N124" i="18"/>
  <c r="N143" i="18" s="1"/>
  <c r="O86" i="18"/>
  <c r="O123" i="18"/>
  <c r="O142" i="18" s="1"/>
  <c r="C155" i="18"/>
  <c r="C69" i="18" s="1"/>
  <c r="C71" i="18" s="1"/>
  <c r="C74" i="18" s="1"/>
  <c r="C77" i="18" s="1"/>
  <c r="R45" i="5" s="1"/>
  <c r="E96" i="18"/>
  <c r="E133" i="18"/>
  <c r="E152" i="18" s="1"/>
  <c r="H115" i="18"/>
  <c r="Q106" i="18"/>
  <c r="K90" i="18"/>
  <c r="K127" i="18"/>
  <c r="K146" i="18" s="1"/>
  <c r="F116" i="18"/>
  <c r="J113" i="18"/>
  <c r="R83" i="18"/>
  <c r="R120" i="18"/>
  <c r="R139" i="18" s="1"/>
  <c r="H94" i="18"/>
  <c r="H131" i="18"/>
  <c r="H150" i="18" s="1"/>
  <c r="F95" i="18"/>
  <c r="F132" i="18"/>
  <c r="F151" i="18" s="1"/>
  <c r="I114" i="18"/>
  <c r="S104" i="18"/>
  <c r="M88" i="18"/>
  <c r="M125" i="18"/>
  <c r="M144" i="18" s="1"/>
  <c r="P106" i="18"/>
  <c r="N108" i="18"/>
  <c r="L111" i="18"/>
  <c r="L70" i="18"/>
  <c r="K111" i="18"/>
  <c r="K70" i="18"/>
  <c r="D155" i="18"/>
  <c r="D69" i="18" s="1"/>
  <c r="D71" i="18" s="1"/>
  <c r="D74" i="18" s="1"/>
  <c r="D77" i="18" s="1"/>
  <c r="R104" i="18"/>
  <c r="I93" i="18"/>
  <c r="I130" i="18"/>
  <c r="I149" i="18" s="1"/>
  <c r="J92" i="18"/>
  <c r="J129" i="18"/>
  <c r="J148" i="18" s="1"/>
  <c r="P85" i="18"/>
  <c r="P122" i="18"/>
  <c r="P141" i="18" s="1"/>
  <c r="S57" i="18"/>
  <c r="S68" i="18"/>
  <c r="Q85" i="18"/>
  <c r="Q122" i="18"/>
  <c r="Q141" i="18" s="1"/>
  <c r="R57" i="18"/>
  <c r="R68" i="18"/>
  <c r="S83" i="18"/>
  <c r="S120" i="18"/>
  <c r="S139" i="18" s="1"/>
  <c r="O107" i="18"/>
  <c r="M109" i="18"/>
  <c r="G116" i="18"/>
  <c r="G95" i="18"/>
  <c r="G132" i="18"/>
  <c r="G151" i="18" s="1"/>
  <c r="O108" i="18" l="1"/>
  <c r="I94" i="18"/>
  <c r="I131" i="18"/>
  <c r="I150" i="18" s="1"/>
  <c r="N109" i="18"/>
  <c r="M89" i="18"/>
  <c r="M126" i="18"/>
  <c r="M145" i="18" s="1"/>
  <c r="I115" i="18"/>
  <c r="H95" i="18"/>
  <c r="H132" i="18"/>
  <c r="H151" i="18" s="1"/>
  <c r="J114" i="18"/>
  <c r="K91" i="18"/>
  <c r="K128" i="18"/>
  <c r="K147" i="18" s="1"/>
  <c r="H116" i="18"/>
  <c r="G96" i="18"/>
  <c r="G133" i="18"/>
  <c r="G152" i="18" s="1"/>
  <c r="S84" i="18"/>
  <c r="S121" i="18"/>
  <c r="S140" i="18" s="1"/>
  <c r="P86" i="18"/>
  <c r="P123" i="18"/>
  <c r="P142" i="18" s="1"/>
  <c r="O87" i="18"/>
  <c r="O124" i="18"/>
  <c r="O143" i="18" s="1"/>
  <c r="L91" i="18"/>
  <c r="L128" i="18"/>
  <c r="L147" i="18" s="1"/>
  <c r="M110" i="18"/>
  <c r="Q86" i="18"/>
  <c r="Q123" i="18"/>
  <c r="Q142" i="18" s="1"/>
  <c r="R105" i="18"/>
  <c r="K112" i="18"/>
  <c r="L112" i="18"/>
  <c r="P107" i="18"/>
  <c r="S105" i="18"/>
  <c r="F96" i="18"/>
  <c r="F133" i="18"/>
  <c r="F152" i="18" s="1"/>
  <c r="R84" i="18"/>
  <c r="R121" i="18"/>
  <c r="R140" i="18" s="1"/>
  <c r="Q107" i="18"/>
  <c r="E97" i="18"/>
  <c r="E135" i="18" s="1"/>
  <c r="E154" i="18" s="1"/>
  <c r="E155" i="18" s="1"/>
  <c r="E69" i="18" s="1"/>
  <c r="E71" i="18" s="1"/>
  <c r="E74" i="18" s="1"/>
  <c r="E77" i="18" s="1"/>
  <c r="E134" i="18"/>
  <c r="E153" i="18" s="1"/>
  <c r="J93" i="18"/>
  <c r="J130" i="18"/>
  <c r="J149" i="18" s="1"/>
  <c r="N88" i="18"/>
  <c r="N125" i="18"/>
  <c r="N144" i="18" s="1"/>
  <c r="R85" i="18" l="1"/>
  <c r="R122" i="18"/>
  <c r="R141" i="18" s="1"/>
  <c r="S106" i="18"/>
  <c r="L113" i="18"/>
  <c r="R106" i="18"/>
  <c r="Q87" i="18"/>
  <c r="Q124" i="18"/>
  <c r="Q143" i="18" s="1"/>
  <c r="L92" i="18"/>
  <c r="L129" i="18"/>
  <c r="L148" i="18" s="1"/>
  <c r="P87" i="18"/>
  <c r="P124" i="18"/>
  <c r="P143" i="18" s="1"/>
  <c r="G97" i="18"/>
  <c r="G135" i="18" s="1"/>
  <c r="G154" i="18" s="1"/>
  <c r="G134" i="18"/>
  <c r="G153" i="18" s="1"/>
  <c r="O109" i="18"/>
  <c r="N89" i="18"/>
  <c r="N126" i="18"/>
  <c r="N145" i="18" s="1"/>
  <c r="K92" i="18"/>
  <c r="K129" i="18"/>
  <c r="K148" i="18" s="1"/>
  <c r="H96" i="18"/>
  <c r="H133" i="18"/>
  <c r="H152" i="18" s="1"/>
  <c r="M90" i="18"/>
  <c r="M127" i="18"/>
  <c r="M146" i="18" s="1"/>
  <c r="I95" i="18"/>
  <c r="I132" i="18"/>
  <c r="I151" i="18" s="1"/>
  <c r="J94" i="18"/>
  <c r="J131" i="18"/>
  <c r="J150" i="18" s="1"/>
  <c r="Q108" i="18"/>
  <c r="F97" i="18"/>
  <c r="F135" i="18" s="1"/>
  <c r="F154" i="18" s="1"/>
  <c r="F134" i="18"/>
  <c r="F153" i="18" s="1"/>
  <c r="P108" i="18"/>
  <c r="K113" i="18"/>
  <c r="M111" i="18"/>
  <c r="M70" i="18"/>
  <c r="O88" i="18"/>
  <c r="O125" i="18"/>
  <c r="O144" i="18" s="1"/>
  <c r="S85" i="18"/>
  <c r="S122" i="18"/>
  <c r="S141" i="18" s="1"/>
  <c r="J115" i="18"/>
  <c r="I116" i="18"/>
  <c r="N110" i="18"/>
  <c r="G155" i="18" l="1"/>
  <c r="G69" i="18" s="1"/>
  <c r="G71" i="18" s="1"/>
  <c r="G74" i="18" s="1"/>
  <c r="G77" i="18" s="1"/>
  <c r="S45" i="5" s="1"/>
  <c r="S86" i="18"/>
  <c r="S123" i="18"/>
  <c r="S142" i="18" s="1"/>
  <c r="L93" i="18"/>
  <c r="L130" i="18"/>
  <c r="L149" i="18" s="1"/>
  <c r="R107" i="18"/>
  <c r="S107" i="18"/>
  <c r="M112" i="18"/>
  <c r="K114" i="18"/>
  <c r="F155" i="18"/>
  <c r="F69" i="18" s="1"/>
  <c r="F71" i="18" s="1"/>
  <c r="F74" i="18" s="1"/>
  <c r="F77" i="18" s="1"/>
  <c r="J95" i="18"/>
  <c r="J132" i="18"/>
  <c r="J151" i="18" s="1"/>
  <c r="M91" i="18"/>
  <c r="M128" i="18"/>
  <c r="M147" i="18" s="1"/>
  <c r="K93" i="18"/>
  <c r="K130" i="18"/>
  <c r="K149" i="18" s="1"/>
  <c r="O110" i="18"/>
  <c r="N111" i="18"/>
  <c r="N70" i="18"/>
  <c r="J116" i="18"/>
  <c r="O89" i="18"/>
  <c r="O126" i="18"/>
  <c r="O145" i="18" s="1"/>
  <c r="P88" i="18"/>
  <c r="P125" i="18"/>
  <c r="P144" i="18" s="1"/>
  <c r="Q88" i="18"/>
  <c r="Q125" i="18"/>
  <c r="Q144" i="18" s="1"/>
  <c r="L114" i="18"/>
  <c r="R86" i="18"/>
  <c r="R123" i="18"/>
  <c r="R142" i="18" s="1"/>
  <c r="P109" i="18"/>
  <c r="Q109" i="18"/>
  <c r="I96" i="18"/>
  <c r="I133" i="18"/>
  <c r="I152" i="18" s="1"/>
  <c r="H97" i="18"/>
  <c r="H135" i="18" s="1"/>
  <c r="H154" i="18" s="1"/>
  <c r="H134" i="18"/>
  <c r="H153" i="18" s="1"/>
  <c r="N90" i="18"/>
  <c r="N127" i="18"/>
  <c r="N146" i="18" s="1"/>
  <c r="N91" i="18" l="1"/>
  <c r="N128" i="18"/>
  <c r="N147" i="18" s="1"/>
  <c r="N112" i="18"/>
  <c r="K94" i="18"/>
  <c r="K131" i="18"/>
  <c r="K150" i="18" s="1"/>
  <c r="J96" i="18"/>
  <c r="J133" i="18"/>
  <c r="J152" i="18" s="1"/>
  <c r="I97" i="18"/>
  <c r="I135" i="18" s="1"/>
  <c r="I154" i="18" s="1"/>
  <c r="I134" i="18"/>
  <c r="I153" i="18" s="1"/>
  <c r="P110" i="18"/>
  <c r="L115" i="18"/>
  <c r="P89" i="18"/>
  <c r="P126" i="18"/>
  <c r="P145" i="18" s="1"/>
  <c r="M113" i="18"/>
  <c r="R108" i="18"/>
  <c r="S87" i="18"/>
  <c r="S124" i="18"/>
  <c r="S143" i="18" s="1"/>
  <c r="O111" i="18"/>
  <c r="O70" i="18"/>
  <c r="M92" i="18"/>
  <c r="M129" i="18"/>
  <c r="M148" i="18" s="1"/>
  <c r="H155" i="18"/>
  <c r="H69" i="18" s="1"/>
  <c r="H71" i="18" s="1"/>
  <c r="H74" i="18" s="1"/>
  <c r="H77" i="18" s="1"/>
  <c r="Q110" i="18"/>
  <c r="R87" i="18"/>
  <c r="R124" i="18"/>
  <c r="R143" i="18" s="1"/>
  <c r="Q89" i="18"/>
  <c r="Q126" i="18"/>
  <c r="Q145" i="18" s="1"/>
  <c r="O90" i="18"/>
  <c r="O127" i="18"/>
  <c r="O146" i="18" s="1"/>
  <c r="K115" i="18"/>
  <c r="S108" i="18"/>
  <c r="L94" i="18"/>
  <c r="L131" i="18"/>
  <c r="L150" i="18" s="1"/>
  <c r="S88" i="18" l="1"/>
  <c r="S125" i="18"/>
  <c r="S144" i="18" s="1"/>
  <c r="M114" i="18"/>
  <c r="L116" i="18"/>
  <c r="I155" i="18"/>
  <c r="I69" i="18" s="1"/>
  <c r="I71" i="18" s="1"/>
  <c r="I74" i="18" s="1"/>
  <c r="I77" i="18" s="1"/>
  <c r="J97" i="18"/>
  <c r="J135" i="18" s="1"/>
  <c r="J154" i="18" s="1"/>
  <c r="J134" i="18"/>
  <c r="J153" i="18" s="1"/>
  <c r="N113" i="18"/>
  <c r="S109" i="18"/>
  <c r="O91" i="18"/>
  <c r="O128" i="18"/>
  <c r="O147" i="18" s="1"/>
  <c r="R88" i="18"/>
  <c r="R125" i="18"/>
  <c r="R144" i="18" s="1"/>
  <c r="O112" i="18"/>
  <c r="M93" i="18"/>
  <c r="M130" i="18"/>
  <c r="M149" i="18" s="1"/>
  <c r="R109" i="18"/>
  <c r="P90" i="18"/>
  <c r="P127" i="18"/>
  <c r="P146" i="18" s="1"/>
  <c r="P111" i="18"/>
  <c r="P70" i="18"/>
  <c r="K95" i="18"/>
  <c r="K132" i="18"/>
  <c r="K151" i="18" s="1"/>
  <c r="N92" i="18"/>
  <c r="N129" i="18"/>
  <c r="N148" i="18" s="1"/>
  <c r="L95" i="18"/>
  <c r="L132" i="18"/>
  <c r="L151" i="18" s="1"/>
  <c r="K116" i="18"/>
  <c r="Q90" i="18"/>
  <c r="Q127" i="18"/>
  <c r="Q146" i="18" s="1"/>
  <c r="Q70" i="18"/>
  <c r="Q111" i="18"/>
  <c r="J155" i="18" l="1"/>
  <c r="J69" i="18" s="1"/>
  <c r="J71" i="18" s="1"/>
  <c r="J74" i="18" s="1"/>
  <c r="J77" i="18" s="1"/>
  <c r="L96" i="18"/>
  <c r="L133" i="18"/>
  <c r="L152" i="18" s="1"/>
  <c r="N93" i="18"/>
  <c r="N130" i="18"/>
  <c r="N149" i="18" s="1"/>
  <c r="R89" i="18"/>
  <c r="R126" i="18"/>
  <c r="R145" i="18" s="1"/>
  <c r="S110" i="18"/>
  <c r="N114" i="18"/>
  <c r="P112" i="18"/>
  <c r="R110" i="18"/>
  <c r="S89" i="18"/>
  <c r="S126" i="18"/>
  <c r="S145" i="18" s="1"/>
  <c r="Q91" i="18"/>
  <c r="Q128" i="18"/>
  <c r="Q147" i="18" s="1"/>
  <c r="O113" i="18"/>
  <c r="O92" i="18"/>
  <c r="O129" i="18"/>
  <c r="O148" i="18" s="1"/>
  <c r="K96" i="18"/>
  <c r="K133" i="18"/>
  <c r="K152" i="18" s="1"/>
  <c r="Q112" i="18"/>
  <c r="P91" i="18"/>
  <c r="P128" i="18"/>
  <c r="P147" i="18" s="1"/>
  <c r="M94" i="18"/>
  <c r="M131" i="18"/>
  <c r="M150" i="18" s="1"/>
  <c r="M115" i="18"/>
  <c r="M95" i="18" l="1"/>
  <c r="M132" i="18"/>
  <c r="M151" i="18" s="1"/>
  <c r="Q113" i="18"/>
  <c r="O114" i="18"/>
  <c r="S90" i="18"/>
  <c r="S127" i="18"/>
  <c r="S146" i="18" s="1"/>
  <c r="P113" i="18"/>
  <c r="N115" i="18"/>
  <c r="R90" i="18"/>
  <c r="R127" i="18"/>
  <c r="R146" i="18" s="1"/>
  <c r="L97" i="18"/>
  <c r="L135" i="18" s="1"/>
  <c r="L154" i="18" s="1"/>
  <c r="L134" i="18"/>
  <c r="L153" i="18" s="1"/>
  <c r="M116" i="18"/>
  <c r="P92" i="18"/>
  <c r="P129" i="18"/>
  <c r="P148" i="18" s="1"/>
  <c r="K97" i="18"/>
  <c r="K135" i="18" s="1"/>
  <c r="K154" i="18" s="1"/>
  <c r="K155" i="18" s="1"/>
  <c r="K69" i="18" s="1"/>
  <c r="K71" i="18" s="1"/>
  <c r="K74" i="18" s="1"/>
  <c r="K77" i="18" s="1"/>
  <c r="T45" i="5" s="1"/>
  <c r="K134" i="18"/>
  <c r="K153" i="18" s="1"/>
  <c r="O93" i="18"/>
  <c r="O130" i="18"/>
  <c r="O149" i="18" s="1"/>
  <c r="Q92" i="18"/>
  <c r="Q129" i="18"/>
  <c r="Q148" i="18" s="1"/>
  <c r="R111" i="18"/>
  <c r="R70" i="18"/>
  <c r="S70" i="18"/>
  <c r="S111" i="18"/>
  <c r="N94" i="18"/>
  <c r="N131" i="18"/>
  <c r="N150" i="18" s="1"/>
  <c r="L155" i="18" l="1"/>
  <c r="L69" i="18" s="1"/>
  <c r="L71" i="18" s="1"/>
  <c r="L74" i="18" s="1"/>
  <c r="L77" i="18" s="1"/>
  <c r="Q93" i="18"/>
  <c r="Q130" i="18"/>
  <c r="Q149" i="18" s="1"/>
  <c r="R91" i="18"/>
  <c r="R128" i="18"/>
  <c r="R147" i="18" s="1"/>
  <c r="P114" i="18"/>
  <c r="O115" i="18"/>
  <c r="M96" i="18"/>
  <c r="M133" i="18"/>
  <c r="M152" i="18" s="1"/>
  <c r="S112" i="18"/>
  <c r="R112" i="18"/>
  <c r="P93" i="18"/>
  <c r="P130" i="18"/>
  <c r="P149" i="18" s="1"/>
  <c r="N116" i="18"/>
  <c r="S91" i="18"/>
  <c r="S128" i="18"/>
  <c r="S147" i="18" s="1"/>
  <c r="Q114" i="18"/>
  <c r="N95" i="18"/>
  <c r="N132" i="18"/>
  <c r="N151" i="18" s="1"/>
  <c r="O94" i="18"/>
  <c r="O131" i="18"/>
  <c r="O150" i="18" s="1"/>
  <c r="M97" i="18" l="1"/>
  <c r="M135" i="18" s="1"/>
  <c r="M154" i="18" s="1"/>
  <c r="M134" i="18"/>
  <c r="M153" i="18" s="1"/>
  <c r="P115" i="18"/>
  <c r="Q94" i="18"/>
  <c r="Q131" i="18"/>
  <c r="Q150" i="18" s="1"/>
  <c r="N96" i="18"/>
  <c r="N133" i="18"/>
  <c r="N152" i="18" s="1"/>
  <c r="S92" i="18"/>
  <c r="S129" i="18"/>
  <c r="S148" i="18" s="1"/>
  <c r="P94" i="18"/>
  <c r="P131" i="18"/>
  <c r="P150" i="18" s="1"/>
  <c r="S113" i="18"/>
  <c r="O116" i="18"/>
  <c r="R92" i="18"/>
  <c r="R129" i="18"/>
  <c r="R148" i="18" s="1"/>
  <c r="O95" i="18"/>
  <c r="O132" i="18"/>
  <c r="O151" i="18" s="1"/>
  <c r="Q115" i="18"/>
  <c r="R113" i="18"/>
  <c r="M155" i="18" l="1"/>
  <c r="M69" i="18" s="1"/>
  <c r="M71" i="18" s="1"/>
  <c r="M74" i="18" s="1"/>
  <c r="M77" i="18" s="1"/>
  <c r="S93" i="18"/>
  <c r="S130" i="18"/>
  <c r="S149" i="18" s="1"/>
  <c r="O96" i="18"/>
  <c r="O133" i="18"/>
  <c r="O152" i="18" s="1"/>
  <c r="P95" i="18"/>
  <c r="P132" i="18"/>
  <c r="P151" i="18" s="1"/>
  <c r="N97" i="18"/>
  <c r="N135" i="18" s="1"/>
  <c r="N154" i="18" s="1"/>
  <c r="N134" i="18"/>
  <c r="N153" i="18" s="1"/>
  <c r="N155" i="18" s="1"/>
  <c r="N69" i="18" s="1"/>
  <c r="N71" i="18" s="1"/>
  <c r="N74" i="18" s="1"/>
  <c r="N77" i="18" s="1"/>
  <c r="P116" i="18"/>
  <c r="Q116" i="18"/>
  <c r="R93" i="18"/>
  <c r="R130" i="18"/>
  <c r="R149" i="18" s="1"/>
  <c r="Q95" i="18"/>
  <c r="Q132" i="18"/>
  <c r="Q151" i="18" s="1"/>
  <c r="S114" i="18"/>
  <c r="R114" i="18"/>
  <c r="R115" i="18" l="1"/>
  <c r="P96" i="18"/>
  <c r="P133" i="18"/>
  <c r="P152" i="18" s="1"/>
  <c r="S94" i="18"/>
  <c r="S131" i="18"/>
  <c r="S150" i="18" s="1"/>
  <c r="O97" i="18"/>
  <c r="O135" i="18" s="1"/>
  <c r="O154" i="18" s="1"/>
  <c r="O134" i="18"/>
  <c r="O153" i="18" s="1"/>
  <c r="Q96" i="18"/>
  <c r="Q133" i="18"/>
  <c r="Q152" i="18" s="1"/>
  <c r="S115" i="18"/>
  <c r="R94" i="18"/>
  <c r="R131" i="18"/>
  <c r="R150" i="18" s="1"/>
  <c r="O155" i="18" l="1"/>
  <c r="O69" i="18" s="1"/>
  <c r="O71" i="18" s="1"/>
  <c r="O74" i="18" s="1"/>
  <c r="O77" i="18" s="1"/>
  <c r="P97" i="18"/>
  <c r="P135" i="18" s="1"/>
  <c r="P154" i="18" s="1"/>
  <c r="P134" i="18"/>
  <c r="P153" i="18" s="1"/>
  <c r="S116" i="18"/>
  <c r="R95" i="18"/>
  <c r="R132" i="18"/>
  <c r="R151" i="18" s="1"/>
  <c r="Q97" i="18"/>
  <c r="Q135" i="18" s="1"/>
  <c r="Q154" i="18" s="1"/>
  <c r="Q134" i="18"/>
  <c r="Q153" i="18" s="1"/>
  <c r="S95" i="18"/>
  <c r="S132" i="18"/>
  <c r="S151" i="18" s="1"/>
  <c r="R116" i="18"/>
  <c r="Q155" i="18" l="1"/>
  <c r="Q69" i="18" s="1"/>
  <c r="Q71" i="18" s="1"/>
  <c r="Q74" i="18" s="1"/>
  <c r="Q77" i="18" s="1"/>
  <c r="P155" i="18"/>
  <c r="P69" i="18" s="1"/>
  <c r="P71" i="18" s="1"/>
  <c r="P74" i="18" s="1"/>
  <c r="P77" i="18" s="1"/>
  <c r="S96" i="18"/>
  <c r="S133" i="18"/>
  <c r="S152" i="18" s="1"/>
  <c r="R96" i="18"/>
  <c r="R133" i="18"/>
  <c r="R152" i="18" s="1"/>
  <c r="R97" i="18" l="1"/>
  <c r="R135" i="18" s="1"/>
  <c r="R154" i="18" s="1"/>
  <c r="R134" i="18"/>
  <c r="R153" i="18" s="1"/>
  <c r="S97" i="18"/>
  <c r="S135" i="18" s="1"/>
  <c r="S154" i="18" s="1"/>
  <c r="S134" i="18"/>
  <c r="S153" i="18" s="1"/>
  <c r="S155" i="18" l="1"/>
  <c r="S69" i="18" s="1"/>
  <c r="S71" i="18" s="1"/>
  <c r="S74" i="18" s="1"/>
  <c r="S77" i="18" s="1"/>
  <c r="R155" i="18"/>
  <c r="R69" i="18" s="1"/>
  <c r="R71" i="18" s="1"/>
  <c r="R74" i="18" s="1"/>
  <c r="R77" i="18" s="1"/>
  <c r="P21" i="28" l="1"/>
  <c r="P25" i="28" s="1"/>
  <c r="P26" i="28" s="1"/>
  <c r="P18" i="28" l="1"/>
  <c r="P19" i="28" s="1"/>
  <c r="Q21" i="28"/>
  <c r="P31" i="28"/>
  <c r="Q20" i="28"/>
  <c r="P32" i="28" l="1"/>
  <c r="P29" i="28"/>
  <c r="P30" i="28" s="1"/>
  <c r="Q28" i="28"/>
  <c r="Q31" i="28" s="1"/>
  <c r="Q25" i="28"/>
  <c r="R20" i="28" s="1"/>
  <c r="R21" i="28"/>
  <c r="Q26" i="28" l="1"/>
  <c r="Q18" i="28" s="1"/>
  <c r="Q19" i="28" s="1"/>
  <c r="Q32" i="28"/>
  <c r="S21" i="28"/>
  <c r="R28" i="28"/>
  <c r="R31" i="28" s="1"/>
  <c r="R25" i="28"/>
  <c r="S20" i="28" s="1"/>
  <c r="Q29" i="28" l="1"/>
  <c r="Q30" i="28" s="1"/>
  <c r="S28" i="28"/>
  <c r="S31" i="28" s="1"/>
  <c r="S25" i="28"/>
  <c r="T20" i="28" s="1"/>
  <c r="R26" i="28"/>
  <c r="R18" i="28" s="1"/>
  <c r="R19" i="28" s="1"/>
  <c r="R32" i="28"/>
  <c r="T21" i="28"/>
  <c r="S26" i="28" l="1"/>
  <c r="S18" i="28" s="1"/>
  <c r="S19" i="28" s="1"/>
  <c r="S32" i="28"/>
  <c r="R29" i="28"/>
  <c r="R30" i="28" s="1"/>
  <c r="T28" i="28"/>
  <c r="T31" i="28" s="1"/>
  <c r="T25" i="28"/>
  <c r="U20" i="28" s="1"/>
  <c r="U21" i="28"/>
  <c r="S29" i="28" l="1"/>
  <c r="S30" i="28" s="1"/>
  <c r="T26" i="28"/>
  <c r="T18" i="28" s="1"/>
  <c r="T19" i="28" s="1"/>
  <c r="T32" i="28"/>
  <c r="V21" i="28"/>
  <c r="U25" i="28"/>
  <c r="V20" i="28" s="1"/>
  <c r="U28" i="28"/>
  <c r="U31" i="28" s="1"/>
  <c r="T29" i="28" l="1"/>
  <c r="T30" i="28" s="1"/>
  <c r="U26" i="28"/>
  <c r="U18" i="28" s="1"/>
  <c r="U19" i="28" s="1"/>
  <c r="U32" i="28"/>
  <c r="W21" i="28"/>
  <c r="V25" i="28"/>
  <c r="W20" i="28" s="1"/>
  <c r="V28" i="28"/>
  <c r="V31" i="28" s="1"/>
  <c r="U29" i="28" l="1"/>
  <c r="U30" i="28" s="1"/>
  <c r="V26" i="28"/>
  <c r="V18" i="28" s="1"/>
  <c r="V19" i="28" s="1"/>
  <c r="V32" i="28"/>
  <c r="W25" i="28"/>
  <c r="X20" i="28" s="1"/>
  <c r="W28" i="28"/>
  <c r="W31" i="28" s="1"/>
  <c r="X21" i="28"/>
  <c r="V29" i="28" l="1"/>
  <c r="V30" i="28" s="1"/>
  <c r="W26" i="28"/>
  <c r="W18" i="28" s="1"/>
  <c r="W19" i="28" s="1"/>
  <c r="W32" i="28"/>
  <c r="X28" i="28"/>
  <c r="X31" i="28" s="1"/>
  <c r="X25" i="28"/>
  <c r="Y20" i="28" s="1"/>
  <c r="Y21" i="28"/>
  <c r="W29" i="28" l="1"/>
  <c r="W30" i="28" s="1"/>
  <c r="X26" i="28"/>
  <c r="X18" i="28" s="1"/>
  <c r="X19" i="28" s="1"/>
  <c r="X32" i="28"/>
  <c r="Z21" i="28"/>
  <c r="Y25" i="28"/>
  <c r="Z20" i="28" s="1"/>
  <c r="Y28" i="28"/>
  <c r="Y31" i="28" s="1"/>
  <c r="X29" i="28" l="1"/>
  <c r="X30" i="28" s="1"/>
  <c r="Y26" i="28"/>
  <c r="Y18" i="28" s="1"/>
  <c r="Y19" i="28" s="1"/>
  <c r="Y32" i="28"/>
  <c r="Z25" i="28"/>
  <c r="AA20" i="28" s="1"/>
  <c r="Z28" i="28"/>
  <c r="Z31" i="28" s="1"/>
  <c r="AA21" i="28"/>
  <c r="Y29" i="28" l="1"/>
  <c r="Y30" i="28" s="1"/>
  <c r="Z26" i="28"/>
  <c r="Z18" i="28" s="1"/>
  <c r="Z19" i="28" s="1"/>
  <c r="Z32" i="28"/>
  <c r="AA28" i="28"/>
  <c r="AA31" i="28" s="1"/>
  <c r="AA25" i="28"/>
  <c r="AB20" i="28" s="1"/>
  <c r="AB21" i="28"/>
  <c r="Z29" i="28" l="1"/>
  <c r="Z30" i="28" s="1"/>
  <c r="AA26" i="28"/>
  <c r="AA18" i="28" s="1"/>
  <c r="AA19" i="28" s="1"/>
  <c r="AA32" i="28"/>
  <c r="AC21" i="28"/>
  <c r="AB28" i="28"/>
  <c r="AB31" i="28" s="1"/>
  <c r="AB25" i="28"/>
  <c r="AC20" i="28" s="1"/>
  <c r="AA29" i="28" l="1"/>
  <c r="AA30" i="28" s="1"/>
  <c r="AB26" i="28"/>
  <c r="AB18" i="28" s="1"/>
  <c r="AB19" i="28" s="1"/>
  <c r="AB32" i="28"/>
  <c r="AC25" i="28"/>
  <c r="AD20" i="28" s="1"/>
  <c r="AC28" i="28"/>
  <c r="AC31" i="28" s="1"/>
  <c r="AD21" i="28"/>
  <c r="AB29" i="28" l="1"/>
  <c r="AB30" i="28" s="1"/>
  <c r="AC32" i="28"/>
  <c r="AD28" i="28"/>
  <c r="AD31" i="28" s="1"/>
  <c r="AD25" i="28"/>
  <c r="AE20" i="28" s="1"/>
  <c r="AE21" i="28"/>
  <c r="AC26" i="28"/>
  <c r="AC18" i="28" s="1"/>
  <c r="AC19" i="28" s="1"/>
  <c r="AD26" i="28" l="1"/>
  <c r="AD18" i="28" s="1"/>
  <c r="AD19" i="28" s="1"/>
  <c r="AF21" i="28"/>
  <c r="AD32" i="28"/>
  <c r="AE25" i="28"/>
  <c r="AF20" i="28" s="1"/>
  <c r="AE28" i="28"/>
  <c r="AE31" i="28" s="1"/>
  <c r="AC29" i="28"/>
  <c r="AC30" i="28" s="1"/>
  <c r="AD29" i="28" l="1"/>
  <c r="AD30" i="28" s="1"/>
  <c r="AE26" i="28"/>
  <c r="AE18" i="28" s="1"/>
  <c r="AE19" i="28" s="1"/>
  <c r="AE32" i="28"/>
  <c r="AF28" i="28"/>
  <c r="AF31" i="28" s="1"/>
  <c r="AF25" i="28"/>
  <c r="AG20" i="28" s="1"/>
  <c r="AG21" i="28"/>
  <c r="AE29" i="28" l="1"/>
  <c r="AE30" i="28" s="1"/>
  <c r="AF26" i="28"/>
  <c r="AF18" i="28" s="1"/>
  <c r="AF19" i="28" s="1"/>
  <c r="AH21" i="28"/>
  <c r="AF32" i="28"/>
  <c r="AG28" i="28"/>
  <c r="AG31" i="28" s="1"/>
  <c r="AG25" i="28"/>
  <c r="AH20" i="28" s="1"/>
  <c r="AF29" i="28" l="1"/>
  <c r="AF30" i="28" s="1"/>
  <c r="AG32" i="28"/>
  <c r="AH28" i="28"/>
  <c r="AH31" i="28" s="1"/>
  <c r="AH25" i="28"/>
  <c r="AI20" i="28" s="1"/>
  <c r="AI21" i="28"/>
  <c r="AG26" i="28"/>
  <c r="AG18" i="28" s="1"/>
  <c r="AG19" i="28" s="1"/>
  <c r="AH26" i="28" l="1"/>
  <c r="AH18" i="28" s="1"/>
  <c r="AH19" i="28" s="1"/>
  <c r="AH32" i="28"/>
  <c r="AJ21" i="28"/>
  <c r="AI28" i="28"/>
  <c r="AI31" i="28" s="1"/>
  <c r="AI25" i="28"/>
  <c r="AJ20" i="28" s="1"/>
  <c r="AG29" i="28"/>
  <c r="AG30" i="28" s="1"/>
  <c r="AH29" i="28" l="1"/>
  <c r="AH30" i="28" s="1"/>
  <c r="AI26" i="28"/>
  <c r="AI18" i="28" s="1"/>
  <c r="AI19" i="28" s="1"/>
  <c r="AI32" i="28"/>
  <c r="AJ25" i="28"/>
  <c r="AK20" i="28" s="1"/>
  <c r="AJ28" i="28"/>
  <c r="AJ31" i="28" s="1"/>
  <c r="AK21" i="28"/>
  <c r="AI29" i="28" l="1"/>
  <c r="AI30" i="28" s="1"/>
  <c r="AL21" i="28"/>
  <c r="AJ26" i="28"/>
  <c r="AJ18" i="28" s="1"/>
  <c r="AJ19" i="28" s="1"/>
  <c r="AK25" i="28"/>
  <c r="AL20" i="28" s="1"/>
  <c r="AK28" i="28"/>
  <c r="AK31" i="28" s="1"/>
  <c r="AJ32" i="28"/>
  <c r="AK32" i="28" l="1"/>
  <c r="AM21" i="28"/>
  <c r="AL28" i="28"/>
  <c r="AL31" i="28" s="1"/>
  <c r="AL25" i="28"/>
  <c r="AM20" i="28" s="1"/>
  <c r="AJ29" i="28"/>
  <c r="AJ30" i="28" s="1"/>
  <c r="AK26" i="28"/>
  <c r="AK18" i="28" s="1"/>
  <c r="AK19" i="28" s="1"/>
  <c r="AM28" i="28" l="1"/>
  <c r="AM31" i="28" s="1"/>
  <c r="AM25" i="28"/>
  <c r="AN20" i="28" s="1"/>
  <c r="AL32" i="28"/>
  <c r="AL26" i="28"/>
  <c r="AL18" i="28" s="1"/>
  <c r="AL19" i="28" s="1"/>
  <c r="AK29" i="28"/>
  <c r="AK30" i="28" s="1"/>
  <c r="AN21" i="28"/>
  <c r="AO21" i="28" l="1"/>
  <c r="AN25" i="28"/>
  <c r="AO20" i="28" s="1"/>
  <c r="AN28" i="28"/>
  <c r="AN31" i="28" s="1"/>
  <c r="AM32" i="28"/>
  <c r="AL29" i="28"/>
  <c r="AL30" i="28" s="1"/>
  <c r="AM26" i="28"/>
  <c r="AM18" i="28" s="1"/>
  <c r="AM19" i="28" s="1"/>
  <c r="AM29" i="28" l="1"/>
  <c r="AM30" i="28" s="1"/>
  <c r="AN32" i="28"/>
  <c r="AO25" i="28"/>
  <c r="AP20" i="28" s="1"/>
  <c r="AO28" i="28"/>
  <c r="AO31" i="28" s="1"/>
  <c r="AN26" i="28"/>
  <c r="AN18" i="28" s="1"/>
  <c r="AN19" i="28" s="1"/>
  <c r="AP21" i="28"/>
  <c r="AP25" i="28" l="1"/>
  <c r="AQ20" i="28" s="1"/>
  <c r="AP28" i="28"/>
  <c r="AP31" i="28" s="1"/>
  <c r="AO32" i="28"/>
  <c r="AQ21" i="28"/>
  <c r="AO26" i="28"/>
  <c r="AO18" i="28" s="1"/>
  <c r="AO19" i="28" s="1"/>
  <c r="AN29" i="28"/>
  <c r="AN30" i="28" s="1"/>
  <c r="AR21" i="28" l="1"/>
  <c r="AQ28" i="28"/>
  <c r="AQ31" i="28" s="1"/>
  <c r="AQ25" i="28"/>
  <c r="AR20" i="28" s="1"/>
  <c r="AP32" i="28"/>
  <c r="AO29" i="28"/>
  <c r="AO30" i="28" s="1"/>
  <c r="AP26" i="28"/>
  <c r="AP18" i="28" s="1"/>
  <c r="AP19" i="28" s="1"/>
  <c r="AP29" i="28" l="1"/>
  <c r="AP30" i="28" s="1"/>
  <c r="AQ32" i="28"/>
  <c r="AS21" i="28"/>
  <c r="AR25" i="28"/>
  <c r="AS20" i="28" s="1"/>
  <c r="AR28" i="28"/>
  <c r="AR31" i="28" s="1"/>
  <c r="AQ26" i="28"/>
  <c r="AQ18" i="28" s="1"/>
  <c r="AQ19" i="28" s="1"/>
  <c r="AR26" i="28" l="1"/>
  <c r="AR18" i="28" s="1"/>
  <c r="AR19" i="28" s="1"/>
  <c r="AR32" i="28"/>
  <c r="AS25" i="28"/>
  <c r="AS26" i="28" s="1"/>
  <c r="AS18" i="28" s="1"/>
  <c r="AS19" i="28" s="1"/>
  <c r="AS28" i="28"/>
  <c r="AS31" i="28" s="1"/>
  <c r="AQ29" i="28"/>
  <c r="AQ30" i="28" s="1"/>
  <c r="AR29" i="28" l="1"/>
  <c r="AR30" i="28" s="1"/>
  <c r="AS32" i="28"/>
  <c r="M33" i="28" s="1"/>
  <c r="J13" i="28" s="1"/>
  <c r="B26" i="28" s="1"/>
  <c r="B28" i="28" s="1"/>
  <c r="B31" i="28" s="1"/>
  <c r="AS29" i="28"/>
  <c r="AS30" i="28" l="1"/>
  <c r="D40" i="28"/>
  <c r="B33" i="28"/>
</calcChain>
</file>

<file path=xl/comments1.xml><?xml version="1.0" encoding="utf-8"?>
<comments xmlns="http://schemas.openxmlformats.org/spreadsheetml/2006/main">
  <authors>
    <author>Kostas</author>
    <author>Microsoft Office User</author>
    <author>Kostas Feruliovas</author>
  </authors>
  <commentList>
    <comment ref="AG18" authorId="0" shapeId="0">
      <text>
        <r>
          <rPr>
            <b/>
            <sz val="9"/>
            <color indexed="81"/>
            <rFont val="Tahoma"/>
            <family val="2"/>
            <charset val="204"/>
          </rPr>
          <t>Kostas:</t>
        </r>
        <r>
          <rPr>
            <sz val="9"/>
            <color indexed="81"/>
            <rFont val="Tahoma"/>
            <family val="2"/>
            <charset val="204"/>
          </rPr>
          <t xml:space="preserve">
Deferred tax assets adjustment. https://www.credit-suisse.com/corporate/en/articles/media-releases/us-tax-reform-201712.html</t>
        </r>
      </text>
    </comment>
    <comment ref="A33" authorId="1" shapeId="0">
      <text>
        <r>
          <rPr>
            <b/>
            <sz val="10"/>
            <color indexed="81"/>
            <rFont val="Calibri"/>
            <family val="2"/>
            <charset val="204"/>
          </rPr>
          <t xml:space="preserve">Kostas Ferulovas:
For periods before 3Q16. </t>
        </r>
        <r>
          <rPr>
            <sz val="10"/>
            <color indexed="81"/>
            <rFont val="Calibri"/>
            <family val="2"/>
            <charset val="204"/>
          </rPr>
          <t>Adjusted for impairment and restructuring expenses.</t>
        </r>
      </text>
    </comment>
    <comment ref="AB33" authorId="1" shapeId="0">
      <text>
        <r>
          <rPr>
            <b/>
            <sz val="10"/>
            <color indexed="81"/>
            <rFont val="Calibri"/>
            <family val="2"/>
            <charset val="204"/>
          </rPr>
          <t xml:space="preserve">Kostas:
</t>
        </r>
        <r>
          <rPr>
            <sz val="10"/>
            <color indexed="81"/>
            <rFont val="Calibri"/>
            <family val="2"/>
            <charset val="204"/>
          </rPr>
          <t>Minus one-off real estate sale accounting for income of CHF 346m</t>
        </r>
      </text>
    </comment>
    <comment ref="AC33" authorId="2" shapeId="0">
      <text>
        <r>
          <rPr>
            <b/>
            <sz val="10"/>
            <color indexed="81"/>
            <rFont val="Calibri"/>
            <family val="2"/>
            <charset val="204"/>
          </rPr>
          <t xml:space="preserve">Kostas:
</t>
        </r>
        <r>
          <rPr>
            <sz val="10"/>
            <color indexed="81"/>
            <rFont val="Calibri"/>
            <family val="2"/>
            <charset val="204"/>
          </rPr>
          <t>2.170 bn RMBS litigation costs added back.</t>
        </r>
      </text>
    </comment>
    <comment ref="A63" authorId="1" shapeId="0">
      <text>
        <r>
          <rPr>
            <b/>
            <sz val="10"/>
            <color indexed="81"/>
            <rFont val="Calibri"/>
            <family val="2"/>
            <charset val="204"/>
          </rPr>
          <t xml:space="preserve">Kostas Ferulovas:
</t>
        </r>
        <r>
          <rPr>
            <sz val="10"/>
            <color indexed="81"/>
            <rFont val="Calibri"/>
            <family val="2"/>
            <charset val="204"/>
          </rPr>
          <t>Adjusted for impairment and restructuring expenses.</t>
        </r>
      </text>
    </comment>
    <comment ref="AG85" authorId="0" shapeId="0">
      <text>
        <r>
          <rPr>
            <b/>
            <sz val="9"/>
            <color indexed="81"/>
            <rFont val="Tahoma"/>
            <family val="2"/>
            <charset val="204"/>
          </rPr>
          <t>Kostas:</t>
        </r>
        <r>
          <rPr>
            <sz val="9"/>
            <color indexed="81"/>
            <rFont val="Tahoma"/>
            <family val="2"/>
            <charset val="204"/>
          </rPr>
          <t xml:space="preserve">
Adjustment for deferred tax assets following the US tax reform.</t>
        </r>
      </text>
    </comment>
    <comment ref="AG168" authorId="0" shapeId="0">
      <text>
        <r>
          <rPr>
            <b/>
            <sz val="9"/>
            <color indexed="81"/>
            <rFont val="Tahoma"/>
            <family val="2"/>
            <charset val="204"/>
          </rPr>
          <t>Kostas:</t>
        </r>
        <r>
          <rPr>
            <sz val="9"/>
            <color indexed="81"/>
            <rFont val="Tahoma"/>
            <family val="2"/>
            <charset val="204"/>
          </rPr>
          <t xml:space="preserve">
Adjustment for lower deferred tax assets following US tax reform. Credit Suisse indicated that Regulatory capital will feel only a minor impact.</t>
        </r>
      </text>
    </comment>
    <comment ref="AK207" authorId="1" shapeId="0">
      <text>
        <r>
          <rPr>
            <b/>
            <sz val="10"/>
            <color indexed="81"/>
            <rFont val="Calibri"/>
            <family val="2"/>
            <charset val="204"/>
          </rPr>
          <t xml:space="preserve">Kostas Feruliocas:
</t>
        </r>
        <r>
          <rPr>
            <sz val="10"/>
            <color indexed="81"/>
            <rFont val="Calibri"/>
            <family val="2"/>
            <charset val="204"/>
          </rPr>
          <t>Guided profit CHF 2.3bn adjusted. Unadjusted ~2.1bn.</t>
        </r>
      </text>
    </comment>
    <comment ref="AK295" authorId="0" shapeId="0">
      <text>
        <r>
          <rPr>
            <b/>
            <sz val="9"/>
            <color indexed="81"/>
            <rFont val="Tahoma"/>
            <family val="2"/>
            <charset val="204"/>
          </rPr>
          <t>Kostas:</t>
        </r>
        <r>
          <rPr>
            <sz val="9"/>
            <color indexed="81"/>
            <rFont val="Tahoma"/>
            <family val="2"/>
            <charset val="204"/>
          </rPr>
          <t xml:space="preserve">
Guidance: adjusted pre-tax profit CHF 1.8bn. Undadjusted ~1.7bn.</t>
        </r>
      </text>
    </comment>
    <comment ref="AC391" authorId="0" shapeId="0">
      <text>
        <r>
          <rPr>
            <b/>
            <sz val="9"/>
            <color indexed="81"/>
            <rFont val="Tahoma"/>
            <family val="2"/>
            <charset val="204"/>
          </rPr>
          <t>Kostas:</t>
        </r>
        <r>
          <rPr>
            <sz val="9"/>
            <color indexed="81"/>
            <rFont val="Tahoma"/>
            <family val="2"/>
            <charset val="204"/>
          </rPr>
          <t xml:space="preserve">
Some revenues are reclassified to underwiritng and advisory from transaction and performance based</t>
        </r>
      </text>
    </comment>
    <comment ref="AK404" authorId="0" shapeId="0">
      <text>
        <r>
          <rPr>
            <b/>
            <sz val="9"/>
            <color indexed="81"/>
            <rFont val="Tahoma"/>
            <family val="2"/>
            <charset val="204"/>
          </rPr>
          <t>Kostas:</t>
        </r>
        <r>
          <rPr>
            <sz val="9"/>
            <color indexed="81"/>
            <rFont val="Tahoma"/>
            <family val="2"/>
            <charset val="204"/>
          </rPr>
          <t xml:space="preserve">
Guidance CHF 850bn, adjusted. Unadjusted ~750bn</t>
        </r>
      </text>
    </comment>
    <comment ref="V469" authorId="0" shapeId="0">
      <text>
        <r>
          <rPr>
            <b/>
            <sz val="9"/>
            <color indexed="81"/>
            <rFont val="Tahoma"/>
            <family val="2"/>
            <charset val="204"/>
          </rPr>
          <t>Kostas:</t>
        </r>
        <r>
          <rPr>
            <sz val="9"/>
            <color indexed="81"/>
            <rFont val="Tahoma"/>
            <family val="2"/>
            <charset val="204"/>
          </rPr>
          <t xml:space="preserve">
CS has changed the constitution of each item in the new reprots. Net revenues unchanged.</t>
        </r>
      </text>
    </comment>
    <comment ref="AK473" authorId="0" shapeId="0">
      <text>
        <r>
          <rPr>
            <b/>
            <sz val="9"/>
            <color indexed="81"/>
            <rFont val="Tahoma"/>
            <family val="2"/>
            <charset val="204"/>
          </rPr>
          <t xml:space="preserve">Kostas:
</t>
        </r>
        <r>
          <rPr>
            <sz val="9"/>
            <color indexed="81"/>
            <rFont val="Tahoma"/>
            <family val="2"/>
            <charset val="204"/>
          </rPr>
          <t>Target published CHF ~6bn.</t>
        </r>
      </text>
    </comment>
    <comment ref="AK481" authorId="0" shapeId="0">
      <text>
        <r>
          <rPr>
            <b/>
            <sz val="9"/>
            <color indexed="81"/>
            <rFont val="Tahoma"/>
            <family val="2"/>
            <charset val="204"/>
          </rPr>
          <t>Kostas:</t>
        </r>
        <r>
          <rPr>
            <sz val="9"/>
            <color indexed="81"/>
            <rFont val="Tahoma"/>
            <family val="2"/>
            <charset val="204"/>
          </rPr>
          <t xml:space="preserve">
Target 2018 adjusted operating expenses of CHF 4.8bn.</t>
        </r>
      </text>
    </comment>
    <comment ref="Y486" authorId="0" shapeId="0">
      <text>
        <r>
          <rPr>
            <b/>
            <sz val="9"/>
            <color indexed="81"/>
            <rFont val="Tahoma"/>
            <family val="2"/>
            <charset val="204"/>
          </rPr>
          <t>Kostas:</t>
        </r>
        <r>
          <rPr>
            <sz val="9"/>
            <color indexed="81"/>
            <rFont val="Tahoma"/>
            <family val="2"/>
            <charset val="204"/>
          </rPr>
          <t xml:space="preserve">
Adjusted for Goodwill impairment to help forecasting.</t>
        </r>
      </text>
    </comment>
    <comment ref="Y526" authorId="0" shapeId="0">
      <text>
        <r>
          <rPr>
            <b/>
            <sz val="9"/>
            <color indexed="81"/>
            <rFont val="Tahoma"/>
            <family val="2"/>
            <charset val="204"/>
          </rPr>
          <t>Kostas:</t>
        </r>
        <r>
          <rPr>
            <sz val="9"/>
            <color indexed="81"/>
            <rFont val="Tahoma"/>
            <family val="2"/>
            <charset val="204"/>
          </rPr>
          <t xml:space="preserve">
Adjusted for Goodwill impairment, to ease forecasting.</t>
        </r>
      </text>
    </comment>
    <comment ref="AH556" authorId="0" shapeId="0">
      <text>
        <r>
          <rPr>
            <b/>
            <sz val="9"/>
            <color indexed="81"/>
            <rFont val="Tahoma"/>
            <family val="2"/>
            <charset val="204"/>
          </rPr>
          <t>Kostas:</t>
        </r>
        <r>
          <rPr>
            <sz val="9"/>
            <color indexed="81"/>
            <rFont val="Tahoma"/>
            <family val="2"/>
            <charset val="204"/>
          </rPr>
          <t xml:space="preserve">
1.75bn (adj. 1.4bn) losses guided for 2018</t>
        </r>
      </text>
    </comment>
    <comment ref="AL556" authorId="0" shapeId="0">
      <text>
        <r>
          <rPr>
            <b/>
            <sz val="9"/>
            <color indexed="81"/>
            <rFont val="Tahoma"/>
            <family val="2"/>
            <charset val="204"/>
          </rPr>
          <t>Kostas:</t>
        </r>
        <r>
          <rPr>
            <sz val="9"/>
            <color indexed="81"/>
            <rFont val="Tahoma"/>
            <family val="2"/>
            <charset val="204"/>
          </rPr>
          <t xml:space="preserve">
625bn (adj. 500bn) losses guided for 2019.</t>
        </r>
      </text>
    </comment>
  </commentList>
</comments>
</file>

<file path=xl/comments2.xml><?xml version="1.0" encoding="utf-8"?>
<comments xmlns="http://schemas.openxmlformats.org/spreadsheetml/2006/main">
  <authors>
    <author>Microsoft Office User</author>
  </authors>
  <commentList>
    <comment ref="G22" authorId="0" shapeId="0">
      <text>
        <r>
          <rPr>
            <b/>
            <sz val="10"/>
            <color indexed="81"/>
            <rFont val="Calibri"/>
            <family val="2"/>
            <charset val="204"/>
          </rPr>
          <t xml:space="preserve">Kostas Feruliovas:
</t>
        </r>
        <r>
          <rPr>
            <sz val="10"/>
            <color indexed="81"/>
            <rFont val="Calibri"/>
            <family val="2"/>
            <charset val="204"/>
          </rPr>
          <t>Different calculation</t>
        </r>
      </text>
    </comment>
    <comment ref="A34" authorId="0" shapeId="0">
      <text>
        <r>
          <rPr>
            <b/>
            <sz val="10"/>
            <color indexed="81"/>
            <rFont val="Calibri"/>
            <family val="2"/>
            <charset val="204"/>
          </rPr>
          <t xml:space="preserve">Kostas Ferulovas:
</t>
        </r>
        <r>
          <rPr>
            <sz val="10"/>
            <color indexed="81"/>
            <rFont val="Calibri"/>
            <family val="2"/>
            <charset val="204"/>
          </rPr>
          <t>Adjusted for impairment and restructuring expenses.</t>
        </r>
      </text>
    </comment>
  </commentList>
</comments>
</file>

<file path=xl/comments3.xml><?xml version="1.0" encoding="utf-8"?>
<comments xmlns="http://schemas.openxmlformats.org/spreadsheetml/2006/main">
  <authors>
    <author>Microsoft Office User</author>
  </authors>
  <commentList>
    <comment ref="B16" authorId="0" shapeId="0">
      <text>
        <r>
          <rPr>
            <b/>
            <sz val="10"/>
            <color indexed="81"/>
            <rFont val="Calibri"/>
            <family val="2"/>
            <charset val="204"/>
          </rPr>
          <t xml:space="preserve">Kostas Feruliovas:
</t>
        </r>
        <r>
          <rPr>
            <sz val="10"/>
            <color indexed="81"/>
            <rFont val="Calibri"/>
            <family val="2"/>
            <charset val="204"/>
          </rPr>
          <t>Based on treasury yield of 10Y in US.
https://www.treasury.gov/resource-center/data-chart-center/interest-rates/Pages/TextView.aspx?data=yield</t>
        </r>
      </text>
    </comment>
  </commentList>
</comments>
</file>

<file path=xl/comments4.xml><?xml version="1.0" encoding="utf-8"?>
<comments xmlns="http://schemas.openxmlformats.org/spreadsheetml/2006/main">
  <authors>
    <author>Kostas</author>
  </authors>
  <commentList>
    <comment ref="C16" authorId="0" shapeId="0">
      <text>
        <r>
          <rPr>
            <b/>
            <sz val="9"/>
            <color indexed="81"/>
            <rFont val="Tahoma"/>
            <family val="2"/>
            <charset val="204"/>
          </rPr>
          <t>Kostas:</t>
        </r>
        <r>
          <rPr>
            <sz val="9"/>
            <color indexed="81"/>
            <rFont val="Tahoma"/>
            <family val="2"/>
            <charset val="204"/>
          </rPr>
          <t xml:space="preserve">
Deferred tax asset decrease not included.</t>
        </r>
      </text>
    </comment>
  </commentList>
</comments>
</file>

<file path=xl/comments5.xml><?xml version="1.0" encoding="utf-8"?>
<comments xmlns="http://schemas.openxmlformats.org/spreadsheetml/2006/main">
  <authors>
    <author>Kostas</author>
  </authors>
  <commentList>
    <comment ref="H340" authorId="0" shapeId="0">
      <text>
        <r>
          <rPr>
            <b/>
            <sz val="9"/>
            <color indexed="81"/>
            <rFont val="Tahoma"/>
            <family val="2"/>
            <charset val="204"/>
          </rPr>
          <t>Kostas:</t>
        </r>
        <r>
          <rPr>
            <sz val="9"/>
            <color indexed="81"/>
            <rFont val="Tahoma"/>
            <family val="2"/>
            <charset val="204"/>
          </rPr>
          <t xml:space="preserve">
Based on pojetions by Knightfrank.</t>
        </r>
      </text>
    </comment>
  </commentList>
</comments>
</file>

<file path=xl/sharedStrings.xml><?xml version="1.0" encoding="utf-8"?>
<sst xmlns="http://schemas.openxmlformats.org/spreadsheetml/2006/main" count="2510" uniqueCount="951">
  <si>
    <t>1Q</t>
  </si>
  <si>
    <t>2Q</t>
  </si>
  <si>
    <t>3Q</t>
  </si>
  <si>
    <t>4Q</t>
  </si>
  <si>
    <t>Beginning date of the last reported period</t>
  </si>
  <si>
    <t>Net revenues</t>
  </si>
  <si>
    <t>Provision for credit losses</t>
  </si>
  <si>
    <t>Compensation and benefits</t>
  </si>
  <si>
    <t>General and administrative expenses</t>
  </si>
  <si>
    <t>Commission expenses</t>
  </si>
  <si>
    <t>Restructuring expenses</t>
  </si>
  <si>
    <t>Total other operating expenses</t>
  </si>
  <si>
    <t>Total operating expenses</t>
  </si>
  <si>
    <t>Income tax expense/(benefit)</t>
  </si>
  <si>
    <t>Income/(loss) from
continuing operations</t>
  </si>
  <si>
    <t>Income/(loss) from discontinued operations</t>
  </si>
  <si>
    <t>Net income/(loss)</t>
  </si>
  <si>
    <t>Net income attributable
to noncontrolling interests</t>
  </si>
  <si>
    <t>Net income attributable
to shareholders</t>
  </si>
  <si>
    <t>of which income/(loss) from
continuing operations</t>
  </si>
  <si>
    <t>of which income/(loss) from
discontinued operations</t>
  </si>
  <si>
    <t>Assets (CHF million)</t>
  </si>
  <si>
    <t>Cash and due from banks</t>
  </si>
  <si>
    <t>Interest-bearing deposits with banks</t>
  </si>
  <si>
    <t>Central bank funds sold, securities purchased under resale agreements and securities borrowing transactions</t>
  </si>
  <si>
    <t>Securities received as collateral</t>
  </si>
  <si>
    <t>Trading assets</t>
  </si>
  <si>
    <t>Investment securities</t>
  </si>
  <si>
    <t>Other investments</t>
  </si>
  <si>
    <t>Net loans</t>
  </si>
  <si>
    <t>Premises and equipment</t>
  </si>
  <si>
    <t>Goodwill</t>
  </si>
  <si>
    <t>Other intangible assets</t>
  </si>
  <si>
    <t>Brokerage receivables</t>
  </si>
  <si>
    <t>Other assets</t>
  </si>
  <si>
    <t>Assets of discontinued operations held-for-sale</t>
  </si>
  <si>
    <t>Total assets</t>
  </si>
  <si>
    <t>Liabilities (CHF million)</t>
  </si>
  <si>
    <t>Due to banks</t>
  </si>
  <si>
    <t>Customer deposits</t>
  </si>
  <si>
    <t>Central bank funds purchased, securities sold under repurchase agreements and securities lending transactions</t>
  </si>
  <si>
    <t>Obligation to return securities received as collateral</t>
  </si>
  <si>
    <t>Trading liabilities</t>
  </si>
  <si>
    <t>Short-term borrowings</t>
  </si>
  <si>
    <t>Long-term debt</t>
  </si>
  <si>
    <t>Brokerage payables</t>
  </si>
  <si>
    <t>Other liabilities</t>
  </si>
  <si>
    <t>Liabilities of discontinued operations held-for-sale</t>
  </si>
  <si>
    <t>Total liabilities</t>
  </si>
  <si>
    <t>Total shareholders' equity</t>
  </si>
  <si>
    <t>Noncontrolling interests</t>
  </si>
  <si>
    <t>Total equity</t>
  </si>
  <si>
    <t>Total liabilities and equity</t>
  </si>
  <si>
    <t>Tangible shareholders' equity</t>
  </si>
  <si>
    <t>Book value per share (CHF)</t>
  </si>
  <si>
    <t>Total book value per share</t>
  </si>
  <si>
    <t>Tangible book value per share</t>
  </si>
  <si>
    <t>Shares outstanding (million)</t>
  </si>
  <si>
    <t>Common shares issued</t>
  </si>
  <si>
    <t>Treasury shares</t>
  </si>
  <si>
    <t>Shares outstanding</t>
  </si>
  <si>
    <t>Common shares</t>
  </si>
  <si>
    <t>Additional paid-in capital</t>
  </si>
  <si>
    <t>Retained earnings</t>
  </si>
  <si>
    <t>Treasury shares, at cost</t>
  </si>
  <si>
    <t>Accumulated other comprehensive income/loss</t>
  </si>
  <si>
    <t>Balance sheet check</t>
  </si>
  <si>
    <t>Net interest income</t>
  </si>
  <si>
    <t>Commissions and fees</t>
  </si>
  <si>
    <t>Trading revenues</t>
  </si>
  <si>
    <t>Other revenues</t>
  </si>
  <si>
    <t>Goodwill impairment</t>
  </si>
  <si>
    <t>Tangible equity</t>
  </si>
  <si>
    <t>Risk-weighted assets – phase-in (CHF million)</t>
  </si>
  <si>
    <t>Risk-weighted assets – look-through (CHF million)</t>
  </si>
  <si>
    <t>Adjustments subject to phase-in</t>
  </si>
  <si>
    <t>CET1 Phase-in</t>
  </si>
  <si>
    <t>CET1 Look-through</t>
  </si>
  <si>
    <t>CET1 Capital</t>
  </si>
  <si>
    <t>CET1 Ratio phase-in</t>
  </si>
  <si>
    <t>Segments</t>
  </si>
  <si>
    <t>Swiss Universal Bank</t>
  </si>
  <si>
    <t>Statements of operations (CHF million)</t>
  </si>
  <si>
    <t>Recurring commissions and fees</t>
  </si>
  <si>
    <t>Transaction-based revenues</t>
  </si>
  <si>
    <t>New provisions</t>
  </si>
  <si>
    <t>Releases of provisions</t>
  </si>
  <si>
    <t>Income/(loss) before taxes</t>
  </si>
  <si>
    <t>Statement of operations metrics (%)</t>
  </si>
  <si>
    <t>Return on regulatory capital</t>
  </si>
  <si>
    <t>Cost/income ratio</t>
  </si>
  <si>
    <t>Balance sheet statistics (CHF million)</t>
  </si>
  <si>
    <t>Risk-weighted assets</t>
  </si>
  <si>
    <t>Leverage exposure</t>
  </si>
  <si>
    <t>Private Banking (CHF million, except where indicated)</t>
  </si>
  <si>
    <t>Gross margin (bp)</t>
  </si>
  <si>
    <t>Net margin (bp)</t>
  </si>
  <si>
    <t>Number of relationship managers</t>
  </si>
  <si>
    <t>Assets under management (CHF billion)</t>
  </si>
  <si>
    <t>Net new assets (CHF billion)</t>
  </si>
  <si>
    <t>Corporate &amp; Institutional Banking (CHF million, except where indicated)</t>
  </si>
  <si>
    <t>International Wealth Management</t>
  </si>
  <si>
    <t>Net revenue detail (CHF million)</t>
  </si>
  <si>
    <t>Transaction- and performance- based revenues</t>
  </si>
  <si>
    <t>Economic risk capital and return</t>
  </si>
  <si>
    <t>Average economic risk capital (CHF million)</t>
  </si>
  <si>
    <t>Pre-tax return on average economic risk capital (%)</t>
  </si>
  <si>
    <t>Number of employees</t>
  </si>
  <si>
    <t>Number of employees (full-time equivalents)</t>
  </si>
  <si>
    <t>Asset Management (CHF million, except where indicated)</t>
  </si>
  <si>
    <t>Management fees</t>
  </si>
  <si>
    <t>Performance and placement revenues</t>
  </si>
  <si>
    <t>Investment and partnership income</t>
  </si>
  <si>
    <t>of which recurring commissions and fees</t>
  </si>
  <si>
    <t>of which transaction- and performance- based revenues</t>
  </si>
  <si>
    <t>of which other revenues</t>
  </si>
  <si>
    <t>Asia Pacific</t>
  </si>
  <si>
    <t>Investment Banking (CHF million)</t>
  </si>
  <si>
    <t>Fixed income and sales trading</t>
  </si>
  <si>
    <t>Equity sales and trading</t>
  </si>
  <si>
    <t>Underwriting and advisory</t>
  </si>
  <si>
    <t>Global Markets</t>
  </si>
  <si>
    <t>Equities</t>
  </si>
  <si>
    <t>Credit</t>
  </si>
  <si>
    <t>Solutions</t>
  </si>
  <si>
    <t>Other</t>
  </si>
  <si>
    <t>Risk-weighted assets (USD)</t>
  </si>
  <si>
    <t>Leverage exposure (USD)</t>
  </si>
  <si>
    <t>Average one-day, 98% risk management Value-at-Risk (CHF million)</t>
  </si>
  <si>
    <t>Average one-day, 98% risk management Value-at-Risk</t>
  </si>
  <si>
    <t>Investment Banking &amp; Capital Markets</t>
  </si>
  <si>
    <t>Advisory and other fees</t>
  </si>
  <si>
    <t>Debt underwriting</t>
  </si>
  <si>
    <t>Equity underwriting</t>
  </si>
  <si>
    <t>Strategic Resolution Unit</t>
  </si>
  <si>
    <t>of which from noncontrolling interests without SEI</t>
  </si>
  <si>
    <t>of which from litigation expenses</t>
  </si>
  <si>
    <t>Restructuring of select onshore businesses</t>
  </si>
  <si>
    <t>Legacy cross-border business and small markets</t>
  </si>
  <si>
    <t>Restructuring of former Asset Management division</t>
  </si>
  <si>
    <t>Legacy investment banking portfolio</t>
  </si>
  <si>
    <t>Legacy funding costs</t>
  </si>
  <si>
    <t>Noncontrolling interests without SEI</t>
  </si>
  <si>
    <t>Leverage exposure (USD</t>
  </si>
  <si>
    <t>Corporate Center</t>
  </si>
  <si>
    <t>Treasury results</t>
  </si>
  <si>
    <t>Fair value impact from movements in own credit spreads</t>
  </si>
  <si>
    <t>Expense allocation to divisions (CHF million)</t>
  </si>
  <si>
    <t>Total operating expenses before allocations to divisions</t>
  </si>
  <si>
    <t>Net allocations to divisions</t>
  </si>
  <si>
    <t>of which Swiss Universal Bank</t>
  </si>
  <si>
    <t>of which International Wealth Management</t>
  </si>
  <si>
    <t>of which Asia Pacific</t>
  </si>
  <si>
    <t>of which Global Markets</t>
  </si>
  <si>
    <t>of which Investment Banking &amp; Capital Markets</t>
  </si>
  <si>
    <t>of which Strategic Resolution Unit</t>
  </si>
  <si>
    <t>Risk-weighted assets – look-through</t>
  </si>
  <si>
    <t>Leverage exposure – look-through</t>
  </si>
  <si>
    <t>Effective tax rate</t>
  </si>
  <si>
    <t>Cost/Income ratio</t>
  </si>
  <si>
    <t>Profit &amp; Loss</t>
  </si>
  <si>
    <t>Balance Sheet</t>
  </si>
  <si>
    <t>Capital Requirements</t>
  </si>
  <si>
    <t>Payout ratio</t>
  </si>
  <si>
    <t>Dividend growth</t>
  </si>
  <si>
    <t>Dividend yield</t>
  </si>
  <si>
    <t>Dividend estimation</t>
  </si>
  <si>
    <t>Total dividends</t>
  </si>
  <si>
    <t>Share price</t>
  </si>
  <si>
    <t>Adjustment in % of Total shareholder's equity</t>
  </si>
  <si>
    <t>The Private Banking loan portfolio is substantially comprised of residential mortgages in Switzerland and loans collateralized by securities and, to a lesser extent, consumer finance loans.</t>
  </si>
  <si>
    <t xml:space="preserve">The Corporate &amp; Institutional Banking loan portfolio has relatively low concentrations and is mainly secured by mortgages, securities and other financial collateral. </t>
  </si>
  <si>
    <t>Switzerland</t>
  </si>
  <si>
    <t>EMEA</t>
  </si>
  <si>
    <t>Americas</t>
  </si>
  <si>
    <t>Net revenues (CHF million)</t>
  </si>
  <si>
    <t>Income/(loss) from continueing operations before taxes (CHF million)</t>
  </si>
  <si>
    <t>Income/(loss) from continueing operations before taxes</t>
  </si>
  <si>
    <t>Geographical mix 2015</t>
  </si>
  <si>
    <t>Geographical mix 2015 in %</t>
  </si>
  <si>
    <t>RWA as % of interest bearing assets</t>
  </si>
  <si>
    <t>RWA as % of Total assets</t>
  </si>
  <si>
    <t>RWA as % of Net Loans</t>
  </si>
  <si>
    <t>Net interest income % of Net Loans</t>
  </si>
  <si>
    <t>Recurring commissions and fees % of AUM</t>
  </si>
  <si>
    <t>Total assets under management (CHF million)</t>
  </si>
  <si>
    <t>Total net new assets (CHF million)</t>
  </si>
  <si>
    <t>Transaction-based revenues % of AUM</t>
  </si>
  <si>
    <t>New net loans</t>
  </si>
  <si>
    <t>Other revenues private banking</t>
  </si>
  <si>
    <t>Other revenues investment banking</t>
  </si>
  <si>
    <t>Assets under Management (CHF million) (Private Banking only)</t>
  </si>
  <si>
    <t>Net new assets (CHF million) (Private Banking only)</t>
  </si>
  <si>
    <t>No of shares, m</t>
  </si>
  <si>
    <t>DPS, CHF</t>
  </si>
  <si>
    <t>Earnings per share (CHF)</t>
  </si>
  <si>
    <t>Basic earnings/(loss) per share
from continuing operations</t>
  </si>
  <si>
    <t>Basic earnings/(loss) per share</t>
  </si>
  <si>
    <t>Historical avarage AUM growth</t>
  </si>
  <si>
    <t>Gross Loans</t>
  </si>
  <si>
    <t>Interest income/Net Loans</t>
  </si>
  <si>
    <t>Average 2Q NII/Averarage all year NII</t>
  </si>
  <si>
    <t>Date</t>
  </si>
  <si>
    <t>Net income growth YoY</t>
  </si>
  <si>
    <t>Net income growth QoQ</t>
  </si>
  <si>
    <t>Country</t>
  </si>
  <si>
    <t>Scale</t>
  </si>
  <si>
    <t>Estimates Start After</t>
  </si>
  <si>
    <t>Afghanistan</t>
  </si>
  <si>
    <t>Billions</t>
  </si>
  <si>
    <t>Albania</t>
  </si>
  <si>
    <t>Algeria</t>
  </si>
  <si>
    <t>Angola</t>
  </si>
  <si>
    <t>Antigua and Barbuda</t>
  </si>
  <si>
    <t>Argentina</t>
  </si>
  <si>
    <t>Armenia</t>
  </si>
  <si>
    <t>Australia</t>
  </si>
  <si>
    <t>Austria</t>
  </si>
  <si>
    <t>Azerbaijan</t>
  </si>
  <si>
    <t>The 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</si>
  <si>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</si>
  <si>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</si>
  <si>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</si>
  <si>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</si>
  <si>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</si>
  <si>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</si>
  <si>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</si>
  <si>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</si>
  <si>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</si>
  <si>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</si>
  <si>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</si>
  <si>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</si>
  <si>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</si>
  <si>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</si>
  <si>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</si>
  <si>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</si>
  <si>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Cabo Verde</t>
  </si>
  <si>
    <t>Cambodia</t>
  </si>
  <si>
    <t>Cameroon</t>
  </si>
  <si>
    <t>Canada</t>
  </si>
  <si>
    <t>Central African Republic</t>
  </si>
  <si>
    <t>Chad</t>
  </si>
  <si>
    <t>Chile</t>
  </si>
  <si>
    <t>China</t>
  </si>
  <si>
    <t>Colombia</t>
  </si>
  <si>
    <t>Comoros</t>
  </si>
  <si>
    <t>Democratic Republic of the Congo</t>
  </si>
  <si>
    <t>Republic of Congo</t>
  </si>
  <si>
    <t>Costa Rica</t>
  </si>
  <si>
    <t>Côte d'Ivoire</t>
  </si>
  <si>
    <t>Croatia</t>
  </si>
  <si>
    <t>Cyprus</t>
  </si>
  <si>
    <t>Czech Republic</t>
  </si>
  <si>
    <t>Denmark</t>
  </si>
  <si>
    <t>Djibouti</t>
  </si>
  <si>
    <t>Dominica</t>
  </si>
  <si>
    <t>Dominican Republic</t>
  </si>
  <si>
    <t>Ecuador</t>
  </si>
  <si>
    <t>Egypt</t>
  </si>
  <si>
    <t>El Salvador</t>
  </si>
  <si>
    <t>Equatorial Guinea</t>
  </si>
  <si>
    <t>Eritrea</t>
  </si>
  <si>
    <t>Estonia</t>
  </si>
  <si>
    <t>Ethiopia</t>
  </si>
  <si>
    <t>Fiji</t>
  </si>
  <si>
    <t>Finland</t>
  </si>
  <si>
    <t>France</t>
  </si>
  <si>
    <t>Gabon</t>
  </si>
  <si>
    <t>The Gambia</t>
  </si>
  <si>
    <t>Georgia</t>
  </si>
  <si>
    <t>Germany</t>
  </si>
  <si>
    <t>Ghana</t>
  </si>
  <si>
    <t>Greece</t>
  </si>
  <si>
    <t>Grenada</t>
  </si>
  <si>
    <t>Guatemala</t>
  </si>
  <si>
    <t>Guinea</t>
  </si>
  <si>
    <t>Guinea-Bissau</t>
  </si>
  <si>
    <t>Guyana</t>
  </si>
  <si>
    <t>Haiti</t>
  </si>
  <si>
    <t>Honduras</t>
  </si>
  <si>
    <t>Hong Kong SAR</t>
  </si>
  <si>
    <t>Hungary</t>
  </si>
  <si>
    <t>Iceland</t>
  </si>
  <si>
    <t>India</t>
  </si>
  <si>
    <t>Indonesia</t>
  </si>
  <si>
    <t>Islamic Republic of Iran</t>
  </si>
  <si>
    <t>Iraq</t>
  </si>
  <si>
    <t>Ireland</t>
  </si>
  <si>
    <t>Israel</t>
  </si>
  <si>
    <t>Italy</t>
  </si>
  <si>
    <t>Jamaica</t>
  </si>
  <si>
    <t>Japan</t>
  </si>
  <si>
    <t>Jordan</t>
  </si>
  <si>
    <t>Kazakhstan</t>
  </si>
  <si>
    <t>Kenya</t>
  </si>
  <si>
    <t>Kiribati</t>
  </si>
  <si>
    <t>Korea</t>
  </si>
  <si>
    <t>Kosovo</t>
  </si>
  <si>
    <t>Kuwait</t>
  </si>
  <si>
    <t>Kyrgyz Republic</t>
  </si>
  <si>
    <t>Lao P.D.R.</t>
  </si>
  <si>
    <t>Latvia</t>
  </si>
  <si>
    <t>Lebanon</t>
  </si>
  <si>
    <t>Lesotho</t>
  </si>
  <si>
    <t>Liberia</t>
  </si>
  <si>
    <t>Libya</t>
  </si>
  <si>
    <t>Lithuania</t>
  </si>
  <si>
    <t>Luxembourg</t>
  </si>
  <si>
    <t>Macao SAR</t>
  </si>
  <si>
    <t>FYR Macedonia</t>
  </si>
  <si>
    <t>Madagascar</t>
  </si>
  <si>
    <t>Malawi</t>
  </si>
  <si>
    <t>Malaysia</t>
  </si>
  <si>
    <t>Maldives</t>
  </si>
  <si>
    <t>Mali</t>
  </si>
  <si>
    <t>Malta</t>
  </si>
  <si>
    <t>Marshall Islands</t>
  </si>
  <si>
    <t>Mauritania</t>
  </si>
  <si>
    <t>Mauritius</t>
  </si>
  <si>
    <t>Mexico</t>
  </si>
  <si>
    <t>Micronesia</t>
  </si>
  <si>
    <t>Moldova</t>
  </si>
  <si>
    <t>Mongolia</t>
  </si>
  <si>
    <t>Montenegro</t>
  </si>
  <si>
    <t>Morocco</t>
  </si>
  <si>
    <t>Mozambique</t>
  </si>
  <si>
    <t>Myanmar</t>
  </si>
  <si>
    <t>Namibia</t>
  </si>
  <si>
    <t>Nepal</t>
  </si>
  <si>
    <t>Netherlands</t>
  </si>
  <si>
    <t>New Zealand</t>
  </si>
  <si>
    <t>Nicaragua</t>
  </si>
  <si>
    <t>Niger</t>
  </si>
  <si>
    <t>Nigeria</t>
  </si>
  <si>
    <t>Norway</t>
  </si>
  <si>
    <t>Oman</t>
  </si>
  <si>
    <t>Pakistan</t>
  </si>
  <si>
    <t>Palau</t>
  </si>
  <si>
    <t>Panama</t>
  </si>
  <si>
    <t>Papua New Guinea</t>
  </si>
  <si>
    <t>Paraguay</t>
  </si>
  <si>
    <t>Peru</t>
  </si>
  <si>
    <t>Philippines</t>
  </si>
  <si>
    <t>Poland</t>
  </si>
  <si>
    <t>Portugal</t>
  </si>
  <si>
    <t>Puerto Rico</t>
  </si>
  <si>
    <t>Qatar</t>
  </si>
  <si>
    <t>Romania</t>
  </si>
  <si>
    <t>Russia</t>
  </si>
  <si>
    <t>Rwanda</t>
  </si>
  <si>
    <t>Samoa</t>
  </si>
  <si>
    <t>San Marino</t>
  </si>
  <si>
    <t>São Tomé and Príncipe</t>
  </si>
  <si>
    <t>Saudi Arabia</t>
  </si>
  <si>
    <t>Senegal</t>
  </si>
  <si>
    <t>Serbia</t>
  </si>
  <si>
    <t>Seychelles</t>
  </si>
  <si>
    <t>Sierra Leone</t>
  </si>
  <si>
    <t>Singapore</t>
  </si>
  <si>
    <t>Slovak Republic</t>
  </si>
  <si>
    <t>Slovenia</t>
  </si>
  <si>
    <t>Solomon Islands</t>
  </si>
  <si>
    <t>South Africa</t>
  </si>
  <si>
    <t>South Sudan</t>
  </si>
  <si>
    <t>Spain</t>
  </si>
  <si>
    <t>Sri Lanka</t>
  </si>
  <si>
    <t>St. Kitts and Nevis</t>
  </si>
  <si>
    <t>St. Lucia</t>
  </si>
  <si>
    <t>St. Vincent and the Grenadines</t>
  </si>
  <si>
    <t>Sudan</t>
  </si>
  <si>
    <t>Suriname</t>
  </si>
  <si>
    <t>Swaziland</t>
  </si>
  <si>
    <t>Sweden</t>
  </si>
  <si>
    <t>Syria</t>
  </si>
  <si>
    <t>Taiwan Province of China</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</si>
  <si>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</si>
  <si>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</si>
  <si>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</si>
  <si>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</si>
  <si>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</si>
  <si>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</si>
  <si>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</si>
  <si>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</si>
  <si>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</si>
  <si>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</si>
  <si>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</si>
  <si>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</si>
  <si>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</si>
  <si>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</si>
  <si>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</si>
  <si>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t>
  </si>
  <si>
    <t>Uruguay</t>
  </si>
  <si>
    <t>Uzbekistan</t>
  </si>
  <si>
    <t>Vanuatu</t>
  </si>
  <si>
    <t>Venezuela</t>
  </si>
  <si>
    <t>Vietnam</t>
  </si>
  <si>
    <t>Yemen</t>
  </si>
  <si>
    <t>Zambia</t>
  </si>
  <si>
    <t>Zimbabwe</t>
  </si>
  <si>
    <t>GDP</t>
  </si>
  <si>
    <t>Annual growth</t>
  </si>
  <si>
    <t>Weight</t>
  </si>
  <si>
    <t>Weighted growth</t>
  </si>
  <si>
    <t>Weighted average growth in the year</t>
  </si>
  <si>
    <t>Quarterly growht</t>
  </si>
  <si>
    <t>Quarterly</t>
  </si>
  <si>
    <t>Annual</t>
  </si>
  <si>
    <t>Aruba</t>
  </si>
  <si>
    <t>Latin America</t>
  </si>
  <si>
    <t>Latin america + Americas + EMEA</t>
  </si>
  <si>
    <t>AUM growth</t>
  </si>
  <si>
    <t>Total net loans</t>
  </si>
  <si>
    <t>Unreported part of net loans</t>
  </si>
  <si>
    <t>Unreported part % of total</t>
  </si>
  <si>
    <t>Interest bearing assets</t>
  </si>
  <si>
    <t>Minimum CET1 required</t>
  </si>
  <si>
    <t>Common sh' Equity Estimated</t>
  </si>
  <si>
    <t>Common sh' Equity Minimum Required</t>
  </si>
  <si>
    <t>Test for CET1 breach</t>
  </si>
  <si>
    <t>PV of Terminal value</t>
  </si>
  <si>
    <t>PV of Explicit period</t>
  </si>
  <si>
    <t>Risk free rate</t>
  </si>
  <si>
    <t>Market risk premium</t>
  </si>
  <si>
    <t>Beta</t>
  </si>
  <si>
    <t>Cost of equity</t>
  </si>
  <si>
    <t>Dividends per share</t>
  </si>
  <si>
    <t>Long term dividend growth</t>
  </si>
  <si>
    <t>Discounted dividends</t>
  </si>
  <si>
    <t>Sensitivity</t>
  </si>
  <si>
    <t>Terminal growth</t>
  </si>
  <si>
    <t>Intrinsic value</t>
  </si>
  <si>
    <t>Based on current estimates, the size of dividends is appropriate.</t>
  </si>
  <si>
    <t>Comments:</t>
  </si>
  <si>
    <t>SUB</t>
  </si>
  <si>
    <t>Division</t>
  </si>
  <si>
    <t>Region</t>
  </si>
  <si>
    <t>Estimated weighted average GDP growth</t>
  </si>
  <si>
    <t>IWM</t>
  </si>
  <si>
    <t>APAC</t>
  </si>
  <si>
    <t>EMEA &amp; Americas</t>
  </si>
  <si>
    <t>US</t>
  </si>
  <si>
    <t>Western Europe</t>
  </si>
  <si>
    <t>Eastern europe</t>
  </si>
  <si>
    <t>MEA</t>
  </si>
  <si>
    <t>Global</t>
  </si>
  <si>
    <t>Wealth</t>
  </si>
  <si>
    <t>BCG regions</t>
  </si>
  <si>
    <t>Weight in our region</t>
  </si>
  <si>
    <t>Americas/EMEA/LatAm</t>
  </si>
  <si>
    <t>-</t>
  </si>
  <si>
    <t>Growth</t>
  </si>
  <si>
    <t>Adj Close</t>
  </si>
  <si>
    <t>Factors</t>
  </si>
  <si>
    <t>Financial stability</t>
  </si>
  <si>
    <t>Market Position</t>
  </si>
  <si>
    <t>Profitability</t>
  </si>
  <si>
    <t>Individuality</t>
  </si>
  <si>
    <t>Fair P/E valuation takes an approach of valuing the company with fair multiples.</t>
  </si>
  <si>
    <t>Base</t>
  </si>
  <si>
    <t>Fair P/E ratio of CS</t>
  </si>
  <si>
    <t>Factors:</t>
  </si>
  <si>
    <t>Market position*</t>
  </si>
  <si>
    <t>Porter points</t>
  </si>
  <si>
    <t>Bargaining power of customers</t>
  </si>
  <si>
    <t>Threat of new entrants</t>
  </si>
  <si>
    <t>Threat of substitute products</t>
  </si>
  <si>
    <t>Intensity of competitive rivalry</t>
  </si>
  <si>
    <t>Fair value per share of Credit Suisse calculation</t>
  </si>
  <si>
    <t>Points of fair P/E</t>
  </si>
  <si>
    <t>Comments</t>
  </si>
  <si>
    <t>Finance industry is being modernized and digitalized rapidly, however, there is little medium-term risk of large enough new players to threaten CS.</t>
  </si>
  <si>
    <t>High competitive rivalry and contracting margins.</t>
  </si>
  <si>
    <t>Factor</t>
  </si>
  <si>
    <t>Total</t>
  </si>
  <si>
    <t>Represent 2 in fair P/E points</t>
  </si>
  <si>
    <t>Bargaining power of suppliers</t>
  </si>
  <si>
    <t>Based on 5 Porter factors. Market position is between Medium and Good representing Moderate competition, small number of competitors or even oligopolistic tendencies. This is assumed because Credit Suisse has an exceptionally strong brand globally. In addition, the company is one of the largest financial institutions in the world, while high concentration of market share in this industry implies oligopolistic tendencies. Besides that, the number of points given here are also supported by comparison of profitability points. Here, instead of EBIT, we use inverted cost/income ratio approximating that all interest income and expenses in CS are operational rather than financial items.</t>
  </si>
  <si>
    <t>In the past 5 years Credit Suisse delivered negative compounded growth rate in both sales and earnings. However, we assume a gradual turnaround based on the new strategy. Therefore, to stay conservative and impartial we give 0 points for the growth of CS.</t>
  </si>
  <si>
    <t>Fair value of CS share</t>
  </si>
  <si>
    <t>Fair price-to-book ratio =</t>
  </si>
  <si>
    <t>Doubler - 2 x Cost of equity + Return on equity / Doubler - Cost of equity</t>
  </si>
  <si>
    <t>ln ((( e(coe)  - 1 ) x 2 ) + 1)</t>
  </si>
  <si>
    <t>Doubler =</t>
  </si>
  <si>
    <t>Net income adjusted</t>
  </si>
  <si>
    <t>Ratios</t>
  </si>
  <si>
    <t>Return on equity</t>
  </si>
  <si>
    <t>Invested capital</t>
  </si>
  <si>
    <t>Equity</t>
  </si>
  <si>
    <t>Reported equity</t>
  </si>
  <si>
    <t>Total impairment adjustment</t>
  </si>
  <si>
    <t>Adjusted equity</t>
  </si>
  <si>
    <t>Debt</t>
  </si>
  <si>
    <t>Subordinated debt</t>
  </si>
  <si>
    <t>Preferred shares</t>
  </si>
  <si>
    <t>ROIC</t>
  </si>
  <si>
    <t>Net Income as reported</t>
  </si>
  <si>
    <t>+Goodwill/intangibles/amortization</t>
  </si>
  <si>
    <t>+Extraordinary items</t>
  </si>
  <si>
    <t>+Preferance share dividends</t>
  </si>
  <si>
    <t>+Interest on subordinated debt</t>
  </si>
  <si>
    <t>+Minority interests</t>
  </si>
  <si>
    <t>+Provisions</t>
  </si>
  <si>
    <t>+Tax charge</t>
  </si>
  <si>
    <t>Pre provisioning operating profit</t>
  </si>
  <si>
    <t>-Provisions charge</t>
  </si>
  <si>
    <t>Adjusted operating profit</t>
  </si>
  <si>
    <t>WACC</t>
  </si>
  <si>
    <t>Interest rate on subordinated debt</t>
  </si>
  <si>
    <t>Tax shield</t>
  </si>
  <si>
    <t>Interest less tax shield</t>
  </si>
  <si>
    <t>Adjusted equity as % on Invested Capital</t>
  </si>
  <si>
    <t>CAPM</t>
  </si>
  <si>
    <t>FairPE</t>
  </si>
  <si>
    <t>WACC (CAPM)</t>
  </si>
  <si>
    <t>WACC (FairPE)</t>
  </si>
  <si>
    <t>Value creation margin</t>
  </si>
  <si>
    <t>Value creation per share</t>
  </si>
  <si>
    <t>Value-Added Margin in period</t>
  </si>
  <si>
    <t>Through-the-cycle Value-Added Margin</t>
  </si>
  <si>
    <t>Invested Capital growth pa (next 10 years)</t>
  </si>
  <si>
    <t>Terminal Value-Added Margin assumption</t>
  </si>
  <si>
    <t>Assumed continuing growth of Value Added</t>
  </si>
  <si>
    <t>Invested Capital (beginning of period)</t>
  </si>
  <si>
    <t>PV of Value Created/(Destroyed) in forecast period</t>
  </si>
  <si>
    <t>PV of Continuing Value</t>
  </si>
  <si>
    <t>Total firm value</t>
  </si>
  <si>
    <t>Less: Debt Capital</t>
  </si>
  <si>
    <t>Less: Equity Adjustments</t>
  </si>
  <si>
    <t>Target Equity Value</t>
  </si>
  <si>
    <t>Market Capitalisation (end of period)</t>
  </si>
  <si>
    <t>Value Added Margin in forecast year:</t>
  </si>
  <si>
    <t>Invested Capital in forecast period</t>
  </si>
  <si>
    <t>Value Created in forecast period</t>
  </si>
  <si>
    <t>PV of Value Created in forecast period</t>
  </si>
  <si>
    <t>Fundamental valuation</t>
  </si>
  <si>
    <t>Target Equity Value per share</t>
  </si>
  <si>
    <t>Actual share price (period average)</t>
  </si>
  <si>
    <t>Value created/destroyed</t>
  </si>
  <si>
    <t>Operating ROIC</t>
  </si>
  <si>
    <t>Operating ROIC annualized</t>
  </si>
  <si>
    <t>Tax charge reported</t>
  </si>
  <si>
    <t>Implied tax charge on debt</t>
  </si>
  <si>
    <t>Adjusted net profit</t>
  </si>
  <si>
    <t>RORWA</t>
  </si>
  <si>
    <t>Annualized RORWA</t>
  </si>
  <si>
    <t>Annualized ROIC</t>
  </si>
  <si>
    <t>Doubler</t>
  </si>
  <si>
    <t>Fair price-to-book</t>
  </si>
  <si>
    <t>Fair price for CS share</t>
  </si>
  <si>
    <t>Inputs to formula</t>
  </si>
  <si>
    <t>Fair P/B valuation</t>
  </si>
  <si>
    <t>2H18</t>
  </si>
  <si>
    <t>2H19</t>
  </si>
  <si>
    <t>2H20</t>
  </si>
  <si>
    <t>2H21</t>
  </si>
  <si>
    <t>2H22</t>
  </si>
  <si>
    <t>2H23</t>
  </si>
  <si>
    <t>2H24</t>
  </si>
  <si>
    <t>2H25</t>
  </si>
  <si>
    <t>2H26</t>
  </si>
  <si>
    <t>2H27</t>
  </si>
  <si>
    <t>2H28</t>
  </si>
  <si>
    <t>2H29</t>
  </si>
  <si>
    <t>2H30</t>
  </si>
  <si>
    <t>2H31</t>
  </si>
  <si>
    <t xml:space="preserve"> </t>
  </si>
  <si>
    <t>There were slight changes in accounting made after 2010</t>
  </si>
  <si>
    <t>ROE</t>
  </si>
  <si>
    <t>Average</t>
  </si>
  <si>
    <t>Net loans growth</t>
  </si>
  <si>
    <t>Assets under management growth</t>
  </si>
  <si>
    <t>Net revenue growth</t>
  </si>
  <si>
    <t>Base Case</t>
  </si>
  <si>
    <t>Upside</t>
  </si>
  <si>
    <t>Downside</t>
  </si>
  <si>
    <t>Values Currently Driving Model Output</t>
  </si>
  <si>
    <t>Wealth growth</t>
  </si>
  <si>
    <t/>
  </si>
  <si>
    <t>Base case adjustment for the Upside</t>
  </si>
  <si>
    <t>Adjusted EPS</t>
  </si>
  <si>
    <t>Fair multiples are derived based on 5 factors that define the company's situation in the market, internally and so on.</t>
  </si>
  <si>
    <t>CET1 Ratio estimated</t>
  </si>
  <si>
    <t>CET1 Ratio targeted</t>
  </si>
  <si>
    <t>Tax expense</t>
  </si>
  <si>
    <t>CHF</t>
  </si>
  <si>
    <t>ROIC valuation</t>
  </si>
  <si>
    <t>2017E</t>
  </si>
  <si>
    <t>2018E</t>
  </si>
  <si>
    <t>2019E</t>
  </si>
  <si>
    <t>2020E</t>
  </si>
  <si>
    <t>Total shareholder's equity</t>
  </si>
  <si>
    <t>Costs</t>
  </si>
  <si>
    <t>Segmental composition</t>
  </si>
  <si>
    <t>GM</t>
  </si>
  <si>
    <t>IBCM</t>
  </si>
  <si>
    <t>SRU</t>
  </si>
  <si>
    <t>CC</t>
  </si>
  <si>
    <t>Revenue</t>
  </si>
  <si>
    <t>Pretax Income</t>
  </si>
  <si>
    <t>Cost income ratio</t>
  </si>
  <si>
    <t>Incremental revenue</t>
  </si>
  <si>
    <t>RWA</t>
  </si>
  <si>
    <t>RWA %</t>
  </si>
  <si>
    <t>RWA change</t>
  </si>
  <si>
    <t>Credit Suisse has a strong brand and has created brand loyalty over time.</t>
  </si>
  <si>
    <t>Even though there are many substitutes for financial products. Credit Suisse has long term experience and a a strong track record in its core activities like wealth management and M&amp;A advisory.</t>
  </si>
  <si>
    <t>Recurring commissions, fees and Management fees</t>
  </si>
  <si>
    <t>Solutions (Underwriting)</t>
  </si>
  <si>
    <t>Net income attributable to non-controlling interests</t>
  </si>
  <si>
    <t>of which income/(loss) from continuing operations</t>
  </si>
  <si>
    <t>of which income/(loss) from discontinued operations</t>
  </si>
  <si>
    <t>CET1 Capital difference from Total Equity subject to phase-in</t>
  </si>
  <si>
    <t>Net loans reported in segments</t>
  </si>
  <si>
    <t>Publicized investor remuneration through special divident and share buybacks (50% of Net income)</t>
  </si>
  <si>
    <t>Sum of historical Other revenues % of Net Revenues</t>
  </si>
  <si>
    <t>Geometric growth/(decline) rate of C/I ratio</t>
  </si>
  <si>
    <t>Quarterly growth/(decline) in net revenues</t>
  </si>
  <si>
    <t>Cфte d'Ivoire</t>
  </si>
  <si>
    <t>Nauru</t>
  </si>
  <si>
    <t>Sгo Tomй and Prнncipe</t>
  </si>
  <si>
    <r>
      <rPr>
        <sz val="11.5"/>
        <rFont val="Times New Roman"/>
        <family val="1"/>
        <charset val="204"/>
      </rPr>
      <t>ALGERIA</t>
    </r>
  </si>
  <si>
    <r>
      <rPr>
        <sz val="11.5"/>
        <rFont val="Times New Roman"/>
        <family val="1"/>
        <charset val="204"/>
      </rPr>
      <t>AFRICA</t>
    </r>
  </si>
  <si>
    <r>
      <rPr>
        <sz val="11.5"/>
        <rFont val="Times New Roman"/>
        <family val="1"/>
        <charset val="204"/>
      </rPr>
      <t>ANGOLA</t>
    </r>
  </si>
  <si>
    <r>
      <rPr>
        <sz val="11.5"/>
        <rFont val="Times New Roman"/>
        <family val="1"/>
        <charset val="204"/>
      </rPr>
      <t>ARGENTINA</t>
    </r>
  </si>
  <si>
    <r>
      <rPr>
        <sz val="11.5"/>
        <rFont val="Times New Roman"/>
        <family val="1"/>
        <charset val="204"/>
      </rPr>
      <t>LATIN AMERICA</t>
    </r>
  </si>
  <si>
    <r>
      <rPr>
        <sz val="11.5"/>
        <rFont val="Times New Roman"/>
        <family val="1"/>
        <charset val="204"/>
      </rPr>
      <t>AUSTRALIA</t>
    </r>
  </si>
  <si>
    <r>
      <rPr>
        <sz val="11.5"/>
        <rFont val="Times New Roman"/>
        <family val="1"/>
        <charset val="204"/>
      </rPr>
      <t>AUSTRALASIA</t>
    </r>
  </si>
  <si>
    <r>
      <rPr>
        <sz val="11.5"/>
        <rFont val="Times New Roman"/>
        <family val="1"/>
        <charset val="204"/>
      </rPr>
      <t>AUSTRIA</t>
    </r>
  </si>
  <si>
    <r>
      <rPr>
        <sz val="11.5"/>
        <rFont val="Times New Roman"/>
        <family val="1"/>
        <charset val="204"/>
      </rPr>
      <t>EUROPE</t>
    </r>
  </si>
  <si>
    <r>
      <rPr>
        <sz val="11.5"/>
        <rFont val="Times New Roman"/>
        <family val="1"/>
        <charset val="204"/>
      </rPr>
      <t>AZERBAIJAN</t>
    </r>
  </si>
  <si>
    <r>
      <rPr>
        <sz val="11.5"/>
        <rFont val="Times New Roman"/>
        <family val="1"/>
        <charset val="204"/>
      </rPr>
      <t>RUSSIA/CIS</t>
    </r>
  </si>
  <si>
    <r>
      <rPr>
        <sz val="11.5"/>
        <rFont val="Times New Roman"/>
        <family val="1"/>
        <charset val="204"/>
      </rPr>
      <t>BELGIUM</t>
    </r>
  </si>
  <si>
    <r>
      <rPr>
        <sz val="11.5"/>
        <rFont val="Times New Roman"/>
        <family val="1"/>
        <charset val="204"/>
      </rPr>
      <t>BOTSWANA</t>
    </r>
  </si>
  <si>
    <r>
      <rPr>
        <sz val="11.5"/>
        <rFont val="Times New Roman"/>
        <family val="1"/>
        <charset val="204"/>
      </rPr>
      <t>-</t>
    </r>
  </si>
  <si>
    <r>
      <rPr>
        <sz val="11.5"/>
        <rFont val="Times New Roman"/>
        <family val="1"/>
        <charset val="204"/>
      </rPr>
      <t>BRAZIL</t>
    </r>
  </si>
  <si>
    <r>
      <rPr>
        <sz val="11.5"/>
        <rFont val="Times New Roman"/>
        <family val="1"/>
        <charset val="204"/>
      </rPr>
      <t>BULGARIA</t>
    </r>
  </si>
  <si>
    <r>
      <rPr>
        <sz val="11.5"/>
        <rFont val="Times New Roman"/>
        <family val="1"/>
        <charset val="204"/>
      </rPr>
      <t>CANADA</t>
    </r>
  </si>
  <si>
    <r>
      <rPr>
        <sz val="11.5"/>
        <rFont val="Times New Roman"/>
        <family val="1"/>
        <charset val="204"/>
      </rPr>
      <t>NORTH AMERICA</t>
    </r>
  </si>
  <si>
    <r>
      <rPr>
        <sz val="11.5"/>
        <rFont val="Times New Roman"/>
        <family val="1"/>
        <charset val="204"/>
      </rPr>
      <t>CARIBBEAN</t>
    </r>
  </si>
  <si>
    <r>
      <rPr>
        <sz val="11.5"/>
        <rFont val="Times New Roman"/>
        <family val="1"/>
        <charset val="204"/>
      </rPr>
      <t>CHILE</t>
    </r>
  </si>
  <si>
    <r>
      <rPr>
        <sz val="11.5"/>
        <rFont val="Times New Roman"/>
        <family val="1"/>
        <charset val="204"/>
      </rPr>
      <t>CHINA</t>
    </r>
  </si>
  <si>
    <r>
      <rPr>
        <sz val="11.5"/>
        <rFont val="Times New Roman"/>
        <family val="1"/>
        <charset val="204"/>
      </rPr>
      <t>ASIA</t>
    </r>
  </si>
  <si>
    <r>
      <rPr>
        <sz val="11.5"/>
        <rFont val="Times New Roman"/>
        <family val="1"/>
        <charset val="204"/>
      </rPr>
      <t>COLOMBIA</t>
    </r>
  </si>
  <si>
    <r>
      <rPr>
        <sz val="11.5"/>
        <rFont val="Times New Roman"/>
        <family val="1"/>
        <charset val="204"/>
      </rPr>
      <t>CONGO (DRC)</t>
    </r>
  </si>
  <si>
    <r>
      <rPr>
        <sz val="11.5"/>
        <rFont val="Times New Roman"/>
        <family val="1"/>
        <charset val="204"/>
      </rPr>
      <t>COTE D’IVOIRE</t>
    </r>
  </si>
  <si>
    <r>
      <rPr>
        <sz val="11.5"/>
        <rFont val="Times New Roman"/>
        <family val="1"/>
        <charset val="204"/>
      </rPr>
      <t>CROATIA</t>
    </r>
  </si>
  <si>
    <r>
      <rPr>
        <sz val="11.5"/>
        <rFont val="Times New Roman"/>
        <family val="1"/>
        <charset val="204"/>
      </rPr>
      <t>CYPRUS</t>
    </r>
  </si>
  <si>
    <r>
      <rPr>
        <sz val="11.5"/>
        <rFont val="Times New Roman"/>
        <family val="1"/>
        <charset val="204"/>
      </rPr>
      <t>CZECH REPUBLIC</t>
    </r>
  </si>
  <si>
    <r>
      <rPr>
        <sz val="11.5"/>
        <rFont val="Times New Roman"/>
        <family val="1"/>
        <charset val="204"/>
      </rPr>
      <t>DENMARK</t>
    </r>
  </si>
  <si>
    <r>
      <rPr>
        <sz val="11.5"/>
        <rFont val="Times New Roman"/>
        <family val="1"/>
        <charset val="204"/>
      </rPr>
      <t>EGYPT</t>
    </r>
  </si>
  <si>
    <r>
      <rPr>
        <sz val="11.5"/>
        <rFont val="Times New Roman"/>
        <family val="1"/>
        <charset val="204"/>
      </rPr>
      <t>ESTONIA</t>
    </r>
  </si>
  <si>
    <r>
      <rPr>
        <sz val="11.5"/>
        <rFont val="Times New Roman"/>
        <family val="1"/>
        <charset val="204"/>
      </rPr>
      <t>ETHIOPIA</t>
    </r>
  </si>
  <si>
    <r>
      <rPr>
        <sz val="11.5"/>
        <rFont val="Times New Roman"/>
        <family val="1"/>
        <charset val="204"/>
      </rPr>
      <t>FINLAND</t>
    </r>
  </si>
  <si>
    <r>
      <rPr>
        <sz val="11.5"/>
        <rFont val="Times New Roman"/>
        <family val="1"/>
        <charset val="204"/>
      </rPr>
      <t>FRANCE</t>
    </r>
  </si>
  <si>
    <r>
      <rPr>
        <sz val="11.5"/>
        <rFont val="Times New Roman"/>
        <family val="1"/>
        <charset val="204"/>
      </rPr>
      <t>GERMANY</t>
    </r>
  </si>
  <si>
    <r>
      <rPr>
        <sz val="11.5"/>
        <rFont val="Times New Roman"/>
        <family val="1"/>
        <charset val="204"/>
      </rPr>
      <t>GHANA</t>
    </r>
  </si>
  <si>
    <r>
      <rPr>
        <sz val="11.5"/>
        <rFont val="Times New Roman"/>
        <family val="1"/>
        <charset val="204"/>
      </rPr>
      <t>GREECE</t>
    </r>
  </si>
  <si>
    <r>
      <rPr>
        <sz val="11.5"/>
        <rFont val="Times New Roman"/>
        <family val="1"/>
        <charset val="204"/>
      </rPr>
      <t>HONG KONG</t>
    </r>
  </si>
  <si>
    <r>
      <rPr>
        <sz val="11.5"/>
        <rFont val="Times New Roman"/>
        <family val="1"/>
        <charset val="204"/>
      </rPr>
      <t>HUNGARY</t>
    </r>
  </si>
  <si>
    <r>
      <rPr>
        <sz val="11.5"/>
        <rFont val="Times New Roman"/>
        <family val="1"/>
        <charset val="204"/>
      </rPr>
      <t>INDIA</t>
    </r>
  </si>
  <si>
    <r>
      <rPr>
        <sz val="11.5"/>
        <rFont val="Times New Roman"/>
        <family val="1"/>
        <charset val="204"/>
      </rPr>
      <t>INDONESIA</t>
    </r>
  </si>
  <si>
    <r>
      <rPr>
        <sz val="11.5"/>
        <rFont val="Times New Roman"/>
        <family val="1"/>
        <charset val="204"/>
      </rPr>
      <t>IRAN</t>
    </r>
  </si>
  <si>
    <r>
      <rPr>
        <sz val="11.5"/>
        <rFont val="Times New Roman"/>
        <family val="1"/>
        <charset val="204"/>
      </rPr>
      <t>MIDDLE EAST</t>
    </r>
  </si>
  <si>
    <r>
      <rPr>
        <sz val="11.5"/>
        <rFont val="Times New Roman"/>
        <family val="1"/>
        <charset val="204"/>
      </rPr>
      <t>IRELAND</t>
    </r>
  </si>
  <si>
    <r>
      <rPr>
        <sz val="11.5"/>
        <rFont val="Times New Roman"/>
        <family val="1"/>
        <charset val="204"/>
      </rPr>
      <t>ISRAEL</t>
    </r>
  </si>
  <si>
    <r>
      <rPr>
        <sz val="11.5"/>
        <rFont val="Times New Roman"/>
        <family val="1"/>
        <charset val="204"/>
      </rPr>
      <t>ITALY</t>
    </r>
  </si>
  <si>
    <r>
      <rPr>
        <sz val="11.5"/>
        <rFont val="Times New Roman"/>
        <family val="1"/>
        <charset val="204"/>
      </rPr>
      <t>JAPAN</t>
    </r>
  </si>
  <si>
    <r>
      <rPr>
        <sz val="11.5"/>
        <rFont val="Times New Roman"/>
        <family val="1"/>
        <charset val="204"/>
      </rPr>
      <t>JORDAN</t>
    </r>
  </si>
  <si>
    <r>
      <rPr>
        <sz val="11.5"/>
        <rFont val="Times New Roman"/>
        <family val="1"/>
        <charset val="204"/>
      </rPr>
      <t>KAZAKHSTAN</t>
    </r>
  </si>
  <si>
    <r>
      <rPr>
        <sz val="11.5"/>
        <rFont val="Times New Roman"/>
        <family val="1"/>
        <charset val="204"/>
      </rPr>
      <t>KENYA</t>
    </r>
  </si>
  <si>
    <r>
      <rPr>
        <sz val="11.5"/>
        <rFont val="Times New Roman"/>
        <family val="1"/>
        <charset val="204"/>
      </rPr>
      <t>LATVIA</t>
    </r>
  </si>
  <si>
    <r>
      <rPr>
        <sz val="11.5"/>
        <rFont val="Times New Roman"/>
        <family val="1"/>
        <charset val="204"/>
      </rPr>
      <t>LIECHTENSTEIN</t>
    </r>
  </si>
  <si>
    <r>
      <rPr>
        <sz val="11.5"/>
        <rFont val="Times New Roman"/>
        <family val="1"/>
        <charset val="204"/>
      </rPr>
      <t>LITHUANIA</t>
    </r>
  </si>
  <si>
    <r>
      <rPr>
        <sz val="11.5"/>
        <rFont val="Times New Roman"/>
        <family val="1"/>
        <charset val="204"/>
      </rPr>
      <t>LUXEMBOURG</t>
    </r>
  </si>
  <si>
    <r>
      <rPr>
        <sz val="11.5"/>
        <rFont val="Times New Roman"/>
        <family val="1"/>
        <charset val="204"/>
      </rPr>
      <t>MALAYSIA</t>
    </r>
  </si>
  <si>
    <r>
      <rPr>
        <sz val="11.5"/>
        <rFont val="Times New Roman"/>
        <family val="1"/>
        <charset val="204"/>
      </rPr>
      <t>MALTA</t>
    </r>
  </si>
  <si>
    <r>
      <rPr>
        <sz val="11.5"/>
        <rFont val="Times New Roman"/>
        <family val="1"/>
        <charset val="204"/>
      </rPr>
      <t>MAURITIUS</t>
    </r>
  </si>
  <si>
    <r>
      <rPr>
        <sz val="11.5"/>
        <rFont val="Times New Roman"/>
        <family val="1"/>
        <charset val="204"/>
      </rPr>
      <t>MEXICO</t>
    </r>
  </si>
  <si>
    <r>
      <rPr>
        <sz val="11.5"/>
        <rFont val="Times New Roman"/>
        <family val="1"/>
        <charset val="204"/>
      </rPr>
      <t>MONACO</t>
    </r>
  </si>
  <si>
    <r>
      <rPr>
        <sz val="11.5"/>
        <rFont val="Times New Roman"/>
        <family val="1"/>
        <charset val="204"/>
      </rPr>
      <t>MOROCCO</t>
    </r>
  </si>
  <si>
    <r>
      <rPr>
        <sz val="11.5"/>
        <rFont val="Times New Roman"/>
        <family val="1"/>
        <charset val="204"/>
      </rPr>
      <t>MOZAMBIQUE</t>
    </r>
  </si>
  <si>
    <r>
      <rPr>
        <sz val="11.5"/>
        <rFont val="Times New Roman"/>
        <family val="1"/>
        <charset val="204"/>
      </rPr>
      <t>NAMIBIA</t>
    </r>
  </si>
  <si>
    <r>
      <rPr>
        <sz val="11.5"/>
        <rFont val="Times New Roman"/>
        <family val="1"/>
        <charset val="204"/>
      </rPr>
      <t>NETHERLANDS</t>
    </r>
  </si>
  <si>
    <r>
      <rPr>
        <sz val="11.5"/>
        <rFont val="Times New Roman"/>
        <family val="1"/>
        <charset val="204"/>
      </rPr>
      <t>NEW ZEALAND</t>
    </r>
  </si>
  <si>
    <r>
      <rPr>
        <sz val="11.5"/>
        <rFont val="Times New Roman"/>
        <family val="1"/>
        <charset val="204"/>
      </rPr>
      <t>NIGERIA</t>
    </r>
  </si>
  <si>
    <r>
      <rPr>
        <sz val="11.5"/>
        <rFont val="Times New Roman"/>
        <family val="1"/>
        <charset val="204"/>
      </rPr>
      <t>NORWAY</t>
    </r>
  </si>
  <si>
    <r>
      <rPr>
        <sz val="11.5"/>
        <rFont val="Times New Roman"/>
        <family val="1"/>
        <charset val="204"/>
      </rPr>
      <t>PAKISTAN</t>
    </r>
  </si>
  <si>
    <r>
      <rPr>
        <sz val="11.5"/>
        <rFont val="Times New Roman"/>
        <family val="1"/>
        <charset val="204"/>
      </rPr>
      <t>PANAMA</t>
    </r>
  </si>
  <si>
    <r>
      <rPr>
        <sz val="11.5"/>
        <rFont val="Times New Roman"/>
        <family val="1"/>
        <charset val="204"/>
      </rPr>
      <t>PARAGUAY</t>
    </r>
  </si>
  <si>
    <r>
      <rPr>
        <sz val="11.5"/>
        <rFont val="Times New Roman"/>
        <family val="1"/>
        <charset val="204"/>
      </rPr>
      <t>PERU</t>
    </r>
  </si>
  <si>
    <r>
      <rPr>
        <sz val="11.5"/>
        <rFont val="Times New Roman"/>
        <family val="1"/>
        <charset val="204"/>
      </rPr>
      <t>PHILIPPINES</t>
    </r>
  </si>
  <si>
    <r>
      <rPr>
        <sz val="11.5"/>
        <rFont val="Times New Roman"/>
        <family val="1"/>
        <charset val="204"/>
      </rPr>
      <t>POLAND</t>
    </r>
  </si>
  <si>
    <r>
      <rPr>
        <sz val="11.5"/>
        <rFont val="Times New Roman"/>
        <family val="1"/>
        <charset val="204"/>
      </rPr>
      <t>PORTUGAL</t>
    </r>
  </si>
  <si>
    <r>
      <rPr>
        <sz val="11.5"/>
        <rFont val="Times New Roman"/>
        <family val="1"/>
        <charset val="204"/>
      </rPr>
      <t>QATAR</t>
    </r>
  </si>
  <si>
    <r>
      <rPr>
        <sz val="11.5"/>
        <rFont val="Times New Roman"/>
        <family val="1"/>
        <charset val="204"/>
      </rPr>
      <t>ROMANIA</t>
    </r>
  </si>
  <si>
    <r>
      <rPr>
        <sz val="11.5"/>
        <rFont val="Times New Roman"/>
        <family val="1"/>
        <charset val="204"/>
      </rPr>
      <t>RUSSIAN FEDERATION</t>
    </r>
  </si>
  <si>
    <r>
      <rPr>
        <sz val="11.5"/>
        <rFont val="Times New Roman"/>
        <family val="1"/>
        <charset val="204"/>
      </rPr>
      <t>RWANDA</t>
    </r>
  </si>
  <si>
    <r>
      <rPr>
        <sz val="11.5"/>
        <rFont val="Times New Roman"/>
        <family val="1"/>
        <charset val="204"/>
      </rPr>
      <t>SAUDI ARABIA</t>
    </r>
  </si>
  <si>
    <r>
      <rPr>
        <sz val="11.5"/>
        <rFont val="Times New Roman"/>
        <family val="1"/>
        <charset val="204"/>
      </rPr>
      <t>SERBIA</t>
    </r>
  </si>
  <si>
    <r>
      <rPr>
        <sz val="11.5"/>
        <rFont val="Times New Roman"/>
        <family val="1"/>
        <charset val="204"/>
      </rPr>
      <t>SINGAPORE</t>
    </r>
  </si>
  <si>
    <r>
      <rPr>
        <sz val="11.5"/>
        <rFont val="Times New Roman"/>
        <family val="1"/>
        <charset val="204"/>
      </rPr>
      <t>SOUTH AFRICA</t>
    </r>
  </si>
  <si>
    <r>
      <rPr>
        <sz val="11.5"/>
        <rFont val="Times New Roman"/>
        <family val="1"/>
        <charset val="204"/>
      </rPr>
      <t>SOUTH KOREA</t>
    </r>
  </si>
  <si>
    <r>
      <rPr>
        <sz val="11.5"/>
        <rFont val="Times New Roman"/>
        <family val="1"/>
        <charset val="204"/>
      </rPr>
      <t>SPAIN</t>
    </r>
  </si>
  <si>
    <r>
      <rPr>
        <sz val="11.5"/>
        <rFont val="Times New Roman"/>
        <family val="1"/>
        <charset val="204"/>
      </rPr>
      <t>SRI LANKA</t>
    </r>
  </si>
  <si>
    <r>
      <rPr>
        <sz val="11.5"/>
        <rFont val="Times New Roman"/>
        <family val="1"/>
        <charset val="204"/>
      </rPr>
      <t>SWEDEN</t>
    </r>
  </si>
  <si>
    <r>
      <rPr>
        <sz val="11.5"/>
        <rFont val="Times New Roman"/>
        <family val="1"/>
        <charset val="204"/>
      </rPr>
      <t>SWITZERLAND</t>
    </r>
  </si>
  <si>
    <r>
      <rPr>
        <sz val="11.5"/>
        <rFont val="Times New Roman"/>
        <family val="1"/>
        <charset val="204"/>
      </rPr>
      <t>TAIWAN</t>
    </r>
  </si>
  <si>
    <r>
      <rPr>
        <sz val="11.5"/>
        <rFont val="Times New Roman"/>
        <family val="1"/>
        <charset val="204"/>
      </rPr>
      <t>TANZANIA</t>
    </r>
  </si>
  <si>
    <r>
      <rPr>
        <sz val="11.5"/>
        <rFont val="Times New Roman"/>
        <family val="1"/>
        <charset val="204"/>
      </rPr>
      <t>THAILAND</t>
    </r>
  </si>
  <si>
    <r>
      <rPr>
        <sz val="11.5"/>
        <rFont val="Times New Roman"/>
        <family val="1"/>
        <charset val="204"/>
      </rPr>
      <t>TURKEY</t>
    </r>
  </si>
  <si>
    <r>
      <rPr>
        <sz val="11.5"/>
        <rFont val="Times New Roman"/>
        <family val="1"/>
        <charset val="204"/>
      </rPr>
      <t>UAE</t>
    </r>
  </si>
  <si>
    <r>
      <rPr>
        <sz val="11.5"/>
        <rFont val="Times New Roman"/>
        <family val="1"/>
        <charset val="204"/>
      </rPr>
      <t>UGANDA</t>
    </r>
  </si>
  <si>
    <r>
      <rPr>
        <sz val="11.5"/>
        <rFont val="Times New Roman"/>
        <family val="1"/>
        <charset val="204"/>
      </rPr>
      <t>UNITED KINGDOM</t>
    </r>
  </si>
  <si>
    <r>
      <rPr>
        <sz val="11.5"/>
        <rFont val="Times New Roman"/>
        <family val="1"/>
        <charset val="204"/>
      </rPr>
      <t>UNITED STATES</t>
    </r>
  </si>
  <si>
    <r>
      <rPr>
        <sz val="11.5"/>
        <rFont val="Times New Roman"/>
        <family val="1"/>
        <charset val="204"/>
      </rPr>
      <t>URUGUAY</t>
    </r>
  </si>
  <si>
    <r>
      <rPr>
        <sz val="11.5"/>
        <rFont val="Times New Roman"/>
        <family val="1"/>
        <charset val="204"/>
      </rPr>
      <t>VENEZUELA</t>
    </r>
  </si>
  <si>
    <r>
      <rPr>
        <sz val="11.5"/>
        <rFont val="Times New Roman"/>
        <family val="1"/>
        <charset val="204"/>
      </rPr>
      <t>VIETNAM</t>
    </r>
  </si>
  <si>
    <r>
      <rPr>
        <sz val="11.5"/>
        <rFont val="Times New Roman"/>
        <family val="1"/>
        <charset val="204"/>
      </rPr>
      <t>ZAMBIA</t>
    </r>
  </si>
  <si>
    <t>Capgemini</t>
  </si>
  <si>
    <t>Knightsfrank</t>
  </si>
  <si>
    <t>Boston Consulting Group</t>
  </si>
  <si>
    <t>Wealth-x</t>
  </si>
  <si>
    <t>Legacy charts</t>
  </si>
  <si>
    <t>PWC</t>
  </si>
  <si>
    <t>Knightfrank data: Country level wealth distribution</t>
  </si>
  <si>
    <t>Americas/EMEA</t>
  </si>
  <si>
    <t>Credit Suisse region</t>
  </si>
  <si>
    <t>MILLIONAIRES ($1m+)</t>
  </si>
  <si>
    <t>MULTI-MILLIONAIRES ($10m+)</t>
  </si>
  <si>
    <t>UHNWIS ($30m+)</t>
  </si>
  <si>
    <t>CENTA-MILLIONAIRES ($100m+)</t>
  </si>
  <si>
    <t>BILLIONAIRES ($1,000m+)</t>
  </si>
  <si>
    <t>UHNWI WEALTH GROWTH %</t>
  </si>
  <si>
    <t>COUNTRY</t>
  </si>
  <si>
    <t>REGION</t>
  </si>
  <si>
    <t>2006-
2016</t>
  </si>
  <si>
    <t>2015-
2016</t>
  </si>
  <si>
    <t>2016-
2026</t>
  </si>
  <si>
    <t>HNWI asset growth estimate 2016-2025 (global)</t>
  </si>
  <si>
    <t>Knightfrank weighted growth 2016-2026</t>
  </si>
  <si>
    <t>Relarive weight in the regions</t>
  </si>
  <si>
    <t>Comment: number of HNWI seems not to be a good proxy for their assets for the purpose of calculating each country's proportion in its region. Thus the data above is not used.</t>
  </si>
  <si>
    <t>2015-2021 growth</t>
  </si>
  <si>
    <t>\</t>
  </si>
  <si>
    <t>Net income attributable to shareholders</t>
  </si>
  <si>
    <t>Minimum CET1 required (by stricter Swiss rules)</t>
  </si>
  <si>
    <t>Common sh' Equity Targeted</t>
  </si>
  <si>
    <t>Paid in</t>
  </si>
  <si>
    <t>Open</t>
  </si>
  <si>
    <t>High</t>
  </si>
  <si>
    <t>Low</t>
  </si>
  <si>
    <t>Close</t>
  </si>
  <si>
    <t>Credit Suisse</t>
  </si>
  <si>
    <t>Returns</t>
  </si>
  <si>
    <t>Returns on close</t>
  </si>
  <si>
    <t>t-stat</t>
  </si>
  <si>
    <t>Net revenue composition by Department</t>
  </si>
  <si>
    <t>Revenue composition by region 2016</t>
  </si>
  <si>
    <t>Proportion</t>
  </si>
  <si>
    <t>r-squared</t>
  </si>
  <si>
    <t>standard error y</t>
  </si>
  <si>
    <t>F-statistic</t>
  </si>
  <si>
    <t>sum of squared residuals</t>
  </si>
  <si>
    <t>Periods discounted</t>
  </si>
  <si>
    <t>Realized return on equity</t>
  </si>
  <si>
    <t>Required return on equity</t>
  </si>
  <si>
    <t>Net income</t>
  </si>
  <si>
    <t>Equity charge</t>
  </si>
  <si>
    <t>Residual income</t>
  </si>
  <si>
    <t>Discounted residual income</t>
  </si>
  <si>
    <t>Sum of discounted RI</t>
  </si>
  <si>
    <t>Required rate of return</t>
  </si>
  <si>
    <t>Explicit forecasts</t>
  </si>
  <si>
    <t>Beyond explicit period</t>
  </si>
  <si>
    <t>Discount period</t>
  </si>
  <si>
    <t>Average estimated equity risk premium</t>
  </si>
  <si>
    <t>Annual return on equity</t>
  </si>
  <si>
    <t>Risk free rate on 10y bonds</t>
  </si>
  <si>
    <t>Required return</t>
  </si>
  <si>
    <t>Residual income as %</t>
  </si>
  <si>
    <t>Residual income growth</t>
  </si>
  <si>
    <t>Residual income model</t>
  </si>
  <si>
    <t>Number of stocks</t>
  </si>
  <si>
    <t>Discounted RI per share</t>
  </si>
  <si>
    <t>Book value</t>
  </si>
  <si>
    <t>Intrinsic value (Book + discounted RI per share)</t>
  </si>
  <si>
    <t>Market value</t>
  </si>
  <si>
    <t>Upside to market potential</t>
  </si>
  <si>
    <t>Average of sensitivity analyses</t>
  </si>
  <si>
    <t>DDM</t>
  </si>
  <si>
    <t>2017-1Q</t>
  </si>
  <si>
    <t>2017-2Q</t>
  </si>
  <si>
    <t>2017-3Q</t>
  </si>
  <si>
    <t>2017-4Qe</t>
  </si>
  <si>
    <t>2018-1Qe</t>
  </si>
  <si>
    <t>2018-2Qe</t>
  </si>
  <si>
    <t>2018-3Qe</t>
  </si>
  <si>
    <t>2018-4Qe</t>
  </si>
  <si>
    <t>2019-1Qe</t>
  </si>
  <si>
    <t>2019-2Qe</t>
  </si>
  <si>
    <t>2019-3Qe</t>
  </si>
  <si>
    <t>2019-4Qe</t>
  </si>
  <si>
    <t>2020-1Qe</t>
  </si>
  <si>
    <t>2020-2Qe</t>
  </si>
  <si>
    <t>2020-3Qe</t>
  </si>
  <si>
    <t>2020-4Qe</t>
  </si>
  <si>
    <t>2021-1Qe</t>
  </si>
  <si>
    <t>2021-2Qe</t>
  </si>
  <si>
    <t>2021-3Qe</t>
  </si>
  <si>
    <t>2021-4Qe</t>
  </si>
  <si>
    <t>Year</t>
  </si>
  <si>
    <t>Growth of return on equity</t>
  </si>
  <si>
    <t>Credit Suisse return on equity</t>
  </si>
  <si>
    <t>2017e</t>
  </si>
  <si>
    <t>2018e</t>
  </si>
  <si>
    <t>2019e</t>
  </si>
  <si>
    <t>2020e</t>
  </si>
  <si>
    <t>2021e</t>
  </si>
  <si>
    <t>Median</t>
  </si>
  <si>
    <t>Pre-crisis</t>
  </si>
  <si>
    <t>Without crisis outlier</t>
  </si>
  <si>
    <t>Long term risk premium S&amp;P</t>
  </si>
  <si>
    <t>S&amp;P 500 23-year risk premium</t>
  </si>
  <si>
    <t>S&amp;P 500 risk premium</t>
  </si>
  <si>
    <t>Cost of equity based on CAPM</t>
  </si>
  <si>
    <t>Beta estimate</t>
  </si>
  <si>
    <t>EPS</t>
  </si>
  <si>
    <t>For the year</t>
  </si>
  <si>
    <t>2H32</t>
  </si>
  <si>
    <t>2H33</t>
  </si>
  <si>
    <t>2H34</t>
  </si>
  <si>
    <t>2H35</t>
  </si>
  <si>
    <t>Subordinated debt as % of invested capital</t>
  </si>
  <si>
    <t>2021E</t>
  </si>
  <si>
    <t>Empirically, companies lacking growth, have at least 7-8 P/E. Only 0.5% of S&amp;P500 companies exhibit P/E of less than 8.</t>
  </si>
  <si>
    <t>If the stability of the business is guaranteed, the minimum price-to-earnings ratio increases, depending on financial stability, by 0.5 to 2 points.</t>
  </si>
  <si>
    <t>There a small amount of bargnaining power by suppliers of capital, however, relatively little, due to the maturity and saturation of the indsutry.</t>
  </si>
  <si>
    <t>Similar reasons to the bargaining power of supplier, leads to low bargaining power of customers. However, customer might move to competitors.</t>
  </si>
  <si>
    <t>Calculates as 8+1.5+2*1+0+3=14.5; where market position and profitability are multiplied on purpose as per the methodology.</t>
  </si>
  <si>
    <t>Unlevered return on equity.</t>
  </si>
  <si>
    <t>Cost of equity implied by Fair PE model</t>
  </si>
  <si>
    <t>Cost of equity implied by fair P/E</t>
  </si>
  <si>
    <t>P/B</t>
  </si>
  <si>
    <t>End 2018</t>
  </si>
  <si>
    <t>Citigroup</t>
  </si>
  <si>
    <t>Morgan Stanley</t>
  </si>
  <si>
    <t>UBS</t>
  </si>
  <si>
    <t>Bank of America</t>
  </si>
  <si>
    <t>Reuters</t>
  </si>
  <si>
    <t>Bloomberg</t>
  </si>
  <si>
    <t>EPS 2018</t>
  </si>
  <si>
    <t>USD</t>
  </si>
  <si>
    <t>GBp</t>
  </si>
  <si>
    <t>Income/(loss) from continuing operations</t>
  </si>
  <si>
    <t>Income/(loss) from continuing operations before taxes</t>
  </si>
  <si>
    <t>CAGR 2016-2026 UHNW</t>
  </si>
  <si>
    <t>CSGN regions</t>
  </si>
  <si>
    <t>Our growth estimates</t>
  </si>
  <si>
    <t>Fair P/E valuation</t>
  </si>
  <si>
    <t>Experimental valuation</t>
  </si>
  <si>
    <t>Currency</t>
  </si>
  <si>
    <t>Terminal growth rate</t>
  </si>
  <si>
    <t>DDM cost of equity</t>
  </si>
  <si>
    <t>DDM long term growth</t>
  </si>
  <si>
    <t>RIV cost of equity</t>
  </si>
  <si>
    <t>Estimate scenarios</t>
  </si>
  <si>
    <t>Optimistic</t>
  </si>
  <si>
    <t>Growth rates</t>
  </si>
  <si>
    <t>Cost/Income ratios</t>
  </si>
  <si>
    <t>-5%</t>
  </si>
  <si>
    <t>+5%</t>
  </si>
  <si>
    <t>+1%</t>
  </si>
  <si>
    <t>-1%</t>
  </si>
  <si>
    <t>RIV</t>
  </si>
  <si>
    <t>Valuation sensitivity</t>
  </si>
  <si>
    <t>What-if data table</t>
  </si>
  <si>
    <t>Dividend of this size are easily payable given the forecasted and current CET1 ratio.</t>
  </si>
  <si>
    <t>standard error intercept</t>
  </si>
  <si>
    <t>standard error slope</t>
  </si>
  <si>
    <t>slope coefficient (beta)</t>
  </si>
  <si>
    <t>intercept (alpha)</t>
  </si>
  <si>
    <t>Based on previous 5 years</t>
  </si>
  <si>
    <t>degrees of freedom</t>
  </si>
  <si>
    <t>regression sum of squares</t>
  </si>
  <si>
    <t>Significant changes/proportions</t>
  </si>
  <si>
    <t>Revenue, CHFm</t>
  </si>
  <si>
    <t>2017-2021 annual growth forecast</t>
  </si>
  <si>
    <t>Median Payout Ratio</t>
  </si>
  <si>
    <t>DPS (RHS axis)</t>
  </si>
  <si>
    <t>Profit &amp; Loss (CHFm)</t>
  </si>
  <si>
    <t>Balance Sheet (CHFm)</t>
  </si>
  <si>
    <t>Capital ratios (% of RWA)</t>
  </si>
  <si>
    <t>Assets managed across businesses</t>
  </si>
  <si>
    <t>Sum of AUM from divisions (except SRU)</t>
  </si>
  <si>
    <t>Total AUM</t>
  </si>
  <si>
    <t>Assets under management</t>
  </si>
  <si>
    <t>AUM</t>
  </si>
  <si>
    <t>Return on Assets</t>
  </si>
  <si>
    <t>Return on Tangible Equity</t>
  </si>
  <si>
    <t>Return ratios</t>
  </si>
  <si>
    <t>Prof. Damodaran estimated risk premiums</t>
  </si>
  <si>
    <t>Predicted value</t>
  </si>
  <si>
    <t>Year-end</t>
  </si>
  <si>
    <t>Pessimistic</t>
  </si>
  <si>
    <t>Shareholders' equity</t>
  </si>
  <si>
    <t>Equity Charge</t>
  </si>
  <si>
    <t>Cross-business AUM as % of Total divisions' AUM</t>
  </si>
  <si>
    <t>S&amp;P500</t>
  </si>
  <si>
    <t>Private financial wealth 2016-2021, USD trn</t>
  </si>
  <si>
    <t>*Following results do not include the adjustment, as it is purely accounting based. It should be exactly offset by higher future tax savings.</t>
  </si>
  <si>
    <t>Net income/(loss) incl. tax adj.</t>
  </si>
  <si>
    <t>Net income margins by country</t>
  </si>
  <si>
    <t>Net income/(loss) incl. tax adj.**</t>
  </si>
  <si>
    <t>CET1 Capital targeted</t>
  </si>
  <si>
    <t>Adjustment on deferred tax assets*</t>
  </si>
  <si>
    <t>One-off deferred tax assets adjustment</t>
  </si>
  <si>
    <t>Net income growth</t>
  </si>
  <si>
    <t>Total dividends paid</t>
  </si>
  <si>
    <t>Dividend growth rate</t>
  </si>
  <si>
    <t>Ending sh's equity</t>
  </si>
  <si>
    <t>Beginning shareholder's equity</t>
  </si>
  <si>
    <t>Discount periods*</t>
  </si>
  <si>
    <t>*Dividends are paid in 2Q of subsequent year.</t>
  </si>
  <si>
    <t>Number of Stocks Outstanding</t>
  </si>
  <si>
    <t>Market price</t>
  </si>
  <si>
    <t>Implied upside</t>
  </si>
  <si>
    <t>Additional Core Data</t>
  </si>
  <si>
    <t>Links</t>
  </si>
  <si>
    <t>Reuter</t>
  </si>
  <si>
    <t>https://www.bloomberg.com/quote/CSGN:SW</t>
  </si>
  <si>
    <t>Bloomberg FY 2017</t>
  </si>
  <si>
    <t>P/E</t>
  </si>
  <si>
    <t>https://www.bloomberg.com/quote/BAC:US</t>
  </si>
  <si>
    <t>https://www.bloomberg.com/quote/BARC:LN</t>
  </si>
  <si>
    <t>https://www.bloomberg.com/quote/C:US</t>
  </si>
  <si>
    <t>https://www.bloomberg.com/quote/MS:US</t>
  </si>
  <si>
    <t>https://www.bloomberg.com/quote/UBS:US</t>
  </si>
  <si>
    <t>https://www.reuters.com/finance/stocks/financial-highlights/CSGN.S</t>
  </si>
  <si>
    <t>https://www.reuters.com/finance/stocks/financial-highlights/C.N</t>
  </si>
  <si>
    <t>https://www.reuters.com/finance/stocks/financial-highlights/BAC.N</t>
  </si>
  <si>
    <t>https://www.reuters.com/finance/stocks/financial-highlights/MS.N</t>
  </si>
  <si>
    <t>https://www.reuters.com/finance/stocks/financial-highlights/UBS</t>
  </si>
  <si>
    <t>https://www.reuters.com/finance/stocks/financial-highlights/BARC.L</t>
  </si>
  <si>
    <t>Barclays (GBp)</t>
  </si>
  <si>
    <t>TTM</t>
  </si>
  <si>
    <t>Forward</t>
  </si>
  <si>
    <t>Most recent</t>
  </si>
  <si>
    <t>Source: author (first row), Bloomberg, Reuters (remaining rows).</t>
  </si>
  <si>
    <t>Price</t>
  </si>
  <si>
    <t>Tangible P/B</t>
  </si>
  <si>
    <t>**Estimated Net Income with the tax adjustment. Corporate tax for the quarter is assumed to be zero.</t>
  </si>
</sst>
</file>

<file path=xl/styles.xml><?xml version="1.0" encoding="utf-8"?>
<styleSheet xmlns="http://schemas.openxmlformats.org/spreadsheetml/2006/main" xmlns:mc="http://schemas.openxmlformats.org/markup-compatibility/2006" xmlns:x14ac="http://schemas.microsoft.com/office/spreadsheetml/2009/9/ac" mc:Ignorable="x14ac">
  <numFmts count="22">
    <numFmt numFmtId="164" formatCode="_-* #,##0.00_-;\-* #,##0.00_-;_-* &quot;-&quot;??_-;_-@_-"/>
    <numFmt numFmtId="165" formatCode="dd/mm/yyyy"/>
    <numFmt numFmtId="166" formatCode="0.0%"/>
    <numFmt numFmtId="167" formatCode="#,##0;\(#,##0\);0"/>
    <numFmt numFmtId="168" formatCode="#,##0;\(#,##0\);\–"/>
    <numFmt numFmtId="169" formatCode="#,##0.0;\(#,##0.0\);0.0"/>
    <numFmt numFmtId="170" formatCode="#,##0.0_);\(#,##0.0\);\–"/>
    <numFmt numFmtId="171" formatCode="#,##0.0;\(#,##0.0\);\–"/>
    <numFmt numFmtId="172" formatCode="#,##0,,;\(#,##0,,\)"/>
    <numFmt numFmtId="173" formatCode="#,##0_);\(#,##0\);@_)"/>
    <numFmt numFmtId="174" formatCode="#,##0;\(#,##0\)"/>
    <numFmt numFmtId="175" formatCode="0.0"/>
    <numFmt numFmtId="176" formatCode="0.000"/>
    <numFmt numFmtId="177" formatCode="0.000%"/>
    <numFmt numFmtId="178" formatCode="#,##0.00;\(#,##0.00\);0.00"/>
    <numFmt numFmtId="179" formatCode="#,##0.00_);\(#,##0.00\);@_)"/>
    <numFmt numFmtId="180" formatCode="0.00000%"/>
    <numFmt numFmtId="181" formatCode="_(&quot;$&quot;* #,##0.00_);_(&quot;$&quot;* \(#,##0.00\);_(&quot;$&quot;* &quot;-&quot;??_);_(@_)"/>
    <numFmt numFmtId="182" formatCode="_(* #,##0_);_(* \(#,##0\);_(* &quot;-&quot;_);_(@_)"/>
    <numFmt numFmtId="183" formatCode="_(* #,##0.00_);_(* \(#,##0.00\);_(* &quot;-&quot;_);_(@_)"/>
    <numFmt numFmtId="184" formatCode="#,##0.0"/>
    <numFmt numFmtId="185" formatCode="#,##0.000;\(#,##0.000\);\–"/>
  </numFmts>
  <fonts count="69">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b/>
      <sz val="12"/>
      <color theme="1"/>
      <name val="Calibri"/>
      <family val="2"/>
      <scheme val="minor"/>
    </font>
    <font>
      <sz val="10"/>
      <name val="Arial"/>
      <family val="2"/>
    </font>
    <font>
      <i/>
      <sz val="12"/>
      <color theme="0" tint="-0.34998626667073579"/>
      <name val="Calibri"/>
      <family val="2"/>
      <charset val="204"/>
      <scheme val="minor"/>
    </font>
    <font>
      <i/>
      <sz val="12"/>
      <color theme="0" tint="-0.499984740745262"/>
      <name val="Calibri"/>
      <family val="2"/>
      <charset val="204"/>
      <scheme val="minor"/>
    </font>
    <font>
      <b/>
      <i/>
      <sz val="12"/>
      <color theme="0" tint="-0.499984740745262"/>
      <name val="Calibri"/>
      <family val="2"/>
      <charset val="204"/>
      <scheme val="minor"/>
    </font>
    <font>
      <sz val="12"/>
      <color rgb="FF0432FF"/>
      <name val="Calibri"/>
      <family val="2"/>
      <scheme val="minor"/>
    </font>
    <font>
      <b/>
      <sz val="12"/>
      <color rgb="FF0432FF"/>
      <name val="Calibri"/>
      <family val="2"/>
      <scheme val="minor"/>
    </font>
    <font>
      <i/>
      <sz val="12"/>
      <color rgb="FF0432FF"/>
      <name val="Calibri"/>
      <family val="2"/>
      <scheme val="minor"/>
    </font>
    <font>
      <sz val="12"/>
      <name val="Calibri"/>
      <family val="2"/>
      <scheme val="minor"/>
    </font>
    <font>
      <b/>
      <sz val="10"/>
      <color rgb="FF931015"/>
      <name val="Arial"/>
      <family val="2"/>
    </font>
    <font>
      <b/>
      <sz val="10"/>
      <name val="Arial"/>
      <family val="2"/>
    </font>
    <font>
      <sz val="10"/>
      <color indexed="18"/>
      <name val="Arial"/>
      <family val="2"/>
    </font>
    <font>
      <sz val="10"/>
      <color indexed="8"/>
      <name val="Arial"/>
      <family val="2"/>
    </font>
    <font>
      <i/>
      <sz val="12"/>
      <color theme="1"/>
      <name val="Calibri"/>
      <family val="2"/>
      <charset val="204"/>
      <scheme val="minor"/>
    </font>
    <font>
      <b/>
      <sz val="16"/>
      <color theme="1"/>
      <name val="Calibri"/>
      <family val="2"/>
      <scheme val="minor"/>
    </font>
    <font>
      <b/>
      <sz val="18"/>
      <color theme="1"/>
      <name val="Calibri"/>
      <family val="2"/>
      <scheme val="minor"/>
    </font>
    <font>
      <b/>
      <sz val="16"/>
      <color rgb="FF0432FF"/>
      <name val="Calibri"/>
      <family val="2"/>
      <scheme val="minor"/>
    </font>
    <font>
      <b/>
      <sz val="18"/>
      <color rgb="FF0432FF"/>
      <name val="Calibri"/>
      <family val="2"/>
      <scheme val="minor"/>
    </font>
    <font>
      <b/>
      <sz val="20"/>
      <color theme="1"/>
      <name val="Calibri"/>
      <family val="2"/>
      <scheme val="minor"/>
    </font>
    <font>
      <b/>
      <sz val="20"/>
      <color rgb="FF0432FF"/>
      <name val="Calibri"/>
      <family val="2"/>
      <scheme val="minor"/>
    </font>
    <font>
      <sz val="10"/>
      <color indexed="81"/>
      <name val="Calibri"/>
      <family val="2"/>
      <charset val="204"/>
    </font>
    <font>
      <b/>
      <sz val="10"/>
      <color indexed="81"/>
      <name val="Calibri"/>
      <family val="2"/>
      <charset val="204"/>
    </font>
    <font>
      <i/>
      <sz val="12"/>
      <color rgb="FFA0A0E9"/>
      <name val="Calibri"/>
      <family val="2"/>
      <charset val="204"/>
      <scheme val="minor"/>
    </font>
    <font>
      <sz val="9"/>
      <color theme="1"/>
      <name val="CreditSuisseType"/>
    </font>
    <font>
      <i/>
      <sz val="10"/>
      <name val="Arial"/>
      <family val="2"/>
      <charset val="204"/>
    </font>
    <font>
      <sz val="10"/>
      <color rgb="FF0432FF"/>
      <name val="Arial"/>
      <family val="2"/>
    </font>
    <font>
      <b/>
      <sz val="10"/>
      <color rgb="FF0432FF"/>
      <name val="Arial"/>
      <family val="2"/>
    </font>
    <font>
      <b/>
      <sz val="16"/>
      <name val="Arial"/>
      <family val="2"/>
    </font>
    <font>
      <b/>
      <sz val="16"/>
      <name val="Calibri"/>
      <family val="2"/>
      <scheme val="minor"/>
    </font>
    <font>
      <i/>
      <sz val="12"/>
      <name val="Calibri"/>
      <family val="2"/>
      <scheme val="minor"/>
    </font>
    <font>
      <b/>
      <i/>
      <sz val="10"/>
      <name val="Arial"/>
      <family val="2"/>
    </font>
    <font>
      <b/>
      <i/>
      <sz val="12"/>
      <color theme="1"/>
      <name val="Calibri"/>
      <family val="2"/>
      <charset val="204"/>
      <scheme val="minor"/>
    </font>
    <font>
      <b/>
      <i/>
      <sz val="12"/>
      <color rgb="FF0432FF"/>
      <name val="Calibri"/>
      <family val="2"/>
      <scheme val="minor"/>
    </font>
    <font>
      <b/>
      <sz val="22"/>
      <color theme="0"/>
      <name val="Calibri"/>
      <family val="2"/>
      <scheme val="minor"/>
    </font>
    <font>
      <sz val="10"/>
      <name val="Geneva"/>
    </font>
    <font>
      <u/>
      <sz val="12"/>
      <color theme="10"/>
      <name val="Calibri"/>
      <family val="2"/>
      <scheme val="minor"/>
    </font>
    <font>
      <u/>
      <sz val="12"/>
      <color theme="11"/>
      <name val="Calibri"/>
      <family val="2"/>
      <scheme val="minor"/>
    </font>
    <font>
      <sz val="12"/>
      <color rgb="FF000000"/>
      <name val="Calibri"/>
      <family val="2"/>
      <charset val="204"/>
    </font>
    <font>
      <sz val="11"/>
      <color theme="1"/>
      <name val="Calibri"/>
      <family val="2"/>
      <scheme val="minor"/>
    </font>
    <font>
      <b/>
      <sz val="12"/>
      <name val="Calibri"/>
      <family val="2"/>
      <charset val="204"/>
      <scheme val="minor"/>
    </font>
    <font>
      <sz val="12"/>
      <color theme="0" tint="-0.499984740745262"/>
      <name val="Calibri"/>
      <family val="2"/>
      <scheme val="minor"/>
    </font>
    <font>
      <sz val="13"/>
      <color rgb="FF000000"/>
      <name val="Lucida Grande"/>
    </font>
    <font>
      <sz val="8"/>
      <name val="Calibri"/>
      <family val="2"/>
      <scheme val="minor"/>
    </font>
    <font>
      <sz val="14"/>
      <color theme="1"/>
      <name val="Calibri"/>
      <family val="2"/>
      <scheme val="minor"/>
    </font>
    <font>
      <sz val="14"/>
      <color rgb="FF0432FF"/>
      <name val="Calibri"/>
      <family val="2"/>
      <scheme val="minor"/>
    </font>
    <font>
      <b/>
      <sz val="14"/>
      <color theme="1"/>
      <name val="Calibri"/>
      <family val="2"/>
      <scheme val="minor"/>
    </font>
    <font>
      <sz val="14"/>
      <name val="Calibri"/>
      <family val="2"/>
      <scheme val="minor"/>
    </font>
    <font>
      <b/>
      <sz val="12"/>
      <name val="Calibri"/>
      <family val="2"/>
      <scheme val="minor"/>
    </font>
    <font>
      <b/>
      <sz val="20"/>
      <name val="Calibri"/>
      <family val="2"/>
      <scheme val="minor"/>
    </font>
    <font>
      <sz val="10"/>
      <name val="Arial"/>
      <family val="2"/>
      <charset val="204"/>
    </font>
    <font>
      <sz val="9"/>
      <color indexed="81"/>
      <name val="Tahoma"/>
      <family val="2"/>
      <charset val="204"/>
    </font>
    <font>
      <b/>
      <sz val="9"/>
      <color indexed="81"/>
      <name val="Tahoma"/>
      <family val="2"/>
      <charset val="204"/>
    </font>
    <font>
      <sz val="11.5"/>
      <name val="Times New Roman"/>
      <family val="1"/>
      <charset val="204"/>
    </font>
    <font>
      <b/>
      <sz val="11.5"/>
      <name val="Times New Roman"/>
      <family val="1"/>
      <charset val="204"/>
    </font>
    <font>
      <b/>
      <sz val="12"/>
      <color theme="1"/>
      <name val="Calibri"/>
      <family val="2"/>
      <charset val="204"/>
      <scheme val="minor"/>
    </font>
    <font>
      <b/>
      <sz val="12"/>
      <color rgb="FF000000"/>
      <name val="Calibri"/>
      <family val="2"/>
      <scheme val="minor"/>
    </font>
    <font>
      <sz val="12"/>
      <color theme="0" tint="-0.249977111117893"/>
      <name val="Calibri"/>
      <family val="2"/>
      <scheme val="minor"/>
    </font>
    <font>
      <b/>
      <sz val="16"/>
      <color theme="0" tint="-0.249977111117893"/>
      <name val="Calibri"/>
      <family val="2"/>
      <scheme val="minor"/>
    </font>
    <font>
      <b/>
      <sz val="12"/>
      <color theme="0" tint="-0.249977111117893"/>
      <name val="Calibri"/>
      <family val="2"/>
      <scheme val="minor"/>
    </font>
    <font>
      <sz val="12"/>
      <name val="Calibri"/>
      <family val="2"/>
      <charset val="204"/>
      <scheme val="minor"/>
    </font>
    <font>
      <i/>
      <sz val="12"/>
      <name val="Calibri"/>
      <family val="2"/>
      <charset val="204"/>
      <scheme val="minor"/>
    </font>
    <font>
      <b/>
      <sz val="12"/>
      <color rgb="FF0432FF"/>
      <name val="Calibri"/>
      <family val="2"/>
      <charset val="204"/>
      <scheme val="minor"/>
    </font>
    <font>
      <sz val="12"/>
      <color rgb="FF0432FF"/>
      <name val="Calibri"/>
      <family val="2"/>
      <charset val="204"/>
      <scheme val="minor"/>
    </font>
    <font>
      <sz val="12"/>
      <color theme="1"/>
      <name val="Calibri"/>
      <family val="2"/>
      <charset val="204"/>
      <scheme val="minor"/>
    </font>
  </fonts>
  <fills count="38">
    <fill>
      <patternFill patternType="none"/>
    </fill>
    <fill>
      <patternFill patternType="gray125"/>
    </fill>
    <fill>
      <patternFill patternType="solid">
        <fgColor rgb="FFFFFF00"/>
        <bgColor indexed="64"/>
      </patternFill>
    </fill>
    <fill>
      <patternFill patternType="solid">
        <fgColor theme="7"/>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theme="9"/>
        <bgColor indexed="64"/>
      </patternFill>
    </fill>
    <fill>
      <patternFill patternType="solid">
        <fgColor theme="0"/>
        <bgColor indexed="64"/>
      </patternFill>
    </fill>
    <fill>
      <patternFill patternType="solid">
        <fgColor theme="4" tint="0.59999389629810485"/>
        <bgColor indexed="64"/>
      </patternFill>
    </fill>
    <fill>
      <patternFill patternType="lightGray">
        <bgColor theme="4" tint="0.59999389629810485"/>
      </patternFill>
    </fill>
    <fill>
      <patternFill patternType="solid">
        <fgColor theme="4" tint="-0.249977111117893"/>
        <bgColor indexed="64"/>
      </patternFill>
    </fill>
    <fill>
      <patternFill patternType="solid">
        <fgColor theme="5" tint="0.59999389629810485"/>
        <bgColor indexed="64"/>
      </patternFill>
    </fill>
    <fill>
      <patternFill patternType="lightGray">
        <bgColor theme="5" tint="0.59999389629810485"/>
      </patternFill>
    </fill>
    <fill>
      <patternFill patternType="solid">
        <fgColor theme="5" tint="-0.249977111117893"/>
        <bgColor indexed="64"/>
      </patternFill>
    </fill>
    <fill>
      <patternFill patternType="solid">
        <fgColor theme="9" tint="0.59999389629810485"/>
        <bgColor indexed="64"/>
      </patternFill>
    </fill>
    <fill>
      <patternFill patternType="lightGray">
        <bgColor theme="9" tint="0.59999389629810485"/>
      </patternFill>
    </fill>
    <fill>
      <patternFill patternType="solid">
        <fgColor theme="9" tint="-0.249977111117893"/>
        <bgColor indexed="64"/>
      </patternFill>
    </fill>
    <fill>
      <patternFill patternType="solid">
        <fgColor theme="7" tint="0.59999389629810485"/>
        <bgColor indexed="64"/>
      </patternFill>
    </fill>
    <fill>
      <patternFill patternType="lightGray">
        <bgColor theme="7" tint="0.59999389629810485"/>
      </patternFill>
    </fill>
    <fill>
      <patternFill patternType="solid">
        <fgColor theme="7" tint="-0.249977111117893"/>
        <bgColor indexed="64"/>
      </patternFill>
    </fill>
    <fill>
      <patternFill patternType="solid">
        <fgColor theme="2" tint="-0.499984740745262"/>
        <bgColor indexed="64"/>
      </patternFill>
    </fill>
    <fill>
      <patternFill patternType="solid">
        <fgColor theme="2" tint="-9.9978637043366805E-2"/>
        <bgColor indexed="64"/>
      </patternFill>
    </fill>
    <fill>
      <patternFill patternType="lightGray">
        <bgColor theme="2" tint="-9.9978637043366805E-2"/>
      </patternFill>
    </fill>
    <fill>
      <patternFill patternType="solid">
        <fgColor theme="3" tint="0.59999389629810485"/>
        <bgColor indexed="64"/>
      </patternFill>
    </fill>
    <fill>
      <patternFill patternType="lightGray">
        <bgColor theme="3" tint="0.59999389629810485"/>
      </patternFill>
    </fill>
    <fill>
      <patternFill patternType="solid">
        <fgColor theme="3" tint="0.39997558519241921"/>
        <bgColor indexed="64"/>
      </patternFill>
    </fill>
    <fill>
      <patternFill patternType="solid">
        <fgColor rgb="FFECACB4"/>
        <bgColor indexed="64"/>
      </patternFill>
    </fill>
    <fill>
      <patternFill patternType="lightGray">
        <bgColor rgb="FFECACB4"/>
      </patternFill>
    </fill>
    <fill>
      <patternFill patternType="solid">
        <fgColor rgb="FFE77E88"/>
        <bgColor indexed="64"/>
      </patternFill>
    </fill>
    <fill>
      <patternFill patternType="solid">
        <fgColor rgb="FF0432FF"/>
        <bgColor indexed="64"/>
      </patternFill>
    </fill>
    <fill>
      <patternFill patternType="solid">
        <fgColor rgb="FFFFFFFF"/>
        <bgColor indexed="64"/>
      </patternFill>
    </fill>
    <fill>
      <patternFill patternType="solid">
        <fgColor theme="2"/>
        <bgColor indexed="64"/>
      </patternFill>
    </fill>
    <fill>
      <patternFill patternType="solid">
        <fgColor theme="4" tint="0.39997558519241921"/>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0.34998626667073579"/>
        <bgColor indexed="64"/>
      </patternFill>
    </fill>
  </fills>
  <borders count="60">
    <border>
      <left/>
      <right/>
      <top/>
      <bottom/>
      <diagonal/>
    </border>
    <border>
      <left/>
      <right/>
      <top style="thin">
        <color auto="1"/>
      </top>
      <bottom style="thin">
        <color auto="1"/>
      </bottom>
      <diagonal/>
    </border>
    <border>
      <left/>
      <right/>
      <top style="thin">
        <color auto="1"/>
      </top>
      <bottom/>
      <diagonal/>
    </border>
    <border>
      <left/>
      <right/>
      <top/>
      <bottom style="thin">
        <color auto="1"/>
      </bottom>
      <diagonal/>
    </border>
    <border>
      <left/>
      <right/>
      <top style="thin">
        <color auto="1"/>
      </top>
      <bottom style="medium">
        <color auto="1"/>
      </bottom>
      <diagonal/>
    </border>
    <border>
      <left/>
      <right/>
      <top style="thin">
        <color indexed="55"/>
      </top>
      <bottom style="dotted">
        <color indexed="55"/>
      </bottom>
      <diagonal/>
    </border>
    <border>
      <left/>
      <right/>
      <top style="dotted">
        <color indexed="55"/>
      </top>
      <bottom style="dotted">
        <color indexed="55"/>
      </bottom>
      <diagonal/>
    </border>
    <border>
      <left/>
      <right/>
      <top/>
      <bottom style="thin">
        <color indexed="55"/>
      </bottom>
      <diagonal/>
    </border>
    <border>
      <left/>
      <right/>
      <top style="thin">
        <color indexed="55"/>
      </top>
      <bottom style="medium">
        <color indexed="55"/>
      </bottom>
      <diagonal/>
    </border>
    <border>
      <left/>
      <right/>
      <top style="thin">
        <color indexed="55"/>
      </top>
      <bottom style="thin">
        <color indexed="55"/>
      </bottom>
      <diagonal/>
    </border>
    <border>
      <left/>
      <right/>
      <top style="thin">
        <color indexed="55"/>
      </top>
      <bottom/>
      <diagonal/>
    </border>
    <border>
      <left/>
      <right/>
      <top/>
      <bottom style="dotted">
        <color indexed="55"/>
      </bottom>
      <diagonal/>
    </border>
    <border>
      <left/>
      <right/>
      <top/>
      <bottom style="medium">
        <color indexed="55"/>
      </bottom>
      <diagonal/>
    </border>
    <border>
      <left/>
      <right/>
      <top style="medium">
        <color indexed="55"/>
      </top>
      <bottom style="thin">
        <color indexed="55"/>
      </bottom>
      <diagonal/>
    </border>
    <border>
      <left/>
      <right/>
      <top/>
      <bottom style="thin">
        <color theme="0" tint="-0.34998626667073579"/>
      </bottom>
      <diagonal/>
    </border>
    <border>
      <left/>
      <right/>
      <top style="thin">
        <color indexed="55"/>
      </top>
      <bottom style="medium">
        <color theme="0" tint="-0.34998626667073579"/>
      </bottom>
      <diagonal/>
    </border>
    <border>
      <left/>
      <right/>
      <top/>
      <bottom style="medium">
        <color theme="0" tint="-0.34998626667073579"/>
      </bottom>
      <diagonal/>
    </border>
    <border>
      <left/>
      <right/>
      <top style="medium">
        <color indexed="55"/>
      </top>
      <bottom style="medium">
        <color indexed="55"/>
      </bottom>
      <diagonal/>
    </border>
    <border>
      <left/>
      <right/>
      <top style="dotted">
        <color indexed="55"/>
      </top>
      <bottom style="thin">
        <color indexed="55"/>
      </bottom>
      <diagonal/>
    </border>
    <border>
      <left/>
      <right/>
      <top style="dotted">
        <color indexed="55"/>
      </top>
      <bottom/>
      <diagonal/>
    </border>
    <border>
      <left/>
      <right/>
      <top/>
      <bottom style="medium">
        <color auto="1"/>
      </bottom>
      <diagonal/>
    </border>
    <border>
      <left/>
      <right/>
      <top style="thin">
        <color indexed="55"/>
      </top>
      <bottom style="thin">
        <color auto="1"/>
      </bottom>
      <diagonal/>
    </border>
    <border>
      <left/>
      <right/>
      <top style="thin">
        <color indexed="55"/>
      </top>
      <bottom style="medium">
        <color auto="1"/>
      </bottom>
      <diagonal/>
    </border>
    <border>
      <left/>
      <right/>
      <top style="medium">
        <color auto="1"/>
      </top>
      <bottom/>
      <diagonal/>
    </border>
    <border>
      <left/>
      <right/>
      <top style="thin">
        <color auto="1"/>
      </top>
      <bottom style="double">
        <color auto="1"/>
      </bottom>
      <diagonal/>
    </border>
    <border>
      <left/>
      <right/>
      <top style="medium">
        <color auto="1"/>
      </top>
      <bottom style="medium">
        <color auto="1"/>
      </bottom>
      <diagonal/>
    </border>
    <border>
      <left style="thin">
        <color auto="1"/>
      </left>
      <right/>
      <top style="thin">
        <color auto="1"/>
      </top>
      <bottom style="thin">
        <color auto="1"/>
      </bottom>
      <diagonal/>
    </border>
    <border>
      <left style="thin">
        <color auto="1"/>
      </left>
      <right/>
      <top/>
      <bottom/>
      <diagonal/>
    </border>
    <border>
      <left style="thin">
        <color auto="1"/>
      </left>
      <right/>
      <top/>
      <bottom style="thin">
        <color auto="1"/>
      </bottom>
      <diagonal/>
    </border>
    <border>
      <left style="medium">
        <color auto="1"/>
      </left>
      <right style="medium">
        <color auto="1"/>
      </right>
      <top style="medium">
        <color auto="1"/>
      </top>
      <bottom style="medium">
        <color auto="1"/>
      </bottom>
      <diagonal/>
    </border>
    <border>
      <left style="thin">
        <color auto="1"/>
      </left>
      <right/>
      <top style="thin">
        <color auto="1"/>
      </top>
      <bottom/>
      <diagonal/>
    </border>
    <border>
      <left style="thin">
        <color auto="1"/>
      </left>
      <right style="thin">
        <color auto="1"/>
      </right>
      <top/>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right/>
      <top style="dashed">
        <color auto="1"/>
      </top>
      <bottom style="dashed">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right/>
      <top style="thin">
        <color indexed="64"/>
      </top>
      <bottom style="medium">
        <color indexed="64"/>
      </bottom>
      <diagonal/>
    </border>
    <border>
      <left/>
      <right/>
      <top style="thin">
        <color indexed="64"/>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indexed="64"/>
      </top>
      <bottom/>
      <diagonal/>
    </border>
    <border>
      <left style="thin">
        <color auto="1"/>
      </left>
      <right/>
      <top style="thin">
        <color indexed="64"/>
      </top>
      <bottom/>
      <diagonal/>
    </border>
    <border>
      <left/>
      <right/>
      <top style="thin">
        <color indexed="64"/>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dotted">
        <color rgb="FF969696"/>
      </top>
      <bottom/>
      <diagonal/>
    </border>
    <border>
      <left/>
      <right/>
      <top style="thin">
        <color indexed="64"/>
      </top>
      <bottom/>
      <diagonal/>
    </border>
    <border>
      <left/>
      <right/>
      <top style="thin">
        <color indexed="64"/>
      </top>
      <bottom style="thin">
        <color indexed="64"/>
      </bottom>
      <diagonal/>
    </border>
    <border>
      <left/>
      <right/>
      <top style="thin">
        <color indexed="64"/>
      </top>
      <bottom style="thin">
        <color auto="1"/>
      </bottom>
      <diagonal/>
    </border>
  </borders>
  <cellStyleXfs count="95">
    <xf numFmtId="0" fontId="0" fillId="0" borderId="0"/>
    <xf numFmtId="9" fontId="4" fillId="0" borderId="0" applyFont="0" applyFill="0" applyBorder="0" applyAlignment="0" applyProtection="0"/>
    <xf numFmtId="0" fontId="6" fillId="0" borderId="0">
      <alignment vertical="center"/>
    </xf>
    <xf numFmtId="0" fontId="6" fillId="0" borderId="0">
      <alignment vertical="center"/>
    </xf>
    <xf numFmtId="0" fontId="39" fillId="0" borderId="0"/>
    <xf numFmtId="181" fontId="39" fillId="0" borderId="0" applyFont="0" applyFill="0" applyBorder="0" applyAlignment="0" applyProtection="0"/>
    <xf numFmtId="9" fontId="39" fillId="0" borderId="0" applyFon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9" fontId="2" fillId="0" borderId="0" applyFon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164" fontId="1" fillId="0" borderId="0" applyFon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54" fillId="0" borderId="0">
      <alignment vertical="center"/>
    </xf>
    <xf numFmtId="0" fontId="40" fillId="0" borderId="0" applyNumberFormat="0" applyFill="0" applyBorder="0" applyAlignment="0" applyProtection="0"/>
  </cellStyleXfs>
  <cellXfs count="1503">
    <xf numFmtId="0" fontId="0" fillId="0" borderId="0" xfId="0"/>
    <xf numFmtId="0" fontId="0" fillId="0" borderId="0" xfId="0" applyFont="1"/>
    <xf numFmtId="0" fontId="5" fillId="0" borderId="0" xfId="0" applyFont="1"/>
    <xf numFmtId="165" fontId="0" fillId="0" borderId="0" xfId="0" applyNumberFormat="1"/>
    <xf numFmtId="0" fontId="0" fillId="0" borderId="0" xfId="0" applyAlignment="1">
      <alignment horizontal="right"/>
    </xf>
    <xf numFmtId="0" fontId="0" fillId="0" borderId="0" xfId="0" applyFont="1" applyAlignment="1">
      <alignment horizontal="right"/>
    </xf>
    <xf numFmtId="0" fontId="5" fillId="0" borderId="2" xfId="0" applyFont="1" applyBorder="1"/>
    <xf numFmtId="0" fontId="5" fillId="0" borderId="3" xfId="0" applyFont="1" applyBorder="1"/>
    <xf numFmtId="0" fontId="5" fillId="0" borderId="1" xfId="0" applyFont="1" applyBorder="1"/>
    <xf numFmtId="0" fontId="0" fillId="0" borderId="3" xfId="0" applyBorder="1"/>
    <xf numFmtId="0" fontId="0" fillId="0" borderId="4" xfId="0" applyBorder="1"/>
    <xf numFmtId="0" fontId="0" fillId="0" borderId="0" xfId="0" applyFont="1" applyBorder="1"/>
    <xf numFmtId="0" fontId="0" fillId="0" borderId="0" xfId="0" applyFont="1" applyBorder="1" applyAlignment="1">
      <alignment horizontal="left" indent="2"/>
    </xf>
    <xf numFmtId="0" fontId="0" fillId="0" borderId="0" xfId="0" applyFont="1" applyFill="1" applyBorder="1"/>
    <xf numFmtId="0" fontId="7" fillId="0" borderId="0" xfId="0" applyFont="1" applyFill="1" applyBorder="1"/>
    <xf numFmtId="0" fontId="7" fillId="0" borderId="0" xfId="0" applyFont="1"/>
    <xf numFmtId="0" fontId="8" fillId="0" borderId="0" xfId="0" applyFont="1" applyAlignment="1">
      <alignment horizontal="right"/>
    </xf>
    <xf numFmtId="165" fontId="10" fillId="0" borderId="0" xfId="0" applyNumberFormat="1" applyFont="1"/>
    <xf numFmtId="0" fontId="10" fillId="0" borderId="0" xfId="0" applyFont="1"/>
    <xf numFmtId="0" fontId="10" fillId="0" borderId="0" xfId="0" applyFont="1" applyAlignment="1">
      <alignment horizontal="right"/>
    </xf>
    <xf numFmtId="0" fontId="11" fillId="0" borderId="1" xfId="0" applyFont="1" applyBorder="1"/>
    <xf numFmtId="0" fontId="10" fillId="0" borderId="3" xfId="0" applyFont="1" applyBorder="1"/>
    <xf numFmtId="0" fontId="10" fillId="0" borderId="4" xfId="0" applyFont="1" applyBorder="1"/>
    <xf numFmtId="0" fontId="10" fillId="0" borderId="0" xfId="0" applyFont="1" applyBorder="1"/>
    <xf numFmtId="0" fontId="14" fillId="0" borderId="0" xfId="3" applyNumberFormat="1" applyFont="1" applyFill="1" applyBorder="1" applyAlignment="1">
      <alignment vertical="center"/>
    </xf>
    <xf numFmtId="0" fontId="6" fillId="0" borderId="5" xfId="3" applyNumberFormat="1" applyFont="1" applyFill="1" applyBorder="1" applyAlignment="1">
      <alignment horizontal="left" vertical="center"/>
    </xf>
    <xf numFmtId="0" fontId="6" fillId="0" borderId="6" xfId="3" applyNumberFormat="1" applyFont="1" applyFill="1" applyBorder="1" applyAlignment="1">
      <alignment horizontal="left" vertical="center"/>
    </xf>
    <xf numFmtId="0" fontId="6" fillId="0" borderId="7" xfId="3" applyNumberFormat="1" applyFont="1" applyFill="1" applyBorder="1" applyAlignment="1">
      <alignment horizontal="left" vertical="center"/>
    </xf>
    <xf numFmtId="0" fontId="6" fillId="0" borderId="9" xfId="3" applyNumberFormat="1" applyFont="1" applyFill="1" applyBorder="1" applyAlignment="1">
      <alignment horizontal="left" vertical="center"/>
    </xf>
    <xf numFmtId="0" fontId="6" fillId="0" borderId="10" xfId="3" applyNumberFormat="1" applyFont="1" applyFill="1" applyBorder="1" applyAlignment="1">
      <alignment horizontal="left" vertical="center"/>
    </xf>
    <xf numFmtId="0" fontId="6" fillId="0" borderId="11" xfId="3" applyNumberFormat="1" applyFont="1" applyFill="1" applyBorder="1" applyAlignment="1">
      <alignment horizontal="left" vertical="center"/>
    </xf>
    <xf numFmtId="0" fontId="15" fillId="0" borderId="8" xfId="2" applyNumberFormat="1" applyFont="1" applyFill="1" applyBorder="1" applyAlignment="1">
      <alignment horizontal="left" vertical="center" wrapText="1"/>
    </xf>
    <xf numFmtId="0" fontId="15" fillId="0" borderId="0" xfId="3" applyNumberFormat="1" applyFont="1" applyFill="1" applyBorder="1" applyAlignment="1">
      <alignment vertical="center"/>
    </xf>
    <xf numFmtId="0" fontId="6" fillId="0" borderId="8" xfId="3" applyNumberFormat="1" applyFont="1" applyFill="1" applyBorder="1" applyAlignment="1">
      <alignment horizontal="left" vertical="center"/>
    </xf>
    <xf numFmtId="0" fontId="6" fillId="0" borderId="12" xfId="3" applyNumberFormat="1" applyFont="1" applyFill="1" applyBorder="1" applyAlignment="1">
      <alignment horizontal="left" vertical="center"/>
    </xf>
    <xf numFmtId="0" fontId="6" fillId="0" borderId="0" xfId="3" applyNumberFormat="1" applyFont="1" applyFill="1" applyBorder="1" applyAlignment="1">
      <alignment horizontal="left" vertical="center"/>
    </xf>
    <xf numFmtId="0" fontId="15" fillId="0" borderId="9" xfId="3" applyNumberFormat="1" applyFont="1" applyFill="1" applyBorder="1" applyAlignment="1">
      <alignment horizontal="left" vertical="center"/>
    </xf>
    <xf numFmtId="0" fontId="15" fillId="0" borderId="13" xfId="3" applyNumberFormat="1" applyFont="1" applyFill="1" applyBorder="1" applyAlignment="1">
      <alignment horizontal="left" vertical="center" wrapText="1"/>
    </xf>
    <xf numFmtId="0" fontId="15" fillId="0" borderId="13" xfId="3" applyNumberFormat="1" applyFont="1" applyFill="1" applyBorder="1" applyAlignment="1">
      <alignment horizontal="left" vertical="center"/>
    </xf>
    <xf numFmtId="0" fontId="6" fillId="0" borderId="7" xfId="3" applyNumberFormat="1" applyFont="1" applyFill="1" applyBorder="1" applyAlignment="1">
      <alignment horizontal="left" vertical="center" wrapText="1"/>
    </xf>
    <xf numFmtId="0" fontId="15" fillId="0" borderId="0" xfId="3" applyNumberFormat="1" applyFont="1" applyFill="1" applyBorder="1" applyAlignment="1">
      <alignment horizontal="left" vertical="center"/>
    </xf>
    <xf numFmtId="0" fontId="6" fillId="0" borderId="13" xfId="3" applyNumberFormat="1" applyFont="1" applyFill="1" applyBorder="1" applyAlignment="1">
      <alignment horizontal="left" vertical="center"/>
    </xf>
    <xf numFmtId="167" fontId="6" fillId="0" borderId="5" xfId="3" applyNumberFormat="1" applyFont="1" applyFill="1" applyBorder="1" applyAlignment="1">
      <alignment horizontal="right" vertical="center"/>
    </xf>
    <xf numFmtId="167" fontId="6" fillId="0" borderId="10" xfId="3" applyNumberFormat="1" applyFont="1" applyFill="1" applyBorder="1" applyAlignment="1">
      <alignment horizontal="right" vertical="center"/>
    </xf>
    <xf numFmtId="167" fontId="6" fillId="0" borderId="6" xfId="3" applyNumberFormat="1" applyFont="1" applyFill="1" applyBorder="1" applyAlignment="1">
      <alignment horizontal="right" vertical="center"/>
    </xf>
    <xf numFmtId="167" fontId="6" fillId="0" borderId="7" xfId="3" applyNumberFormat="1" applyFont="1" applyFill="1" applyBorder="1" applyAlignment="1">
      <alignment horizontal="right" vertical="center"/>
    </xf>
    <xf numFmtId="167" fontId="6" fillId="0" borderId="9" xfId="3" quotePrefix="1" applyNumberFormat="1" applyFont="1" applyFill="1" applyBorder="1" applyAlignment="1">
      <alignment horizontal="right" vertical="center"/>
    </xf>
    <xf numFmtId="168" fontId="6" fillId="0" borderId="11" xfId="3" applyNumberFormat="1" applyFont="1" applyFill="1" applyBorder="1" applyAlignment="1">
      <alignment horizontal="right" vertical="center"/>
    </xf>
    <xf numFmtId="167" fontId="15" fillId="0" borderId="0" xfId="3" applyNumberFormat="1" applyFont="1" applyFill="1" applyBorder="1" applyAlignment="1">
      <alignment horizontal="right" vertical="center"/>
    </xf>
    <xf numFmtId="167" fontId="6" fillId="0" borderId="9" xfId="3" applyNumberFormat="1" applyFont="1" applyFill="1" applyBorder="1" applyAlignment="1">
      <alignment horizontal="right" vertical="center"/>
    </xf>
    <xf numFmtId="167" fontId="6" fillId="0" borderId="12" xfId="3" applyNumberFormat="1" applyFont="1" applyFill="1" applyBorder="1" applyAlignment="1">
      <alignment horizontal="right" vertical="center"/>
    </xf>
    <xf numFmtId="167" fontId="15" fillId="0" borderId="9" xfId="3" applyNumberFormat="1" applyFont="1" applyFill="1" applyBorder="1" applyAlignment="1">
      <alignment horizontal="right" vertical="center"/>
    </xf>
    <xf numFmtId="168" fontId="6" fillId="0" borderId="13" xfId="3" applyNumberFormat="1" applyFont="1" applyFill="1" applyBorder="1" applyAlignment="1">
      <alignment horizontal="right" vertical="center"/>
    </xf>
    <xf numFmtId="168" fontId="6" fillId="0" borderId="7" xfId="3" applyNumberFormat="1" applyFont="1" applyFill="1" applyBorder="1" applyAlignment="1">
      <alignment horizontal="right" vertical="center"/>
    </xf>
    <xf numFmtId="168" fontId="6" fillId="0" borderId="12" xfId="3" applyNumberFormat="1" applyFont="1" applyFill="1" applyBorder="1" applyAlignment="1">
      <alignment horizontal="right" vertical="center"/>
    </xf>
    <xf numFmtId="169" fontId="6" fillId="0" borderId="7" xfId="3" applyNumberFormat="1" applyFont="1" applyFill="1" applyBorder="1" applyAlignment="1">
      <alignment horizontal="right" vertical="center"/>
    </xf>
    <xf numFmtId="169" fontId="6" fillId="0" borderId="12" xfId="3" applyNumberFormat="1" applyFont="1" applyFill="1" applyBorder="1" applyAlignment="1">
      <alignment horizontal="right" vertical="center"/>
    </xf>
    <xf numFmtId="168" fontId="15" fillId="0" borderId="0" xfId="3" applyNumberFormat="1" applyFont="1" applyFill="1" applyBorder="1" applyAlignment="1">
      <alignment horizontal="right" vertical="center"/>
    </xf>
    <xf numFmtId="0" fontId="14" fillId="0" borderId="0" xfId="2" applyNumberFormat="1" applyFont="1" applyFill="1" applyBorder="1" applyAlignment="1">
      <alignment vertical="center"/>
    </xf>
    <xf numFmtId="0" fontId="15" fillId="0" borderId="8" xfId="3" applyNumberFormat="1" applyFont="1" applyFill="1" applyBorder="1" applyAlignment="1">
      <alignment horizontal="left" vertical="center" wrapText="1"/>
    </xf>
    <xf numFmtId="0" fontId="15" fillId="0" borderId="12" xfId="3" applyNumberFormat="1" applyFont="1" applyFill="1" applyBorder="1" applyAlignment="1">
      <alignment horizontal="left" vertical="center"/>
    </xf>
    <xf numFmtId="0" fontId="6" fillId="0" borderId="0" xfId="3" applyNumberFormat="1" applyFont="1" applyFill="1" applyBorder="1" applyAlignment="1">
      <alignment horizontal="left" vertical="center" wrapText="1"/>
    </xf>
    <xf numFmtId="0" fontId="15" fillId="0" borderId="12" xfId="3" applyNumberFormat="1" applyFont="1" applyFill="1" applyBorder="1" applyAlignment="1">
      <alignment horizontal="left" vertical="center" wrapText="1"/>
    </xf>
    <xf numFmtId="0" fontId="6" fillId="0" borderId="5" xfId="3" applyNumberFormat="1" applyFont="1" applyFill="1" applyBorder="1" applyAlignment="1">
      <alignment horizontal="left" vertical="center" indent="1"/>
    </xf>
    <xf numFmtId="0" fontId="6" fillId="0" borderId="6" xfId="3" applyNumberFormat="1" applyFont="1" applyFill="1" applyBorder="1" applyAlignment="1">
      <alignment horizontal="left" vertical="center" indent="1"/>
    </xf>
    <xf numFmtId="0" fontId="6" fillId="0" borderId="7" xfId="3" applyNumberFormat="1" applyFont="1" applyFill="1" applyBorder="1" applyAlignment="1">
      <alignment horizontal="left" vertical="center" indent="1"/>
    </xf>
    <xf numFmtId="171" fontId="6" fillId="0" borderId="0" xfId="3" applyNumberFormat="1" applyFont="1" applyFill="1" applyBorder="1" applyAlignment="1">
      <alignment vertical="center"/>
    </xf>
    <xf numFmtId="167" fontId="15" fillId="0" borderId="7" xfId="3" applyNumberFormat="1" applyFont="1" applyFill="1" applyBorder="1" applyAlignment="1">
      <alignment horizontal="right" vertical="center"/>
    </xf>
    <xf numFmtId="167" fontId="6" fillId="0" borderId="11" xfId="3" applyNumberFormat="1" applyFont="1" applyFill="1" applyBorder="1" applyAlignment="1">
      <alignment horizontal="right" vertical="center"/>
    </xf>
    <xf numFmtId="168" fontId="6" fillId="0" borderId="5" xfId="0" applyNumberFormat="1" applyFont="1" applyFill="1" applyBorder="1" applyAlignment="1">
      <alignment horizontal="right" vertical="center"/>
    </xf>
    <xf numFmtId="168" fontId="6" fillId="0" borderId="6" xfId="0" applyNumberFormat="1" applyFont="1" applyFill="1" applyBorder="1" applyAlignment="1">
      <alignment horizontal="right" vertical="center"/>
    </xf>
    <xf numFmtId="168" fontId="6" fillId="0" borderId="7" xfId="0" applyNumberFormat="1" applyFont="1" applyFill="1" applyBorder="1" applyAlignment="1">
      <alignment horizontal="right" vertical="center"/>
    </xf>
    <xf numFmtId="168" fontId="6" fillId="0" borderId="9" xfId="0" quotePrefix="1" applyNumberFormat="1" applyFont="1" applyFill="1" applyBorder="1" applyAlignment="1">
      <alignment horizontal="right" vertical="center"/>
    </xf>
    <xf numFmtId="168" fontId="6" fillId="0" borderId="10" xfId="0" applyNumberFormat="1" applyFont="1" applyFill="1" applyBorder="1" applyAlignment="1">
      <alignment horizontal="right" vertical="center"/>
    </xf>
    <xf numFmtId="168" fontId="6" fillId="0" borderId="11" xfId="0" applyNumberFormat="1" applyFont="1" applyFill="1" applyBorder="1" applyAlignment="1">
      <alignment horizontal="right" vertical="center"/>
    </xf>
    <xf numFmtId="168" fontId="15" fillId="0" borderId="0" xfId="0" applyNumberFormat="1" applyFont="1" applyFill="1" applyBorder="1" applyAlignment="1">
      <alignment horizontal="right" vertical="center"/>
    </xf>
    <xf numFmtId="168" fontId="6" fillId="0" borderId="9" xfId="0" applyNumberFormat="1" applyFont="1" applyFill="1" applyBorder="1" applyAlignment="1">
      <alignment horizontal="right" vertical="center"/>
    </xf>
    <xf numFmtId="168" fontId="15" fillId="0" borderId="9" xfId="0" applyNumberFormat="1" applyFont="1" applyFill="1" applyBorder="1" applyAlignment="1">
      <alignment horizontal="right" vertical="center"/>
    </xf>
    <xf numFmtId="169" fontId="6" fillId="0" borderId="13" xfId="0" applyNumberFormat="1" applyFont="1" applyFill="1" applyBorder="1" applyAlignment="1">
      <alignment horizontal="right" vertical="center"/>
    </xf>
    <xf numFmtId="169" fontId="6" fillId="0" borderId="12" xfId="0" applyNumberFormat="1" applyFont="1" applyFill="1" applyBorder="1" applyAlignment="1">
      <alignment horizontal="right" vertical="center"/>
    </xf>
    <xf numFmtId="171" fontId="6" fillId="0" borderId="0" xfId="0" applyNumberFormat="1" applyFont="1" applyFill="1" applyBorder="1" applyAlignment="1">
      <alignment vertical="center"/>
    </xf>
    <xf numFmtId="168" fontId="6" fillId="0" borderId="12" xfId="0" applyNumberFormat="1" applyFont="1" applyFill="1" applyBorder="1" applyAlignment="1">
      <alignment horizontal="right" vertical="center"/>
    </xf>
    <xf numFmtId="174" fontId="6" fillId="0" borderId="18" xfId="0" applyNumberFormat="1" applyFont="1" applyFill="1" applyBorder="1" applyAlignment="1">
      <alignment horizontal="right" vertical="center"/>
    </xf>
    <xf numFmtId="168" fontId="6" fillId="0" borderId="18" xfId="0" applyNumberFormat="1" applyFont="1" applyFill="1" applyBorder="1" applyAlignment="1">
      <alignment horizontal="right" vertical="center"/>
    </xf>
    <xf numFmtId="168" fontId="15" fillId="0" borderId="7" xfId="0" applyNumberFormat="1" applyFont="1" applyFill="1" applyBorder="1" applyAlignment="1">
      <alignment horizontal="right" vertical="center"/>
    </xf>
    <xf numFmtId="174" fontId="15" fillId="0" borderId="9" xfId="0" applyNumberFormat="1" applyFont="1" applyFill="1" applyBorder="1" applyAlignment="1">
      <alignment horizontal="right" vertical="center"/>
    </xf>
    <xf numFmtId="168" fontId="6" fillId="0" borderId="0" xfId="0" applyNumberFormat="1" applyFont="1" applyFill="1" applyBorder="1" applyAlignment="1">
      <alignment horizontal="right" vertical="center"/>
    </xf>
    <xf numFmtId="174" fontId="6" fillId="0" borderId="7" xfId="0" applyNumberFormat="1" applyFont="1" applyFill="1" applyBorder="1" applyAlignment="1">
      <alignment horizontal="right" vertical="center"/>
    </xf>
    <xf numFmtId="168" fontId="15" fillId="0" borderId="5" xfId="0" applyNumberFormat="1" applyFont="1" applyFill="1" applyBorder="1" applyAlignment="1">
      <alignment horizontal="right" vertical="center"/>
    </xf>
    <xf numFmtId="172" fontId="6" fillId="0" borderId="11" xfId="0" applyNumberFormat="1" applyFont="1" applyFill="1" applyBorder="1" applyAlignment="1">
      <alignment horizontal="right" vertical="center"/>
    </xf>
    <xf numFmtId="168" fontId="16" fillId="0" borderId="0" xfId="0" applyNumberFormat="1" applyFont="1" applyFill="1" applyBorder="1" applyAlignment="1">
      <alignment horizontal="right" vertical="center"/>
    </xf>
    <xf numFmtId="167" fontId="10" fillId="0" borderId="0" xfId="0" applyNumberFormat="1" applyFont="1"/>
    <xf numFmtId="167" fontId="11" fillId="0" borderId="2" xfId="0" applyNumberFormat="1" applyFont="1" applyBorder="1"/>
    <xf numFmtId="167" fontId="11" fillId="0" borderId="3" xfId="0" applyNumberFormat="1" applyFont="1" applyBorder="1"/>
    <xf numFmtId="167" fontId="11" fillId="0" borderId="1" xfId="0" applyNumberFormat="1" applyFont="1" applyBorder="1"/>
    <xf numFmtId="0" fontId="8" fillId="0" borderId="0" xfId="0" applyFont="1" applyBorder="1"/>
    <xf numFmtId="0" fontId="18" fillId="0" borderId="0" xfId="0" applyFont="1" applyBorder="1"/>
    <xf numFmtId="9" fontId="18" fillId="0" borderId="0" xfId="1" applyFont="1" applyBorder="1"/>
    <xf numFmtId="0" fontId="18" fillId="0" borderId="1" xfId="0" applyFont="1" applyBorder="1"/>
    <xf numFmtId="166" fontId="18" fillId="0" borderId="1" xfId="1" applyNumberFormat="1" applyFont="1" applyBorder="1"/>
    <xf numFmtId="0" fontId="0" fillId="0" borderId="4" xfId="0" applyBorder="1" applyAlignment="1">
      <alignment horizontal="right"/>
    </xf>
    <xf numFmtId="0" fontId="10" fillId="0" borderId="4" xfId="0" applyFont="1" applyBorder="1" applyAlignment="1">
      <alignment horizontal="right"/>
    </xf>
    <xf numFmtId="0" fontId="23" fillId="0" borderId="4" xfId="0" applyFont="1" applyBorder="1"/>
    <xf numFmtId="0" fontId="24" fillId="0" borderId="4" xfId="0" applyFont="1" applyBorder="1"/>
    <xf numFmtId="0" fontId="5" fillId="4" borderId="20" xfId="0" applyFont="1" applyFill="1" applyBorder="1"/>
    <xf numFmtId="0" fontId="11" fillId="4" borderId="20" xfId="0" applyFont="1" applyFill="1" applyBorder="1"/>
    <xf numFmtId="0" fontId="0" fillId="4" borderId="0" xfId="0" applyFill="1"/>
    <xf numFmtId="0" fontId="10" fillId="4" borderId="0" xfId="0" applyFont="1" applyFill="1"/>
    <xf numFmtId="0" fontId="13" fillId="4" borderId="0" xfId="0" applyFont="1" applyFill="1"/>
    <xf numFmtId="0" fontId="5" fillId="4" borderId="1" xfId="0" applyFont="1" applyFill="1" applyBorder="1"/>
    <xf numFmtId="166" fontId="5" fillId="4" borderId="1" xfId="0" applyNumberFormat="1" applyFont="1" applyFill="1" applyBorder="1"/>
    <xf numFmtId="166" fontId="5" fillId="4" borderId="1" xfId="1" applyNumberFormat="1" applyFont="1" applyFill="1" applyBorder="1"/>
    <xf numFmtId="166" fontId="11" fillId="4" borderId="1" xfId="1" applyNumberFormat="1" applyFont="1" applyFill="1" applyBorder="1"/>
    <xf numFmtId="0" fontId="11" fillId="4" borderId="1" xfId="0" applyFont="1" applyFill="1" applyBorder="1"/>
    <xf numFmtId="0" fontId="20" fillId="3" borderId="4" xfId="0" applyFont="1" applyFill="1" applyBorder="1"/>
    <xf numFmtId="0" fontId="22" fillId="3" borderId="4" xfId="0" applyFont="1" applyFill="1" applyBorder="1"/>
    <xf numFmtId="166" fontId="0" fillId="4" borderId="0" xfId="1" applyNumberFormat="1" applyFont="1" applyFill="1"/>
    <xf numFmtId="166" fontId="10" fillId="4" borderId="0" xfId="0" applyNumberFormat="1" applyFont="1" applyFill="1"/>
    <xf numFmtId="9" fontId="12" fillId="0" borderId="0" xfId="1" applyFont="1" applyBorder="1"/>
    <xf numFmtId="175" fontId="10" fillId="0" borderId="0" xfId="0" applyNumberFormat="1" applyFont="1"/>
    <xf numFmtId="166" fontId="10" fillId="0" borderId="0" xfId="1" applyNumberFormat="1" applyFont="1"/>
    <xf numFmtId="175" fontId="11" fillId="0" borderId="1" xfId="0" applyNumberFormat="1" applyFont="1" applyBorder="1"/>
    <xf numFmtId="166" fontId="12" fillId="0" borderId="1" xfId="1" applyNumberFormat="1" applyFont="1" applyBorder="1"/>
    <xf numFmtId="10" fontId="11" fillId="4" borderId="1" xfId="0" applyNumberFormat="1" applyFont="1" applyFill="1" applyBorder="1"/>
    <xf numFmtId="0" fontId="0" fillId="5" borderId="0" xfId="0" applyFill="1"/>
    <xf numFmtId="0" fontId="10" fillId="5" borderId="0" xfId="0" applyFont="1" applyFill="1"/>
    <xf numFmtId="0" fontId="19" fillId="6" borderId="4" xfId="0" applyFont="1" applyFill="1" applyBorder="1"/>
    <xf numFmtId="0" fontId="21" fillId="6" borderId="4" xfId="0" applyFont="1" applyFill="1" applyBorder="1"/>
    <xf numFmtId="0" fontId="27" fillId="0" borderId="0" xfId="0" applyFont="1"/>
    <xf numFmtId="175" fontId="10" fillId="4" borderId="0" xfId="0" applyNumberFormat="1" applyFont="1" applyFill="1"/>
    <xf numFmtId="0" fontId="28" fillId="0" borderId="0" xfId="0" applyFont="1"/>
    <xf numFmtId="0" fontId="10" fillId="7" borderId="0" xfId="0" applyFont="1" applyFill="1"/>
    <xf numFmtId="9" fontId="0" fillId="0" borderId="0" xfId="1" applyFont="1"/>
    <xf numFmtId="166" fontId="0" fillId="0" borderId="0" xfId="1" applyNumberFormat="1" applyFont="1"/>
    <xf numFmtId="0" fontId="0" fillId="7" borderId="0" xfId="0" applyFill="1"/>
    <xf numFmtId="0" fontId="0" fillId="0" borderId="0" xfId="0" quotePrefix="1"/>
    <xf numFmtId="0" fontId="0" fillId="0" borderId="0" xfId="0"/>
    <xf numFmtId="176" fontId="0" fillId="5" borderId="0" xfId="0" applyNumberFormat="1" applyFill="1"/>
    <xf numFmtId="9" fontId="0" fillId="5" borderId="0" xfId="1" applyNumberFormat="1" applyFont="1" applyFill="1"/>
    <xf numFmtId="0" fontId="0" fillId="0" borderId="0" xfId="0"/>
    <xf numFmtId="0" fontId="5" fillId="0" borderId="0" xfId="0" applyFont="1" applyFill="1" applyBorder="1"/>
    <xf numFmtId="167" fontId="6" fillId="0" borderId="0" xfId="3" applyNumberFormat="1" applyFont="1" applyFill="1" applyBorder="1" applyAlignment="1">
      <alignment horizontal="right" vertical="center"/>
    </xf>
    <xf numFmtId="0" fontId="5" fillId="0" borderId="4" xfId="0" applyFont="1" applyBorder="1"/>
    <xf numFmtId="1" fontId="10" fillId="0" borderId="0" xfId="0" applyNumberFormat="1" applyFont="1"/>
    <xf numFmtId="167" fontId="10" fillId="0" borderId="0" xfId="0" applyNumberFormat="1" applyFont="1" applyAlignment="1">
      <alignment horizontal="right"/>
    </xf>
    <xf numFmtId="14" fontId="0" fillId="0" borderId="0" xfId="0" applyNumberFormat="1"/>
    <xf numFmtId="10" fontId="0" fillId="0" borderId="0" xfId="1" applyNumberFormat="1" applyFont="1"/>
    <xf numFmtId="10" fontId="0" fillId="0" borderId="0" xfId="1" applyNumberFormat="1" applyFont="1" applyFill="1" applyBorder="1"/>
    <xf numFmtId="10" fontId="3" fillId="0" borderId="0" xfId="1" applyNumberFormat="1" applyFont="1"/>
    <xf numFmtId="10" fontId="0" fillId="0" borderId="0" xfId="1" applyNumberFormat="1" applyFont="1" applyAlignment="1">
      <alignment horizontal="right"/>
    </xf>
    <xf numFmtId="10" fontId="10" fillId="0" borderId="0" xfId="0" applyNumberFormat="1" applyFont="1"/>
    <xf numFmtId="175" fontId="10" fillId="0" borderId="0" xfId="0" applyNumberFormat="1" applyFont="1" applyAlignment="1">
      <alignment horizontal="right"/>
    </xf>
    <xf numFmtId="0" fontId="0" fillId="0" borderId="2" xfId="0" applyBorder="1"/>
    <xf numFmtId="0" fontId="10" fillId="0" borderId="2" xfId="0" applyFont="1" applyBorder="1"/>
    <xf numFmtId="166" fontId="10" fillId="0" borderId="3" xfId="1" applyNumberFormat="1" applyFont="1" applyBorder="1"/>
    <xf numFmtId="166" fontId="10" fillId="0" borderId="2" xfId="1" applyNumberFormat="1" applyFont="1" applyBorder="1"/>
    <xf numFmtId="0" fontId="0" fillId="0" borderId="0" xfId="0"/>
    <xf numFmtId="0" fontId="0" fillId="0" borderId="0" xfId="0"/>
    <xf numFmtId="1" fontId="0" fillId="0" borderId="0" xfId="1" applyNumberFormat="1" applyFont="1"/>
    <xf numFmtId="166" fontId="0" fillId="0" borderId="0" xfId="0" applyNumberFormat="1"/>
    <xf numFmtId="0" fontId="0" fillId="0" borderId="0" xfId="0" applyAlignment="1">
      <alignment horizontal="left" indent="1"/>
    </xf>
    <xf numFmtId="0" fontId="0" fillId="0" borderId="0" xfId="0" applyFont="1" applyAlignment="1">
      <alignment horizontal="left"/>
    </xf>
    <xf numFmtId="0" fontId="5" fillId="0" borderId="0" xfId="0" applyFont="1" applyAlignment="1">
      <alignment horizontal="left"/>
    </xf>
    <xf numFmtId="166" fontId="5" fillId="0" borderId="0" xfId="0" applyNumberFormat="1" applyFont="1"/>
    <xf numFmtId="177" fontId="0" fillId="0" borderId="0" xfId="1" applyNumberFormat="1" applyFont="1"/>
    <xf numFmtId="180" fontId="0" fillId="0" borderId="0" xfId="1" applyNumberFormat="1" applyFont="1"/>
    <xf numFmtId="0" fontId="5" fillId="6" borderId="0" xfId="0" applyFont="1" applyFill="1"/>
    <xf numFmtId="166" fontId="5" fillId="6" borderId="0" xfId="0" applyNumberFormat="1" applyFont="1" applyFill="1"/>
    <xf numFmtId="0" fontId="6" fillId="0" borderId="1" xfId="2" applyNumberFormat="1" applyFont="1" applyFill="1" applyBorder="1" applyAlignment="1">
      <alignment horizontal="left" wrapText="1"/>
    </xf>
    <xf numFmtId="0" fontId="0" fillId="0" borderId="1" xfId="0" applyBorder="1" applyAlignment="1"/>
    <xf numFmtId="179" fontId="17" fillId="0" borderId="1" xfId="2" applyNumberFormat="1" applyFont="1" applyFill="1" applyBorder="1" applyAlignment="1">
      <alignment horizontal="right"/>
    </xf>
    <xf numFmtId="178" fontId="17" fillId="0" borderId="1" xfId="2" applyNumberFormat="1" applyFont="1" applyFill="1" applyBorder="1" applyAlignment="1">
      <alignment horizontal="right"/>
    </xf>
    <xf numFmtId="2" fontId="10" fillId="0" borderId="1" xfId="0" applyNumberFormat="1" applyFont="1" applyBorder="1" applyAlignment="1"/>
    <xf numFmtId="0" fontId="6" fillId="0" borderId="4" xfId="2" applyNumberFormat="1" applyFont="1" applyFill="1" applyBorder="1" applyAlignment="1">
      <alignment horizontal="left"/>
    </xf>
    <xf numFmtId="0" fontId="0" fillId="0" borderId="4" xfId="0" applyBorder="1" applyAlignment="1"/>
    <xf numFmtId="179" fontId="17" fillId="0" borderId="4" xfId="2" applyNumberFormat="1" applyFont="1" applyFill="1" applyBorder="1" applyAlignment="1">
      <alignment horizontal="right"/>
    </xf>
    <xf numFmtId="178" fontId="17" fillId="0" borderId="4" xfId="2" applyNumberFormat="1" applyFont="1" applyFill="1" applyBorder="1" applyAlignment="1">
      <alignment horizontal="right"/>
    </xf>
    <xf numFmtId="0" fontId="14" fillId="8" borderId="3" xfId="3" applyNumberFormat="1" applyFont="1" applyFill="1" applyBorder="1" applyAlignment="1">
      <alignment vertical="center"/>
    </xf>
    <xf numFmtId="0" fontId="0" fillId="8" borderId="3" xfId="0" applyFill="1" applyBorder="1"/>
    <xf numFmtId="166" fontId="6" fillId="8" borderId="3" xfId="1" applyNumberFormat="1" applyFont="1" applyFill="1" applyBorder="1" applyAlignment="1">
      <alignment horizontal="right" vertical="center"/>
    </xf>
    <xf numFmtId="0" fontId="10" fillId="8" borderId="3" xfId="0" applyFont="1" applyFill="1" applyBorder="1"/>
    <xf numFmtId="0" fontId="18" fillId="8" borderId="0" xfId="0" applyFont="1" applyFill="1"/>
    <xf numFmtId="177" fontId="29" fillId="8" borderId="0" xfId="1" applyNumberFormat="1" applyFont="1" applyFill="1" applyBorder="1" applyAlignment="1">
      <alignment horizontal="right" vertical="center"/>
    </xf>
    <xf numFmtId="177" fontId="12" fillId="8" borderId="0" xfId="0" applyNumberFormat="1" applyFont="1" applyFill="1"/>
    <xf numFmtId="0" fontId="29" fillId="8" borderId="3" xfId="3" applyNumberFormat="1" applyFont="1" applyFill="1" applyBorder="1" applyAlignment="1">
      <alignment horizontal="left" vertical="center" indent="1"/>
    </xf>
    <xf numFmtId="0" fontId="18" fillId="8" borderId="3" xfId="0" applyFont="1" applyFill="1" applyBorder="1"/>
    <xf numFmtId="10" fontId="29" fillId="8" borderId="3" xfId="1" applyNumberFormat="1" applyFont="1" applyFill="1" applyBorder="1" applyAlignment="1">
      <alignment horizontal="right" vertical="center"/>
    </xf>
    <xf numFmtId="177" fontId="12" fillId="8" borderId="3" xfId="0" applyNumberFormat="1" applyFont="1" applyFill="1" applyBorder="1"/>
    <xf numFmtId="0" fontId="0" fillId="8" borderId="0" xfId="0" applyFill="1"/>
    <xf numFmtId="167" fontId="6" fillId="8" borderId="0" xfId="3" applyNumberFormat="1" applyFont="1" applyFill="1" applyBorder="1" applyAlignment="1">
      <alignment horizontal="right" vertical="center"/>
    </xf>
    <xf numFmtId="4" fontId="10" fillId="8" borderId="0" xfId="0" applyNumberFormat="1" applyFont="1" applyFill="1"/>
    <xf numFmtId="0" fontId="6" fillId="8" borderId="0" xfId="3" applyNumberFormat="1" applyFont="1" applyFill="1" applyBorder="1" applyAlignment="1">
      <alignment horizontal="left" vertical="center"/>
    </xf>
    <xf numFmtId="168" fontId="6" fillId="8" borderId="0" xfId="0" applyNumberFormat="1" applyFont="1" applyFill="1" applyBorder="1" applyAlignment="1">
      <alignment horizontal="right" vertical="center"/>
    </xf>
    <xf numFmtId="0" fontId="15" fillId="8" borderId="4" xfId="3" applyNumberFormat="1" applyFont="1" applyFill="1" applyBorder="1" applyAlignment="1">
      <alignment horizontal="left" vertical="center"/>
    </xf>
    <xf numFmtId="0" fontId="5" fillId="8" borderId="4" xfId="0" applyFont="1" applyFill="1" applyBorder="1"/>
    <xf numFmtId="168" fontId="15" fillId="8" borderId="4" xfId="0" applyNumberFormat="1" applyFont="1" applyFill="1" applyBorder="1" applyAlignment="1">
      <alignment horizontal="right" vertical="center"/>
    </xf>
    <xf numFmtId="167" fontId="15" fillId="8" borderId="4" xfId="3" applyNumberFormat="1" applyFont="1" applyFill="1" applyBorder="1" applyAlignment="1">
      <alignment horizontal="right" vertical="center"/>
    </xf>
    <xf numFmtId="4" fontId="11" fillId="8" borderId="4" xfId="0" applyNumberFormat="1" applyFont="1" applyFill="1" applyBorder="1"/>
    <xf numFmtId="167" fontId="30" fillId="8" borderId="0" xfId="3" applyNumberFormat="1" applyFont="1" applyFill="1" applyBorder="1" applyAlignment="1">
      <alignment horizontal="right" vertical="center"/>
    </xf>
    <xf numFmtId="168" fontId="6" fillId="8" borderId="0" xfId="0" quotePrefix="1" applyNumberFormat="1" applyFont="1" applyFill="1" applyBorder="1" applyAlignment="1">
      <alignment horizontal="right" vertical="center"/>
    </xf>
    <xf numFmtId="167" fontId="6" fillId="8" borderId="0" xfId="3" quotePrefix="1" applyNumberFormat="1" applyFont="1" applyFill="1" applyBorder="1" applyAlignment="1">
      <alignment horizontal="right" vertical="center"/>
    </xf>
    <xf numFmtId="1" fontId="10" fillId="8" borderId="0" xfId="0" applyNumberFormat="1" applyFont="1" applyFill="1"/>
    <xf numFmtId="0" fontId="0" fillId="8" borderId="0" xfId="0" applyFill="1" applyBorder="1"/>
    <xf numFmtId="0" fontId="6" fillId="8" borderId="3" xfId="3" applyNumberFormat="1" applyFont="1" applyFill="1" applyBorder="1" applyAlignment="1">
      <alignment horizontal="left" vertical="center"/>
    </xf>
    <xf numFmtId="168" fontId="6" fillId="8" borderId="3" xfId="0" applyNumberFormat="1" applyFont="1" applyFill="1" applyBorder="1" applyAlignment="1">
      <alignment horizontal="right" vertical="center"/>
    </xf>
    <xf numFmtId="168" fontId="6" fillId="8" borderId="3" xfId="3" applyNumberFormat="1" applyFont="1" applyFill="1" applyBorder="1" applyAlignment="1">
      <alignment horizontal="right" vertical="center"/>
    </xf>
    <xf numFmtId="1" fontId="10" fillId="8" borderId="3" xfId="0" applyNumberFormat="1" applyFont="1" applyFill="1" applyBorder="1"/>
    <xf numFmtId="0" fontId="15" fillId="8" borderId="20" xfId="2" applyNumberFormat="1" applyFont="1" applyFill="1" applyBorder="1" applyAlignment="1">
      <alignment horizontal="left" vertical="center" wrapText="1"/>
    </xf>
    <xf numFmtId="0" fontId="5" fillId="8" borderId="20" xfId="0" applyFont="1" applyFill="1" applyBorder="1"/>
    <xf numFmtId="4" fontId="11" fillId="8" borderId="20" xfId="0" applyNumberFormat="1" applyFont="1" applyFill="1" applyBorder="1"/>
    <xf numFmtId="0" fontId="15" fillId="8" borderId="0" xfId="3" applyNumberFormat="1" applyFont="1" applyFill="1" applyBorder="1" applyAlignment="1">
      <alignment vertical="center"/>
    </xf>
    <xf numFmtId="0" fontId="15" fillId="8" borderId="0" xfId="3" applyNumberFormat="1" applyFont="1" applyFill="1" applyBorder="1" applyAlignment="1">
      <alignment horizontal="right" vertical="center"/>
    </xf>
    <xf numFmtId="0" fontId="15" fillId="8" borderId="3" xfId="3" applyNumberFormat="1" applyFont="1" applyFill="1" applyBorder="1" applyAlignment="1">
      <alignment horizontal="right" vertical="center"/>
    </xf>
    <xf numFmtId="168" fontId="6" fillId="9" borderId="3" xfId="0" applyNumberFormat="1" applyFont="1" applyFill="1" applyBorder="1" applyAlignment="1">
      <alignment horizontal="right" vertical="center"/>
    </xf>
    <xf numFmtId="169" fontId="6" fillId="9" borderId="3" xfId="3" applyNumberFormat="1" applyFont="1" applyFill="1" applyBorder="1" applyAlignment="1">
      <alignment horizontal="right" vertical="center"/>
    </xf>
    <xf numFmtId="169" fontId="6" fillId="8" borderId="3" xfId="3" applyNumberFormat="1" applyFont="1" applyFill="1" applyBorder="1" applyAlignment="1">
      <alignment horizontal="right" vertical="center"/>
    </xf>
    <xf numFmtId="0" fontId="29" fillId="8" borderId="4" xfId="3" applyNumberFormat="1" applyFont="1" applyFill="1" applyBorder="1" applyAlignment="1">
      <alignment horizontal="left" vertical="center"/>
    </xf>
    <xf numFmtId="0" fontId="18" fillId="8" borderId="4" xfId="0" applyFont="1" applyFill="1" applyBorder="1"/>
    <xf numFmtId="166" fontId="12" fillId="8" borderId="4" xfId="1" applyNumberFormat="1" applyFont="1" applyFill="1" applyBorder="1"/>
    <xf numFmtId="0" fontId="15" fillId="8" borderId="0" xfId="0" applyNumberFormat="1" applyFont="1" applyFill="1" applyBorder="1" applyAlignment="1">
      <alignment horizontal="right" vertical="center"/>
    </xf>
    <xf numFmtId="0" fontId="10" fillId="8" borderId="0" xfId="0" applyFont="1" applyFill="1"/>
    <xf numFmtId="0" fontId="14" fillId="8" borderId="0" xfId="3" applyNumberFormat="1" applyFont="1" applyFill="1" applyBorder="1" applyAlignment="1">
      <alignment vertical="center"/>
    </xf>
    <xf numFmtId="168" fontId="15" fillId="8" borderId="0" xfId="0" applyNumberFormat="1" applyFont="1" applyFill="1" applyBorder="1" applyAlignment="1">
      <alignment horizontal="right" vertical="center"/>
    </xf>
    <xf numFmtId="167" fontId="15" fillId="8" borderId="0" xfId="3" applyNumberFormat="1" applyFont="1" applyFill="1" applyBorder="1" applyAlignment="1">
      <alignment horizontal="right" vertical="center"/>
    </xf>
    <xf numFmtId="0" fontId="6" fillId="8" borderId="10" xfId="3" applyNumberFormat="1" applyFont="1" applyFill="1" applyBorder="1" applyAlignment="1">
      <alignment horizontal="left" vertical="center"/>
    </xf>
    <xf numFmtId="168" fontId="6" fillId="8" borderId="10" xfId="0" applyNumberFormat="1" applyFont="1" applyFill="1" applyBorder="1" applyAlignment="1">
      <alignment horizontal="right" vertical="center"/>
    </xf>
    <xf numFmtId="167" fontId="6" fillId="8" borderId="10" xfId="3" applyNumberFormat="1" applyFont="1" applyFill="1" applyBorder="1" applyAlignment="1">
      <alignment horizontal="right" vertical="center"/>
    </xf>
    <xf numFmtId="10" fontId="10" fillId="8" borderId="0" xfId="1" applyNumberFormat="1" applyFont="1" applyFill="1"/>
    <xf numFmtId="0" fontId="6" fillId="8" borderId="1" xfId="3" applyNumberFormat="1" applyFont="1" applyFill="1" applyBorder="1" applyAlignment="1">
      <alignment horizontal="left" vertical="center"/>
    </xf>
    <xf numFmtId="0" fontId="0" fillId="8" borderId="1" xfId="0" applyFill="1" applyBorder="1"/>
    <xf numFmtId="167" fontId="6" fillId="8" borderId="1" xfId="3" applyNumberFormat="1" applyFont="1" applyFill="1" applyBorder="1" applyAlignment="1">
      <alignment horizontal="right" vertical="center"/>
    </xf>
    <xf numFmtId="168" fontId="6" fillId="8" borderId="1" xfId="0" applyNumberFormat="1" applyFont="1" applyFill="1" applyBorder="1" applyAlignment="1">
      <alignment horizontal="right" vertical="center"/>
    </xf>
    <xf numFmtId="0" fontId="6" fillId="8" borderId="12" xfId="3" applyNumberFormat="1" applyFont="1" applyFill="1" applyBorder="1" applyAlignment="1">
      <alignment horizontal="left" vertical="center"/>
    </xf>
    <xf numFmtId="167" fontId="6" fillId="8" borderId="12" xfId="3" applyNumberFormat="1" applyFont="1" applyFill="1" applyBorder="1" applyAlignment="1">
      <alignment horizontal="right" vertical="center"/>
    </xf>
    <xf numFmtId="0" fontId="14" fillId="11" borderId="0" xfId="2" applyNumberFormat="1" applyFont="1" applyFill="1" applyBorder="1" applyAlignment="1">
      <alignment vertical="center"/>
    </xf>
    <xf numFmtId="0" fontId="0" fillId="11" borderId="0" xfId="0" applyFill="1"/>
    <xf numFmtId="166" fontId="6" fillId="11" borderId="0" xfId="1" applyNumberFormat="1" applyFont="1" applyFill="1" applyBorder="1" applyAlignment="1">
      <alignment horizontal="right" vertical="center"/>
    </xf>
    <xf numFmtId="0" fontId="10" fillId="11" borderId="0" xfId="0" applyFont="1" applyFill="1"/>
    <xf numFmtId="0" fontId="18" fillId="11" borderId="0" xfId="0" applyFont="1" applyFill="1"/>
    <xf numFmtId="177" fontId="29" fillId="11" borderId="0" xfId="1" applyNumberFormat="1" applyFont="1" applyFill="1" applyBorder="1" applyAlignment="1">
      <alignment horizontal="right" vertical="center"/>
    </xf>
    <xf numFmtId="0" fontId="18" fillId="11" borderId="3" xfId="0" applyFont="1" applyFill="1" applyBorder="1"/>
    <xf numFmtId="10" fontId="29" fillId="11" borderId="3" xfId="1" applyNumberFormat="1" applyFont="1" applyFill="1" applyBorder="1" applyAlignment="1">
      <alignment horizontal="right" vertical="center"/>
    </xf>
    <xf numFmtId="177" fontId="12" fillId="11" borderId="3" xfId="0" applyNumberFormat="1" applyFont="1" applyFill="1" applyBorder="1"/>
    <xf numFmtId="167" fontId="6" fillId="11" borderId="0" xfId="3" applyNumberFormat="1" applyFont="1" applyFill="1" applyBorder="1" applyAlignment="1">
      <alignment horizontal="right" vertical="center"/>
    </xf>
    <xf numFmtId="4" fontId="10" fillId="11" borderId="0" xfId="0" applyNumberFormat="1" applyFont="1" applyFill="1"/>
    <xf numFmtId="0" fontId="6" fillId="11" borderId="3" xfId="3" applyNumberFormat="1" applyFont="1" applyFill="1" applyBorder="1" applyAlignment="1">
      <alignment horizontal="left" vertical="center"/>
    </xf>
    <xf numFmtId="0" fontId="0" fillId="11" borderId="3" xfId="0" applyFill="1" applyBorder="1"/>
    <xf numFmtId="168" fontId="6" fillId="11" borderId="3" xfId="0" applyNumberFormat="1" applyFont="1" applyFill="1" applyBorder="1" applyAlignment="1">
      <alignment horizontal="right" vertical="center"/>
    </xf>
    <xf numFmtId="167" fontId="6" fillId="11" borderId="3" xfId="3" applyNumberFormat="1" applyFont="1" applyFill="1" applyBorder="1" applyAlignment="1">
      <alignment horizontal="right" vertical="center"/>
    </xf>
    <xf numFmtId="4" fontId="10" fillId="11" borderId="3" xfId="0" applyNumberFormat="1" applyFont="1" applyFill="1" applyBorder="1"/>
    <xf numFmtId="0" fontId="15" fillId="11" borderId="20" xfId="3" applyNumberFormat="1" applyFont="1" applyFill="1" applyBorder="1" applyAlignment="1">
      <alignment horizontal="left" vertical="center"/>
    </xf>
    <xf numFmtId="0" fontId="5" fillId="11" borderId="20" xfId="0" applyFont="1" applyFill="1" applyBorder="1"/>
    <xf numFmtId="168" fontId="15" fillId="11" borderId="20" xfId="0" applyNumberFormat="1" applyFont="1" applyFill="1" applyBorder="1" applyAlignment="1">
      <alignment horizontal="right" vertical="center"/>
    </xf>
    <xf numFmtId="167" fontId="15" fillId="11" borderId="20" xfId="3" applyNumberFormat="1" applyFont="1" applyFill="1" applyBorder="1" applyAlignment="1">
      <alignment horizontal="right" vertical="center"/>
    </xf>
    <xf numFmtId="4" fontId="11" fillId="11" borderId="20" xfId="0" applyNumberFormat="1" applyFont="1" applyFill="1" applyBorder="1"/>
    <xf numFmtId="167" fontId="30" fillId="11" borderId="0" xfId="3" applyNumberFormat="1" applyFont="1" applyFill="1" applyBorder="1" applyAlignment="1">
      <alignment horizontal="right" vertical="center"/>
    </xf>
    <xf numFmtId="167" fontId="30" fillId="11" borderId="3" xfId="3" applyNumberFormat="1" applyFont="1" applyFill="1" applyBorder="1" applyAlignment="1">
      <alignment horizontal="right" vertical="center"/>
    </xf>
    <xf numFmtId="173" fontId="15" fillId="11" borderId="20" xfId="0" applyNumberFormat="1" applyFont="1" applyFill="1" applyBorder="1" applyAlignment="1">
      <alignment horizontal="right" vertical="center"/>
    </xf>
    <xf numFmtId="167" fontId="31" fillId="11" borderId="20" xfId="3" applyNumberFormat="1" applyFont="1" applyFill="1" applyBorder="1" applyAlignment="1">
      <alignment horizontal="right" vertical="center"/>
    </xf>
    <xf numFmtId="1" fontId="10" fillId="11" borderId="0" xfId="0" applyNumberFormat="1" applyFont="1" applyFill="1"/>
    <xf numFmtId="168" fontId="6" fillId="11" borderId="3" xfId="3" applyNumberFormat="1" applyFont="1" applyFill="1" applyBorder="1" applyAlignment="1">
      <alignment horizontal="right" vertical="center"/>
    </xf>
    <xf numFmtId="1" fontId="10" fillId="11" borderId="3" xfId="0" applyNumberFormat="1" applyFont="1" applyFill="1" applyBorder="1"/>
    <xf numFmtId="0" fontId="10" fillId="11" borderId="3" xfId="0" applyFont="1" applyFill="1" applyBorder="1"/>
    <xf numFmtId="0" fontId="15" fillId="11" borderId="22" xfId="3" applyNumberFormat="1" applyFont="1" applyFill="1" applyBorder="1" applyAlignment="1">
      <alignment horizontal="left" vertical="center" wrapText="1"/>
    </xf>
    <xf numFmtId="0" fontId="15" fillId="11" borderId="0" xfId="3" applyNumberFormat="1" applyFont="1" applyFill="1" applyBorder="1" applyAlignment="1">
      <alignment vertical="center"/>
    </xf>
    <xf numFmtId="0" fontId="15" fillId="11" borderId="0" xfId="0" applyNumberFormat="1" applyFont="1" applyFill="1" applyBorder="1" applyAlignment="1">
      <alignment horizontal="right" vertical="center"/>
    </xf>
    <xf numFmtId="0" fontId="15" fillId="11" borderId="0" xfId="3" applyNumberFormat="1" applyFont="1" applyFill="1" applyBorder="1" applyAlignment="1">
      <alignment horizontal="right" vertical="center"/>
    </xf>
    <xf numFmtId="167" fontId="15" fillId="11" borderId="0" xfId="3" applyNumberFormat="1" applyFont="1" applyFill="1" applyBorder="1" applyAlignment="1">
      <alignment horizontal="right" vertical="center"/>
    </xf>
    <xf numFmtId="0" fontId="6" fillId="11" borderId="10" xfId="3" applyNumberFormat="1" applyFont="1" applyFill="1" applyBorder="1" applyAlignment="1">
      <alignment horizontal="left" vertical="center"/>
    </xf>
    <xf numFmtId="168" fontId="6" fillId="12" borderId="10" xfId="0" applyNumberFormat="1" applyFont="1" applyFill="1" applyBorder="1" applyAlignment="1">
      <alignment horizontal="right" vertical="center"/>
    </xf>
    <xf numFmtId="169" fontId="6" fillId="12" borderId="10" xfId="3" applyNumberFormat="1" applyFont="1" applyFill="1" applyBorder="1" applyAlignment="1">
      <alignment horizontal="right" vertical="center"/>
    </xf>
    <xf numFmtId="169" fontId="6" fillId="11" borderId="10" xfId="3" applyNumberFormat="1" applyFont="1" applyFill="1" applyBorder="1" applyAlignment="1">
      <alignment horizontal="right" vertical="center"/>
    </xf>
    <xf numFmtId="170" fontId="6" fillId="11" borderId="10" xfId="3" applyNumberFormat="1" applyFont="1" applyFill="1" applyBorder="1" applyAlignment="1">
      <alignment horizontal="right" vertical="center"/>
    </xf>
    <xf numFmtId="0" fontId="29" fillId="11" borderId="4" xfId="3" applyNumberFormat="1" applyFont="1" applyFill="1" applyBorder="1" applyAlignment="1">
      <alignment horizontal="left" vertical="center"/>
    </xf>
    <xf numFmtId="0" fontId="18" fillId="11" borderId="4" xfId="0" applyFont="1" applyFill="1" applyBorder="1"/>
    <xf numFmtId="166" fontId="29" fillId="11" borderId="4" xfId="1" applyNumberFormat="1" applyFont="1" applyFill="1" applyBorder="1" applyAlignment="1">
      <alignment horizontal="right" vertical="center"/>
    </xf>
    <xf numFmtId="166" fontId="12" fillId="11" borderId="4" xfId="1" applyNumberFormat="1" applyFont="1" applyFill="1" applyBorder="1"/>
    <xf numFmtId="0" fontId="15" fillId="11" borderId="0" xfId="3" applyNumberFormat="1" applyFont="1" applyFill="1" applyBorder="1" applyAlignment="1">
      <alignment horizontal="left" vertical="center"/>
    </xf>
    <xf numFmtId="168" fontId="15" fillId="11" borderId="0" xfId="0" applyNumberFormat="1" applyFont="1" applyFill="1" applyBorder="1" applyAlignment="1">
      <alignment horizontal="right" vertical="center"/>
    </xf>
    <xf numFmtId="167" fontId="6" fillId="11" borderId="9" xfId="3" applyNumberFormat="1" applyFont="1" applyFill="1" applyBorder="1" applyAlignment="1">
      <alignment horizontal="right" vertical="center"/>
    </xf>
    <xf numFmtId="4" fontId="12" fillId="11" borderId="0" xfId="0" applyNumberFormat="1" applyFont="1" applyFill="1"/>
    <xf numFmtId="0" fontId="6" fillId="11" borderId="12" xfId="3" applyNumberFormat="1" applyFont="1" applyFill="1" applyBorder="1" applyAlignment="1">
      <alignment horizontal="left" vertical="center"/>
    </xf>
    <xf numFmtId="167" fontId="6" fillId="11" borderId="12" xfId="3" applyNumberFormat="1" applyFont="1" applyFill="1" applyBorder="1" applyAlignment="1">
      <alignment horizontal="right" vertical="center"/>
    </xf>
    <xf numFmtId="0" fontId="6" fillId="11" borderId="9" xfId="3" applyNumberFormat="1" applyFont="1" applyFill="1" applyBorder="1" applyAlignment="1">
      <alignment horizontal="left" vertical="center" wrapText="1"/>
    </xf>
    <xf numFmtId="3" fontId="6" fillId="11" borderId="8" xfId="0" applyNumberFormat="1" applyFont="1" applyFill="1" applyBorder="1" applyAlignment="1">
      <alignment vertical="center"/>
    </xf>
    <xf numFmtId="167" fontId="6" fillId="11" borderId="9" xfId="3" applyNumberFormat="1" applyFont="1" applyFill="1" applyBorder="1" applyAlignment="1">
      <alignment vertical="center"/>
    </xf>
    <xf numFmtId="0" fontId="6" fillId="11" borderId="12" xfId="3" applyNumberFormat="1" applyFont="1" applyFill="1" applyBorder="1" applyAlignment="1">
      <alignment horizontal="left" vertical="center" wrapText="1"/>
    </xf>
    <xf numFmtId="171" fontId="6" fillId="11" borderId="17" xfId="0" applyNumberFormat="1" applyFont="1" applyFill="1" applyBorder="1" applyAlignment="1">
      <alignment vertical="center"/>
    </xf>
    <xf numFmtId="169" fontId="6" fillId="11" borderId="12" xfId="3" applyNumberFormat="1" applyFont="1" applyFill="1" applyBorder="1" applyAlignment="1">
      <alignment vertical="center"/>
    </xf>
    <xf numFmtId="169" fontId="6" fillId="11" borderId="12" xfId="3" applyNumberFormat="1" applyFont="1" applyFill="1" applyBorder="1" applyAlignment="1">
      <alignment horizontal="right" vertical="center"/>
    </xf>
    <xf numFmtId="0" fontId="6" fillId="11" borderId="0" xfId="3" applyNumberFormat="1" applyFont="1" applyFill="1" applyBorder="1" applyAlignment="1">
      <alignment horizontal="left" vertical="center" wrapText="1"/>
    </xf>
    <xf numFmtId="171" fontId="6" fillId="11" borderId="0" xfId="0" applyNumberFormat="1" applyFont="1" applyFill="1" applyBorder="1" applyAlignment="1">
      <alignment vertical="center"/>
    </xf>
    <xf numFmtId="171" fontId="6" fillId="11" borderId="0" xfId="3" applyNumberFormat="1" applyFont="1" applyFill="1" applyBorder="1" applyAlignment="1">
      <alignment vertical="center"/>
    </xf>
    <xf numFmtId="0" fontId="6" fillId="11" borderId="0" xfId="3" applyNumberFormat="1" applyFont="1" applyFill="1" applyBorder="1" applyAlignment="1">
      <alignment horizontal="left" vertical="center"/>
    </xf>
    <xf numFmtId="0" fontId="14" fillId="14" borderId="0" xfId="2" applyNumberFormat="1" applyFont="1" applyFill="1" applyBorder="1" applyAlignment="1">
      <alignment vertical="center"/>
    </xf>
    <xf numFmtId="0" fontId="0" fillId="14" borderId="0" xfId="0" applyFill="1"/>
    <xf numFmtId="166" fontId="6" fillId="14" borderId="0" xfId="1" applyNumberFormat="1" applyFont="1" applyFill="1" applyBorder="1" applyAlignment="1">
      <alignment horizontal="right" vertical="center"/>
    </xf>
    <xf numFmtId="0" fontId="10" fillId="14" borderId="0" xfId="0" applyFont="1" applyFill="1"/>
    <xf numFmtId="0" fontId="18" fillId="14" borderId="0" xfId="0" applyFont="1" applyFill="1"/>
    <xf numFmtId="10" fontId="29" fillId="14" borderId="0" xfId="1" applyNumberFormat="1" applyFont="1" applyFill="1" applyBorder="1" applyAlignment="1">
      <alignment horizontal="right" vertical="center"/>
    </xf>
    <xf numFmtId="10" fontId="12" fillId="14" borderId="0" xfId="0" applyNumberFormat="1" applyFont="1" applyFill="1"/>
    <xf numFmtId="0" fontId="18" fillId="14" borderId="3" xfId="0" applyFont="1" applyFill="1" applyBorder="1"/>
    <xf numFmtId="10" fontId="29" fillId="14" borderId="3" xfId="1" applyNumberFormat="1" applyFont="1" applyFill="1" applyBorder="1" applyAlignment="1">
      <alignment horizontal="right" vertical="center"/>
    </xf>
    <xf numFmtId="10" fontId="12" fillId="14" borderId="3" xfId="0" applyNumberFormat="1" applyFont="1" applyFill="1" applyBorder="1"/>
    <xf numFmtId="167" fontId="6" fillId="14" borderId="0" xfId="3" applyNumberFormat="1" applyFont="1" applyFill="1" applyBorder="1" applyAlignment="1">
      <alignment horizontal="right" vertical="center"/>
    </xf>
    <xf numFmtId="2" fontId="10" fillId="14" borderId="0" xfId="0" applyNumberFormat="1" applyFont="1" applyFill="1"/>
    <xf numFmtId="0" fontId="6" fillId="14" borderId="3" xfId="3" applyNumberFormat="1" applyFont="1" applyFill="1" applyBorder="1" applyAlignment="1">
      <alignment horizontal="left" vertical="center"/>
    </xf>
    <xf numFmtId="0" fontId="0" fillId="14" borderId="3" xfId="0" applyFill="1" applyBorder="1"/>
    <xf numFmtId="167" fontId="6" fillId="14" borderId="3" xfId="3" applyNumberFormat="1" applyFont="1" applyFill="1" applyBorder="1" applyAlignment="1">
      <alignment horizontal="right" vertical="center"/>
    </xf>
    <xf numFmtId="2" fontId="10" fillId="14" borderId="3" xfId="0" applyNumberFormat="1" applyFont="1" applyFill="1" applyBorder="1"/>
    <xf numFmtId="0" fontId="15" fillId="14" borderId="4" xfId="3" applyNumberFormat="1" applyFont="1" applyFill="1" applyBorder="1" applyAlignment="1">
      <alignment horizontal="left" vertical="center"/>
    </xf>
    <xf numFmtId="0" fontId="5" fillId="14" borderId="4" xfId="0" applyFont="1" applyFill="1" applyBorder="1"/>
    <xf numFmtId="168" fontId="15" fillId="14" borderId="4" xfId="0" applyNumberFormat="1" applyFont="1" applyFill="1" applyBorder="1" applyAlignment="1">
      <alignment horizontal="right" vertical="center"/>
    </xf>
    <xf numFmtId="167" fontId="15" fillId="14" borderId="4" xfId="3" applyNumberFormat="1" applyFont="1" applyFill="1" applyBorder="1" applyAlignment="1">
      <alignment horizontal="right" vertical="center"/>
    </xf>
    <xf numFmtId="167" fontId="30" fillId="14" borderId="0" xfId="3" applyNumberFormat="1" applyFont="1" applyFill="1" applyBorder="1" applyAlignment="1">
      <alignment horizontal="right" vertical="center"/>
    </xf>
    <xf numFmtId="168" fontId="6" fillId="14" borderId="3" xfId="0" applyNumberFormat="1" applyFont="1" applyFill="1" applyBorder="1" applyAlignment="1">
      <alignment horizontal="right" vertical="center"/>
    </xf>
    <xf numFmtId="167" fontId="30" fillId="14" borderId="3" xfId="3" applyNumberFormat="1" applyFont="1" applyFill="1" applyBorder="1" applyAlignment="1">
      <alignment horizontal="right" vertical="center"/>
    </xf>
    <xf numFmtId="0" fontId="6" fillId="14" borderId="0" xfId="3" applyNumberFormat="1" applyFont="1" applyFill="1" applyBorder="1" applyAlignment="1">
      <alignment horizontal="left" vertical="center"/>
    </xf>
    <xf numFmtId="168" fontId="6" fillId="14" borderId="0" xfId="0" quotePrefix="1" applyNumberFormat="1" applyFont="1" applyFill="1" applyBorder="1" applyAlignment="1">
      <alignment horizontal="right" vertical="center"/>
    </xf>
    <xf numFmtId="167" fontId="6" fillId="14" borderId="0" xfId="3" quotePrefix="1" applyNumberFormat="1" applyFont="1" applyFill="1" applyBorder="1" applyAlignment="1">
      <alignment horizontal="right" vertical="center"/>
    </xf>
    <xf numFmtId="1" fontId="10" fillId="14" borderId="0" xfId="0" applyNumberFormat="1" applyFont="1" applyFill="1"/>
    <xf numFmtId="0" fontId="0" fillId="14" borderId="0" xfId="0" applyFill="1" applyBorder="1"/>
    <xf numFmtId="168" fontId="6" fillId="14" borderId="0" xfId="0" applyNumberFormat="1" applyFont="1" applyFill="1" applyBorder="1" applyAlignment="1">
      <alignment horizontal="right" vertical="center"/>
    </xf>
    <xf numFmtId="1" fontId="10" fillId="14" borderId="0" xfId="0" applyNumberFormat="1" applyFont="1" applyFill="1" applyBorder="1"/>
    <xf numFmtId="172" fontId="6" fillId="14" borderId="0" xfId="0" applyNumberFormat="1" applyFont="1" applyFill="1" applyBorder="1" applyAlignment="1">
      <alignment horizontal="right" vertical="center"/>
    </xf>
    <xf numFmtId="168" fontId="6" fillId="14" borderId="3" xfId="3" applyNumberFormat="1" applyFont="1" applyFill="1" applyBorder="1" applyAlignment="1">
      <alignment horizontal="right" vertical="center"/>
    </xf>
    <xf numFmtId="0" fontId="10" fillId="14" borderId="3" xfId="0" applyFont="1" applyFill="1" applyBorder="1"/>
    <xf numFmtId="0" fontId="15" fillId="14" borderId="20" xfId="3" applyNumberFormat="1" applyFont="1" applyFill="1" applyBorder="1" applyAlignment="1">
      <alignment horizontal="left" vertical="center" wrapText="1"/>
    </xf>
    <xf numFmtId="0" fontId="5" fillId="14" borderId="20" xfId="0" applyFont="1" applyFill="1" applyBorder="1"/>
    <xf numFmtId="0" fontId="15" fillId="14" borderId="23" xfId="3" applyNumberFormat="1" applyFont="1" applyFill="1" applyBorder="1" applyAlignment="1">
      <alignment vertical="center"/>
    </xf>
    <xf numFmtId="0" fontId="0" fillId="14" borderId="23" xfId="0" applyFill="1" applyBorder="1"/>
    <xf numFmtId="0" fontId="15" fillId="14" borderId="23" xfId="3" applyNumberFormat="1" applyFont="1" applyFill="1" applyBorder="1" applyAlignment="1">
      <alignment horizontal="right" vertical="center"/>
    </xf>
    <xf numFmtId="0" fontId="10" fillId="14" borderId="23" xfId="0" applyFont="1" applyFill="1" applyBorder="1"/>
    <xf numFmtId="0" fontId="6" fillId="14" borderId="0" xfId="3" applyNumberFormat="1" applyFont="1" applyFill="1" applyBorder="1" applyAlignment="1">
      <alignment horizontal="left" vertical="center" wrapText="1"/>
    </xf>
    <xf numFmtId="167" fontId="6" fillId="14" borderId="7" xfId="3" applyNumberFormat="1" applyFont="1" applyFill="1" applyBorder="1" applyAlignment="1">
      <alignment horizontal="right" vertical="center"/>
    </xf>
    <xf numFmtId="0" fontId="6" fillId="14" borderId="12" xfId="3" applyNumberFormat="1" applyFont="1" applyFill="1" applyBorder="1" applyAlignment="1">
      <alignment horizontal="left" vertical="center"/>
    </xf>
    <xf numFmtId="0" fontId="15" fillId="14" borderId="0" xfId="3" applyNumberFormat="1" applyFont="1" applyFill="1" applyBorder="1" applyAlignment="1">
      <alignment vertical="center"/>
    </xf>
    <xf numFmtId="0" fontId="15" fillId="14" borderId="0" xfId="3" applyNumberFormat="1" applyFont="1" applyFill="1" applyBorder="1" applyAlignment="1">
      <alignment horizontal="right" vertical="center"/>
    </xf>
    <xf numFmtId="168" fontId="15" fillId="14" borderId="0" xfId="0" applyNumberFormat="1" applyFont="1" applyFill="1" applyBorder="1" applyAlignment="1">
      <alignment horizontal="right" vertical="center"/>
    </xf>
    <xf numFmtId="167" fontId="15" fillId="14" borderId="0" xfId="3" applyNumberFormat="1" applyFont="1" applyFill="1" applyBorder="1" applyAlignment="1">
      <alignment horizontal="right" vertical="center"/>
    </xf>
    <xf numFmtId="0" fontId="6" fillId="14" borderId="21" xfId="3" applyNumberFormat="1" applyFont="1" applyFill="1" applyBorder="1" applyAlignment="1">
      <alignment horizontal="left" vertical="center"/>
    </xf>
    <xf numFmtId="168" fontId="6" fillId="14" borderId="21" xfId="0" applyNumberFormat="1" applyFont="1" applyFill="1" applyBorder="1" applyAlignment="1">
      <alignment horizontal="right" vertical="center"/>
    </xf>
    <xf numFmtId="167" fontId="6" fillId="14" borderId="21" xfId="3" applyNumberFormat="1" applyFont="1" applyFill="1" applyBorder="1" applyAlignment="1">
      <alignment horizontal="right" vertical="center"/>
    </xf>
    <xf numFmtId="4" fontId="10" fillId="14" borderId="3" xfId="0" applyNumberFormat="1" applyFont="1" applyFill="1" applyBorder="1"/>
    <xf numFmtId="0" fontId="6" fillId="14" borderId="7" xfId="3" applyNumberFormat="1" applyFont="1" applyFill="1" applyBorder="1" applyAlignment="1">
      <alignment horizontal="left" vertical="center"/>
    </xf>
    <xf numFmtId="168" fontId="6" fillId="14" borderId="7" xfId="0" applyNumberFormat="1" applyFont="1" applyFill="1" applyBorder="1" applyAlignment="1">
      <alignment horizontal="right" vertical="center"/>
    </xf>
    <xf numFmtId="0" fontId="29" fillId="14" borderId="21" xfId="3" applyNumberFormat="1" applyFont="1" applyFill="1" applyBorder="1" applyAlignment="1">
      <alignment horizontal="left" vertical="center" indent="1"/>
    </xf>
    <xf numFmtId="166" fontId="6" fillId="14" borderId="21" xfId="1" applyNumberFormat="1" applyFont="1" applyFill="1" applyBorder="1" applyAlignment="1">
      <alignment horizontal="right" vertical="center"/>
    </xf>
    <xf numFmtId="0" fontId="29" fillId="14" borderId="3" xfId="3" applyNumberFormat="1" applyFont="1" applyFill="1" applyBorder="1" applyAlignment="1">
      <alignment horizontal="left" vertical="center" indent="1"/>
    </xf>
    <xf numFmtId="166" fontId="29" fillId="14" borderId="3" xfId="1" applyNumberFormat="1" applyFont="1" applyFill="1" applyBorder="1" applyAlignment="1">
      <alignment horizontal="right" vertical="center"/>
    </xf>
    <xf numFmtId="166" fontId="12" fillId="14" borderId="3" xfId="0" applyNumberFormat="1" applyFont="1" applyFill="1" applyBorder="1"/>
    <xf numFmtId="168" fontId="6" fillId="15" borderId="12" xfId="0" applyNumberFormat="1" applyFont="1" applyFill="1" applyBorder="1" applyAlignment="1">
      <alignment horizontal="right" vertical="center"/>
    </xf>
    <xf numFmtId="167" fontId="6" fillId="15" borderId="12" xfId="3" applyNumberFormat="1" applyFont="1" applyFill="1" applyBorder="1" applyAlignment="1">
      <alignment horizontal="right" vertical="center"/>
    </xf>
    <xf numFmtId="167" fontId="6" fillId="14" borderId="12" xfId="3" applyNumberFormat="1" applyFont="1" applyFill="1" applyBorder="1" applyAlignment="1">
      <alignment horizontal="right" vertical="center"/>
    </xf>
    <xf numFmtId="0" fontId="15" fillId="14" borderId="0" xfId="3" applyNumberFormat="1" applyFont="1" applyFill="1" applyBorder="1" applyAlignment="1">
      <alignment horizontal="left" vertical="center"/>
    </xf>
    <xf numFmtId="0" fontId="6" fillId="14" borderId="1" xfId="3" applyNumberFormat="1" applyFont="1" applyFill="1" applyBorder="1" applyAlignment="1">
      <alignment horizontal="left" vertical="center"/>
    </xf>
    <xf numFmtId="0" fontId="0" fillId="14" borderId="1" xfId="0" applyFill="1" applyBorder="1"/>
    <xf numFmtId="168" fontId="6" fillId="15" borderId="1" xfId="0" applyNumberFormat="1" applyFont="1" applyFill="1" applyBorder="1" applyAlignment="1">
      <alignment horizontal="right" vertical="center"/>
    </xf>
    <xf numFmtId="172" fontId="6" fillId="15" borderId="1" xfId="3" applyNumberFormat="1" applyFont="1" applyFill="1" applyBorder="1" applyAlignment="1">
      <alignment horizontal="right" vertical="center"/>
    </xf>
    <xf numFmtId="169" fontId="6" fillId="14" borderId="1" xfId="3" applyNumberFormat="1" applyFont="1" applyFill="1" applyBorder="1" applyAlignment="1">
      <alignment horizontal="right" vertical="center"/>
    </xf>
    <xf numFmtId="170" fontId="6" fillId="14" borderId="1" xfId="3" applyNumberFormat="1" applyFont="1" applyFill="1" applyBorder="1" applyAlignment="1">
      <alignment horizontal="right" vertical="center"/>
    </xf>
    <xf numFmtId="0" fontId="10" fillId="14" borderId="1" xfId="0" applyFont="1" applyFill="1" applyBorder="1"/>
    <xf numFmtId="0" fontId="29" fillId="14" borderId="4" xfId="3" applyNumberFormat="1" applyFont="1" applyFill="1" applyBorder="1" applyAlignment="1">
      <alignment horizontal="left" vertical="center"/>
    </xf>
    <xf numFmtId="0" fontId="18" fillId="14" borderId="4" xfId="0" applyFont="1" applyFill="1" applyBorder="1"/>
    <xf numFmtId="166" fontId="29" fillId="14" borderId="4" xfId="1" applyNumberFormat="1" applyFont="1" applyFill="1" applyBorder="1" applyAlignment="1">
      <alignment horizontal="right" vertical="center"/>
    </xf>
    <xf numFmtId="166" fontId="12" fillId="14" borderId="4" xfId="1" applyNumberFormat="1" applyFont="1" applyFill="1" applyBorder="1"/>
    <xf numFmtId="0" fontId="6" fillId="14" borderId="9" xfId="3" applyNumberFormat="1" applyFont="1" applyFill="1" applyBorder="1" applyAlignment="1">
      <alignment horizontal="left" vertical="center" wrapText="1"/>
    </xf>
    <xf numFmtId="3" fontId="6" fillId="14" borderId="8" xfId="0" applyNumberFormat="1" applyFont="1" applyFill="1" applyBorder="1" applyAlignment="1">
      <alignment vertical="center"/>
    </xf>
    <xf numFmtId="167" fontId="6" fillId="14" borderId="9" xfId="3" applyNumberFormat="1" applyFont="1" applyFill="1" applyBorder="1" applyAlignment="1">
      <alignment vertical="center"/>
    </xf>
    <xf numFmtId="167" fontId="6" fillId="14" borderId="9" xfId="3" applyNumberFormat="1" applyFont="1" applyFill="1" applyBorder="1" applyAlignment="1">
      <alignment horizontal="right" vertical="center"/>
    </xf>
    <xf numFmtId="0" fontId="6" fillId="14" borderId="12" xfId="3" applyNumberFormat="1" applyFont="1" applyFill="1" applyBorder="1" applyAlignment="1">
      <alignment horizontal="left" vertical="center" wrapText="1"/>
    </xf>
    <xf numFmtId="171" fontId="6" fillId="14" borderId="17" xfId="0" applyNumberFormat="1" applyFont="1" applyFill="1" applyBorder="1" applyAlignment="1">
      <alignment vertical="center"/>
    </xf>
    <xf numFmtId="171" fontId="6" fillId="14" borderId="12" xfId="3" applyNumberFormat="1" applyFont="1" applyFill="1" applyBorder="1" applyAlignment="1">
      <alignment vertical="center"/>
    </xf>
    <xf numFmtId="171" fontId="6" fillId="14" borderId="12" xfId="3" applyNumberFormat="1" applyFont="1" applyFill="1" applyBorder="1" applyAlignment="1">
      <alignment horizontal="right" vertical="center"/>
    </xf>
    <xf numFmtId="171" fontId="6" fillId="14" borderId="0" xfId="3" applyNumberFormat="1" applyFont="1" applyFill="1" applyBorder="1" applyAlignment="1">
      <alignment vertical="center"/>
    </xf>
    <xf numFmtId="0" fontId="14" fillId="14" borderId="14" xfId="2" applyNumberFormat="1" applyFont="1" applyFill="1" applyBorder="1" applyAlignment="1">
      <alignment vertical="center"/>
    </xf>
    <xf numFmtId="167" fontId="15" fillId="14" borderId="14" xfId="3" applyNumberFormat="1" applyFont="1" applyFill="1" applyBorder="1" applyAlignment="1">
      <alignment horizontal="right" vertical="center"/>
    </xf>
    <xf numFmtId="0" fontId="14" fillId="17" borderId="0" xfId="2" applyNumberFormat="1" applyFont="1" applyFill="1" applyBorder="1" applyAlignment="1">
      <alignment vertical="center"/>
    </xf>
    <xf numFmtId="0" fontId="0" fillId="17" borderId="0" xfId="0" applyFill="1"/>
    <xf numFmtId="166" fontId="6" fillId="17" borderId="0" xfId="1" applyNumberFormat="1" applyFont="1" applyFill="1" applyBorder="1" applyAlignment="1">
      <alignment horizontal="right" vertical="center"/>
    </xf>
    <xf numFmtId="0" fontId="10" fillId="17" borderId="0" xfId="0" applyFont="1" applyFill="1"/>
    <xf numFmtId="0" fontId="0" fillId="17" borderId="2" xfId="0" applyFill="1" applyBorder="1"/>
    <xf numFmtId="0" fontId="6" fillId="17" borderId="7" xfId="2" applyNumberFormat="1" applyFont="1" applyFill="1" applyBorder="1" applyAlignment="1">
      <alignment horizontal="left" vertical="center"/>
    </xf>
    <xf numFmtId="0" fontId="0" fillId="17" borderId="3" xfId="0" applyFill="1" applyBorder="1"/>
    <xf numFmtId="0" fontId="10" fillId="17" borderId="3" xfId="0" applyFont="1" applyFill="1" applyBorder="1"/>
    <xf numFmtId="0" fontId="6" fillId="17" borderId="3" xfId="2" applyNumberFormat="1" applyFont="1" applyFill="1" applyBorder="1" applyAlignment="1">
      <alignment horizontal="left" vertical="center"/>
    </xf>
    <xf numFmtId="167" fontId="30" fillId="17" borderId="3" xfId="2" applyNumberFormat="1" applyFont="1" applyFill="1" applyBorder="1" applyAlignment="1">
      <alignment horizontal="right" vertical="center"/>
    </xf>
    <xf numFmtId="0" fontId="15" fillId="17" borderId="20" xfId="2" applyNumberFormat="1" applyFont="1" applyFill="1" applyBorder="1" applyAlignment="1">
      <alignment horizontal="left" vertical="center"/>
    </xf>
    <xf numFmtId="0" fontId="5" fillId="17" borderId="20" xfId="0" applyFont="1" applyFill="1" applyBorder="1"/>
    <xf numFmtId="173" fontId="15" fillId="17" borderId="20" xfId="0" applyNumberFormat="1" applyFont="1" applyFill="1" applyBorder="1" applyAlignment="1">
      <alignment horizontal="right" vertical="center"/>
    </xf>
    <xf numFmtId="167" fontId="15" fillId="17" borderId="20" xfId="3" applyNumberFormat="1" applyFont="1" applyFill="1" applyBorder="1" applyAlignment="1">
      <alignment horizontal="right" vertical="center"/>
    </xf>
    <xf numFmtId="167" fontId="11" fillId="17" borderId="20" xfId="0" applyNumberFormat="1" applyFont="1" applyFill="1" applyBorder="1"/>
    <xf numFmtId="0" fontId="6" fillId="17" borderId="0" xfId="2" applyNumberFormat="1" applyFont="1" applyFill="1" applyBorder="1" applyAlignment="1">
      <alignment horizontal="left" vertical="center"/>
    </xf>
    <xf numFmtId="0" fontId="0" fillId="17" borderId="0" xfId="0" applyFill="1" applyBorder="1"/>
    <xf numFmtId="0" fontId="15" fillId="17" borderId="22" xfId="2" applyNumberFormat="1" applyFont="1" applyFill="1" applyBorder="1" applyAlignment="1">
      <alignment horizontal="left" vertical="center"/>
    </xf>
    <xf numFmtId="0" fontId="15" fillId="17" borderId="20" xfId="2" applyNumberFormat="1" applyFont="1" applyFill="1" applyBorder="1" applyAlignment="1">
      <alignment horizontal="left" vertical="center" wrapText="1"/>
    </xf>
    <xf numFmtId="0" fontId="15" fillId="17" borderId="0" xfId="2" applyNumberFormat="1" applyFont="1" applyFill="1" applyBorder="1" applyAlignment="1">
      <alignment horizontal="left" vertical="center"/>
    </xf>
    <xf numFmtId="0" fontId="15" fillId="17" borderId="0" xfId="2" applyNumberFormat="1" applyFont="1" applyFill="1" applyBorder="1" applyAlignment="1">
      <alignment horizontal="right" vertical="center"/>
    </xf>
    <xf numFmtId="0" fontId="6" fillId="17" borderId="10" xfId="2" applyNumberFormat="1" applyFont="1" applyFill="1" applyBorder="1" applyAlignment="1">
      <alignment horizontal="left" vertical="center"/>
    </xf>
    <xf numFmtId="168" fontId="6" fillId="18" borderId="10" xfId="2" applyNumberFormat="1" applyFont="1" applyFill="1" applyBorder="1" applyAlignment="1">
      <alignment horizontal="right" vertical="center"/>
    </xf>
    <xf numFmtId="169" fontId="6" fillId="18" borderId="10" xfId="2" applyNumberFormat="1" applyFont="1" applyFill="1" applyBorder="1" applyAlignment="1">
      <alignment horizontal="right" vertical="center"/>
    </xf>
    <xf numFmtId="169" fontId="6" fillId="17" borderId="10" xfId="2" applyNumberFormat="1" applyFont="1" applyFill="1" applyBorder="1" applyAlignment="1">
      <alignment horizontal="right" vertical="center"/>
    </xf>
    <xf numFmtId="170" fontId="6" fillId="17" borderId="10" xfId="2" applyNumberFormat="1" applyFont="1" applyFill="1" applyBorder="1" applyAlignment="1">
      <alignment horizontal="right" vertical="center"/>
    </xf>
    <xf numFmtId="0" fontId="15" fillId="17" borderId="0" xfId="2" applyNumberFormat="1" applyFont="1" applyFill="1" applyBorder="1" applyAlignment="1">
      <alignment vertical="center"/>
    </xf>
    <xf numFmtId="0" fontId="6" fillId="17" borderId="9" xfId="2" applyNumberFormat="1" applyFont="1" applyFill="1" applyBorder="1" applyAlignment="1">
      <alignment horizontal="left" vertical="center"/>
    </xf>
    <xf numFmtId="168" fontId="6" fillId="17" borderId="9" xfId="2" applyNumberFormat="1" applyFont="1" applyFill="1" applyBorder="1" applyAlignment="1">
      <alignment horizontal="right" vertical="center"/>
    </xf>
    <xf numFmtId="167" fontId="6" fillId="17" borderId="9" xfId="2" applyNumberFormat="1" applyFont="1" applyFill="1" applyBorder="1" applyAlignment="1">
      <alignment horizontal="right" vertical="center"/>
    </xf>
    <xf numFmtId="167" fontId="6" fillId="17" borderId="10" xfId="2" applyNumberFormat="1" applyFont="1" applyFill="1" applyBorder="1" applyAlignment="1">
      <alignment horizontal="right" vertical="center"/>
    </xf>
    <xf numFmtId="0" fontId="6" fillId="17" borderId="8" xfId="2" applyNumberFormat="1" applyFont="1" applyFill="1" applyBorder="1" applyAlignment="1">
      <alignment horizontal="left" vertical="center"/>
    </xf>
    <xf numFmtId="167" fontId="6" fillId="17" borderId="15" xfId="2" applyNumberFormat="1" applyFont="1" applyFill="1" applyBorder="1" applyAlignment="1">
      <alignment horizontal="right" vertical="center"/>
    </xf>
    <xf numFmtId="167" fontId="6" fillId="17" borderId="16" xfId="2" applyNumberFormat="1" applyFont="1" applyFill="1" applyBorder="1" applyAlignment="1">
      <alignment horizontal="right" vertical="center"/>
    </xf>
    <xf numFmtId="167" fontId="15" fillId="17" borderId="0" xfId="3" applyNumberFormat="1" applyFont="1" applyFill="1" applyBorder="1" applyAlignment="1">
      <alignment horizontal="right" vertical="center"/>
    </xf>
    <xf numFmtId="0" fontId="6" fillId="17" borderId="9" xfId="3" applyNumberFormat="1" applyFont="1" applyFill="1" applyBorder="1" applyAlignment="1">
      <alignment horizontal="left" vertical="center" wrapText="1"/>
    </xf>
    <xf numFmtId="3" fontId="6" fillId="17" borderId="8" xfId="0" applyNumberFormat="1" applyFont="1" applyFill="1" applyBorder="1" applyAlignment="1">
      <alignment vertical="center"/>
    </xf>
    <xf numFmtId="167" fontId="6" fillId="17" borderId="9" xfId="3" applyNumberFormat="1" applyFont="1" applyFill="1" applyBorder="1" applyAlignment="1">
      <alignment vertical="center"/>
    </xf>
    <xf numFmtId="167" fontId="6" fillId="17" borderId="9" xfId="3" applyNumberFormat="1" applyFont="1" applyFill="1" applyBorder="1" applyAlignment="1">
      <alignment horizontal="right" vertical="center"/>
    </xf>
    <xf numFmtId="0" fontId="6" fillId="17" borderId="12" xfId="3" applyNumberFormat="1" applyFont="1" applyFill="1" applyBorder="1" applyAlignment="1">
      <alignment horizontal="left" vertical="center" wrapText="1"/>
    </xf>
    <xf numFmtId="171" fontId="6" fillId="17" borderId="17" xfId="0" applyNumberFormat="1" applyFont="1" applyFill="1" applyBorder="1" applyAlignment="1">
      <alignment vertical="center"/>
    </xf>
    <xf numFmtId="171" fontId="6" fillId="17" borderId="12" xfId="3" applyNumberFormat="1" applyFont="1" applyFill="1" applyBorder="1" applyAlignment="1">
      <alignment vertical="center"/>
    </xf>
    <xf numFmtId="171" fontId="6" fillId="17" borderId="12" xfId="3" applyNumberFormat="1" applyFont="1" applyFill="1" applyBorder="1" applyAlignment="1">
      <alignment horizontal="right" vertical="center"/>
    </xf>
    <xf numFmtId="0" fontId="6" fillId="17" borderId="0" xfId="3" applyNumberFormat="1" applyFont="1" applyFill="1" applyBorder="1" applyAlignment="1">
      <alignment horizontal="left" vertical="center" wrapText="1"/>
    </xf>
    <xf numFmtId="171" fontId="6" fillId="17" borderId="0" xfId="3" applyNumberFormat="1" applyFont="1" applyFill="1" applyBorder="1" applyAlignment="1">
      <alignment vertical="center"/>
    </xf>
    <xf numFmtId="0" fontId="6" fillId="17" borderId="8" xfId="3" applyNumberFormat="1" applyFont="1" applyFill="1" applyBorder="1" applyAlignment="1">
      <alignment horizontal="left" vertical="center" wrapText="1"/>
    </xf>
    <xf numFmtId="167" fontId="6" fillId="17" borderId="0" xfId="3" applyNumberFormat="1" applyFont="1" applyFill="1" applyBorder="1" applyAlignment="1">
      <alignment vertical="center"/>
    </xf>
    <xf numFmtId="0" fontId="14" fillId="21" borderId="0" xfId="2" applyNumberFormat="1" applyFont="1" applyFill="1" applyBorder="1" applyAlignment="1">
      <alignment vertical="center"/>
    </xf>
    <xf numFmtId="0" fontId="0" fillId="21" borderId="0" xfId="0" applyFill="1"/>
    <xf numFmtId="0" fontId="11" fillId="21" borderId="0" xfId="0" applyFont="1" applyFill="1"/>
    <xf numFmtId="0" fontId="10" fillId="21" borderId="0" xfId="0" applyFont="1" applyFill="1"/>
    <xf numFmtId="0" fontId="0" fillId="21" borderId="2" xfId="0" applyFill="1" applyBorder="1"/>
    <xf numFmtId="0" fontId="6" fillId="21" borderId="0" xfId="2" applyNumberFormat="1" applyFont="1" applyFill="1" applyBorder="1" applyAlignment="1">
      <alignment horizontal="left" vertical="center"/>
    </xf>
    <xf numFmtId="2" fontId="10" fillId="21" borderId="2" xfId="0" applyNumberFormat="1" applyFont="1" applyFill="1" applyBorder="1"/>
    <xf numFmtId="0" fontId="15" fillId="21" borderId="4" xfId="2" applyNumberFormat="1" applyFont="1" applyFill="1" applyBorder="1" applyAlignment="1">
      <alignment horizontal="left" vertical="center"/>
    </xf>
    <xf numFmtId="0" fontId="5" fillId="21" borderId="4" xfId="0" applyFont="1" applyFill="1" applyBorder="1"/>
    <xf numFmtId="0" fontId="15" fillId="21" borderId="22" xfId="2" applyNumberFormat="1" applyFont="1" applyFill="1" applyBorder="1" applyAlignment="1">
      <alignment horizontal="left" vertical="center"/>
    </xf>
    <xf numFmtId="0" fontId="5" fillId="21" borderId="20" xfId="0" applyFont="1" applyFill="1" applyBorder="1"/>
    <xf numFmtId="173" fontId="15" fillId="21" borderId="22" xfId="0" applyNumberFormat="1" applyFont="1" applyFill="1" applyBorder="1" applyAlignment="1">
      <alignment horizontal="right" vertical="center"/>
    </xf>
    <xf numFmtId="167" fontId="15" fillId="21" borderId="22" xfId="3" applyNumberFormat="1" applyFont="1" applyFill="1" applyBorder="1" applyAlignment="1">
      <alignment horizontal="right" vertical="center"/>
    </xf>
    <xf numFmtId="0" fontId="11" fillId="21" borderId="20" xfId="0" applyFont="1" applyFill="1" applyBorder="1"/>
    <xf numFmtId="0" fontId="6" fillId="21" borderId="9" xfId="2" applyNumberFormat="1" applyFont="1" applyFill="1" applyBorder="1" applyAlignment="1">
      <alignment horizontal="left" vertical="center"/>
    </xf>
    <xf numFmtId="0" fontId="6" fillId="21" borderId="10" xfId="2" applyNumberFormat="1" applyFont="1" applyFill="1" applyBorder="1" applyAlignment="1">
      <alignment horizontal="left" vertical="center"/>
    </xf>
    <xf numFmtId="0" fontId="15" fillId="21" borderId="20" xfId="2" applyNumberFormat="1" applyFont="1" applyFill="1" applyBorder="1" applyAlignment="1">
      <alignment horizontal="left" vertical="center" wrapText="1"/>
    </xf>
    <xf numFmtId="0" fontId="15" fillId="21" borderId="0" xfId="2" applyNumberFormat="1" applyFont="1" applyFill="1" applyBorder="1" applyAlignment="1">
      <alignment horizontal="left" vertical="center"/>
    </xf>
    <xf numFmtId="0" fontId="15" fillId="21" borderId="0" xfId="2" applyNumberFormat="1" applyFont="1" applyFill="1" applyBorder="1" applyAlignment="1">
      <alignment horizontal="right" vertical="center"/>
    </xf>
    <xf numFmtId="168" fontId="6" fillId="22" borderId="10" xfId="2" applyNumberFormat="1" applyFont="1" applyFill="1" applyBorder="1" applyAlignment="1">
      <alignment horizontal="right" vertical="center"/>
    </xf>
    <xf numFmtId="169" fontId="6" fillId="22" borderId="10" xfId="2" applyNumberFormat="1" applyFont="1" applyFill="1" applyBorder="1" applyAlignment="1">
      <alignment horizontal="right" vertical="center"/>
    </xf>
    <xf numFmtId="169" fontId="6" fillId="21" borderId="10" xfId="2" applyNumberFormat="1" applyFont="1" applyFill="1" applyBorder="1" applyAlignment="1">
      <alignment horizontal="right" vertical="center"/>
    </xf>
    <xf numFmtId="170" fontId="6" fillId="21" borderId="10" xfId="2" applyNumberFormat="1" applyFont="1" applyFill="1" applyBorder="1" applyAlignment="1">
      <alignment horizontal="right" vertical="center"/>
    </xf>
    <xf numFmtId="0" fontId="6" fillId="21" borderId="4" xfId="2" applyNumberFormat="1" applyFont="1" applyFill="1" applyBorder="1" applyAlignment="1">
      <alignment horizontal="left" vertical="center"/>
    </xf>
    <xf numFmtId="0" fontId="0" fillId="21" borderId="4" xfId="0" applyFill="1" applyBorder="1"/>
    <xf numFmtId="166" fontId="10" fillId="21" borderId="4" xfId="1" applyNumberFormat="1" applyFont="1" applyFill="1" applyBorder="1"/>
    <xf numFmtId="0" fontId="15" fillId="21" borderId="0" xfId="2" applyNumberFormat="1" applyFont="1" applyFill="1" applyBorder="1" applyAlignment="1">
      <alignment vertical="center"/>
    </xf>
    <xf numFmtId="168" fontId="6" fillId="21" borderId="9" xfId="2" applyNumberFormat="1" applyFont="1" applyFill="1" applyBorder="1" applyAlignment="1">
      <alignment horizontal="right" vertical="center"/>
    </xf>
    <xf numFmtId="167" fontId="6" fillId="21" borderId="9" xfId="2" applyNumberFormat="1" applyFont="1" applyFill="1" applyBorder="1" applyAlignment="1">
      <alignment horizontal="right" vertical="center"/>
    </xf>
    <xf numFmtId="167" fontId="6" fillId="21" borderId="10" xfId="2" applyNumberFormat="1" applyFont="1" applyFill="1" applyBorder="1" applyAlignment="1">
      <alignment horizontal="right" vertical="center"/>
    </xf>
    <xf numFmtId="0" fontId="6" fillId="21" borderId="8" xfId="2" applyNumberFormat="1" applyFont="1" applyFill="1" applyBorder="1" applyAlignment="1">
      <alignment horizontal="left" vertical="center"/>
    </xf>
    <xf numFmtId="167" fontId="6" fillId="21" borderId="15" xfId="2" applyNumberFormat="1" applyFont="1" applyFill="1" applyBorder="1" applyAlignment="1">
      <alignment horizontal="right" vertical="center"/>
    </xf>
    <xf numFmtId="167" fontId="6" fillId="21" borderId="16" xfId="2" applyNumberFormat="1" applyFont="1" applyFill="1" applyBorder="1" applyAlignment="1">
      <alignment horizontal="right" vertical="center"/>
    </xf>
    <xf numFmtId="0" fontId="15" fillId="21" borderId="0" xfId="0" applyNumberFormat="1" applyFont="1" applyFill="1" applyBorder="1" applyAlignment="1">
      <alignment horizontal="right" vertical="center"/>
    </xf>
    <xf numFmtId="0" fontId="15" fillId="21" borderId="0" xfId="3" applyNumberFormat="1" applyFont="1" applyFill="1" applyBorder="1" applyAlignment="1">
      <alignment horizontal="right" vertical="center"/>
    </xf>
    <xf numFmtId="0" fontId="6" fillId="21" borderId="9" xfId="3" applyNumberFormat="1" applyFont="1" applyFill="1" applyBorder="1" applyAlignment="1">
      <alignment horizontal="left" vertical="center" wrapText="1"/>
    </xf>
    <xf numFmtId="3" fontId="6" fillId="21" borderId="8" xfId="0" applyNumberFormat="1" applyFont="1" applyFill="1" applyBorder="1" applyAlignment="1">
      <alignment vertical="center"/>
    </xf>
    <xf numFmtId="167" fontId="6" fillId="21" borderId="9" xfId="3" applyNumberFormat="1" applyFont="1" applyFill="1" applyBorder="1" applyAlignment="1">
      <alignment vertical="center"/>
    </xf>
    <xf numFmtId="167" fontId="6" fillId="21" borderId="9" xfId="3" applyNumberFormat="1" applyFont="1" applyFill="1" applyBorder="1" applyAlignment="1">
      <alignment horizontal="right" vertical="center"/>
    </xf>
    <xf numFmtId="0" fontId="6" fillId="21" borderId="12" xfId="3" applyNumberFormat="1" applyFont="1" applyFill="1" applyBorder="1" applyAlignment="1">
      <alignment horizontal="left" vertical="center" wrapText="1"/>
    </xf>
    <xf numFmtId="171" fontId="6" fillId="21" borderId="17" xfId="0" applyNumberFormat="1" applyFont="1" applyFill="1" applyBorder="1" applyAlignment="1">
      <alignment vertical="center"/>
    </xf>
    <xf numFmtId="171" fontId="6" fillId="21" borderId="12" xfId="3" applyNumberFormat="1" applyFont="1" applyFill="1" applyBorder="1" applyAlignment="1">
      <alignment vertical="center"/>
    </xf>
    <xf numFmtId="171" fontId="6" fillId="21" borderId="12" xfId="3" applyNumberFormat="1" applyFont="1" applyFill="1" applyBorder="1" applyAlignment="1">
      <alignment horizontal="right" vertical="center"/>
    </xf>
    <xf numFmtId="0" fontId="6" fillId="21" borderId="0" xfId="3" applyNumberFormat="1" applyFont="1" applyFill="1" applyBorder="1" applyAlignment="1">
      <alignment horizontal="left" vertical="center" wrapText="1"/>
    </xf>
    <xf numFmtId="171" fontId="6" fillId="21" borderId="0" xfId="0" applyNumberFormat="1" applyFont="1" applyFill="1" applyBorder="1" applyAlignment="1">
      <alignment vertical="center"/>
    </xf>
    <xf numFmtId="171" fontId="6" fillId="21" borderId="0" xfId="3" applyNumberFormat="1" applyFont="1" applyFill="1" applyBorder="1" applyAlignment="1">
      <alignment vertical="center"/>
    </xf>
    <xf numFmtId="173" fontId="6" fillId="21" borderId="8" xfId="2" applyNumberFormat="1" applyFont="1" applyFill="1" applyBorder="1" applyAlignment="1">
      <alignment horizontal="right" vertical="center"/>
    </xf>
    <xf numFmtId="0" fontId="14" fillId="23" borderId="0" xfId="2" applyNumberFormat="1" applyFont="1" applyFill="1" applyBorder="1" applyAlignment="1">
      <alignment vertical="center"/>
    </xf>
    <xf numFmtId="0" fontId="0" fillId="23" borderId="0" xfId="0" applyFill="1"/>
    <xf numFmtId="166" fontId="6" fillId="23" borderId="0" xfId="1" applyNumberFormat="1" applyFont="1" applyFill="1" applyBorder="1" applyAlignment="1">
      <alignment horizontal="right" vertical="center"/>
    </xf>
    <xf numFmtId="0" fontId="10" fillId="23" borderId="0" xfId="0" applyFont="1" applyFill="1"/>
    <xf numFmtId="173" fontId="15" fillId="23" borderId="8" xfId="2" applyNumberFormat="1" applyFont="1" applyFill="1" applyBorder="1" applyAlignment="1">
      <alignment horizontal="right" vertical="center"/>
    </xf>
    <xf numFmtId="167" fontId="15" fillId="23" borderId="8" xfId="2" applyNumberFormat="1" applyFont="1" applyFill="1" applyBorder="1" applyAlignment="1">
      <alignment horizontal="right" vertical="center"/>
    </xf>
    <xf numFmtId="0" fontId="6" fillId="23" borderId="12" xfId="2" applyNumberFormat="1" applyFont="1" applyFill="1" applyBorder="1" applyAlignment="1">
      <alignment horizontal="left" vertical="center" indent="1"/>
    </xf>
    <xf numFmtId="173" fontId="6" fillId="23" borderId="12" xfId="2" applyNumberFormat="1" applyFont="1" applyFill="1" applyBorder="1" applyAlignment="1">
      <alignment horizontal="right" vertical="center"/>
    </xf>
    <xf numFmtId="167" fontId="6" fillId="23" borderId="16" xfId="2" applyNumberFormat="1" applyFont="1" applyFill="1" applyBorder="1" applyAlignment="1">
      <alignment horizontal="right" vertical="center"/>
    </xf>
    <xf numFmtId="0" fontId="15" fillId="23" borderId="17" xfId="2" applyNumberFormat="1" applyFont="1" applyFill="1" applyBorder="1" applyAlignment="1">
      <alignment horizontal="left" vertical="center"/>
    </xf>
    <xf numFmtId="173" fontId="15" fillId="23" borderId="17" xfId="2" applyNumberFormat="1" applyFont="1" applyFill="1" applyBorder="1" applyAlignment="1">
      <alignment horizontal="right" vertical="center"/>
    </xf>
    <xf numFmtId="167" fontId="15" fillId="23" borderId="17" xfId="2" applyNumberFormat="1" applyFont="1" applyFill="1" applyBorder="1" applyAlignment="1">
      <alignment horizontal="right" vertical="center"/>
    </xf>
    <xf numFmtId="0" fontId="6" fillId="23" borderId="0" xfId="2" applyNumberFormat="1" applyFont="1" applyFill="1" applyBorder="1" applyAlignment="1">
      <alignment horizontal="left" vertical="center"/>
    </xf>
    <xf numFmtId="173" fontId="6" fillId="23" borderId="0" xfId="2" quotePrefix="1" applyNumberFormat="1" applyFont="1" applyFill="1" applyBorder="1" applyAlignment="1">
      <alignment horizontal="right" vertical="center"/>
    </xf>
    <xf numFmtId="167" fontId="6" fillId="23" borderId="0" xfId="2" quotePrefix="1" applyNumberFormat="1" applyFont="1" applyFill="1" applyBorder="1" applyAlignment="1">
      <alignment horizontal="right" vertical="center"/>
    </xf>
    <xf numFmtId="0" fontId="6" fillId="23" borderId="5" xfId="2" applyNumberFormat="1" applyFont="1" applyFill="1" applyBorder="1" applyAlignment="1">
      <alignment horizontal="left" vertical="center"/>
    </xf>
    <xf numFmtId="0" fontId="6" fillId="23" borderId="6" xfId="2" applyNumberFormat="1" applyFont="1" applyFill="1" applyBorder="1" applyAlignment="1">
      <alignment horizontal="left" vertical="center"/>
    </xf>
    <xf numFmtId="0" fontId="15" fillId="23" borderId="8" xfId="2" applyNumberFormat="1" applyFont="1" applyFill="1" applyBorder="1" applyAlignment="1">
      <alignment horizontal="left" vertical="center"/>
    </xf>
    <xf numFmtId="0" fontId="6" fillId="23" borderId="0" xfId="3" applyNumberFormat="1" applyFont="1" applyFill="1" applyBorder="1" applyAlignment="1">
      <alignment horizontal="left" vertical="center"/>
    </xf>
    <xf numFmtId="0" fontId="6" fillId="23" borderId="0" xfId="0" applyNumberFormat="1" applyFont="1" applyFill="1" applyBorder="1" applyAlignment="1">
      <alignment horizontal="left" vertical="center"/>
    </xf>
    <xf numFmtId="167" fontId="6" fillId="23" borderId="0" xfId="3" applyNumberFormat="1" applyFont="1" applyFill="1" applyBorder="1" applyAlignment="1">
      <alignment horizontal="left" vertical="center"/>
    </xf>
    <xf numFmtId="0" fontId="15" fillId="23" borderId="0" xfId="2" applyNumberFormat="1" applyFont="1" applyFill="1" applyBorder="1" applyAlignment="1">
      <alignment vertical="center"/>
    </xf>
    <xf numFmtId="167" fontId="15" fillId="23" borderId="0" xfId="2" applyNumberFormat="1" applyFont="1" applyFill="1" applyBorder="1" applyAlignment="1">
      <alignment vertical="center"/>
    </xf>
    <xf numFmtId="0" fontId="6" fillId="23" borderId="19" xfId="2" applyNumberFormat="1" applyFont="1" applyFill="1" applyBorder="1" applyAlignment="1">
      <alignment horizontal="left" vertical="center"/>
    </xf>
    <xf numFmtId="173" fontId="6" fillId="23" borderId="19" xfId="2" applyNumberFormat="1" applyFont="1" applyFill="1" applyBorder="1" applyAlignment="1">
      <alignment horizontal="right" vertical="center"/>
    </xf>
    <xf numFmtId="167" fontId="6" fillId="23" borderId="19" xfId="2" applyNumberFormat="1" applyFont="1" applyFill="1" applyBorder="1" applyAlignment="1">
      <alignment horizontal="right" vertical="center"/>
    </xf>
    <xf numFmtId="0" fontId="15" fillId="23" borderId="0" xfId="2" applyNumberFormat="1" applyFont="1" applyFill="1" applyBorder="1" applyAlignment="1">
      <alignment horizontal="right" vertical="center"/>
    </xf>
    <xf numFmtId="167" fontId="15" fillId="23" borderId="0" xfId="2" applyNumberFormat="1" applyFont="1" applyFill="1" applyBorder="1" applyAlignment="1">
      <alignment horizontal="right" vertical="center"/>
    </xf>
    <xf numFmtId="168" fontId="15" fillId="23" borderId="0" xfId="0" applyNumberFormat="1" applyFont="1" applyFill="1" applyBorder="1" applyAlignment="1">
      <alignment horizontal="right" vertical="center"/>
    </xf>
    <xf numFmtId="167" fontId="15" fillId="23" borderId="0" xfId="3" applyNumberFormat="1" applyFont="1" applyFill="1" applyBorder="1" applyAlignment="1">
      <alignment horizontal="right" vertical="center"/>
    </xf>
    <xf numFmtId="0" fontId="6" fillId="23" borderId="9" xfId="3" applyNumberFormat="1" applyFont="1" applyFill="1" applyBorder="1" applyAlignment="1">
      <alignment horizontal="left" vertical="center"/>
    </xf>
    <xf numFmtId="168" fontId="6" fillId="23" borderId="9" xfId="0" applyNumberFormat="1" applyFont="1" applyFill="1" applyBorder="1" applyAlignment="1">
      <alignment horizontal="right" vertical="center"/>
    </xf>
    <xf numFmtId="167" fontId="6" fillId="23" borderId="9" xfId="3" applyNumberFormat="1" applyFont="1" applyFill="1" applyBorder="1" applyAlignment="1">
      <alignment horizontal="right" vertical="center"/>
    </xf>
    <xf numFmtId="167" fontId="6" fillId="23" borderId="7" xfId="3" applyNumberFormat="1" applyFont="1" applyFill="1" applyBorder="1" applyAlignment="1">
      <alignment horizontal="right" vertical="center"/>
    </xf>
    <xf numFmtId="167" fontId="6" fillId="23" borderId="9" xfId="2" applyNumberFormat="1" applyFont="1" applyFill="1" applyBorder="1" applyAlignment="1">
      <alignment horizontal="right" vertical="center"/>
    </xf>
    <xf numFmtId="0" fontId="6" fillId="23" borderId="7" xfId="3" applyNumberFormat="1" applyFont="1" applyFill="1" applyBorder="1" applyAlignment="1">
      <alignment horizontal="left" vertical="center"/>
    </xf>
    <xf numFmtId="168" fontId="6" fillId="24" borderId="8" xfId="0" applyNumberFormat="1" applyFont="1" applyFill="1" applyBorder="1" applyAlignment="1">
      <alignment horizontal="right" vertical="center"/>
    </xf>
    <xf numFmtId="167" fontId="6" fillId="24" borderId="9" xfId="3" applyNumberFormat="1" applyFont="1" applyFill="1" applyBorder="1" applyAlignment="1">
      <alignment horizontal="right" vertical="center"/>
    </xf>
    <xf numFmtId="0" fontId="6" fillId="23" borderId="12" xfId="3" applyNumberFormat="1" applyFont="1" applyFill="1" applyBorder="1" applyAlignment="1">
      <alignment horizontal="left" vertical="center"/>
    </xf>
    <xf numFmtId="167" fontId="6" fillId="24" borderId="12" xfId="3" applyNumberFormat="1" applyFont="1" applyFill="1" applyBorder="1" applyAlignment="1">
      <alignment horizontal="right" vertical="center"/>
    </xf>
    <xf numFmtId="167" fontId="6" fillId="23" borderId="12" xfId="3" applyNumberFormat="1" applyFont="1" applyFill="1" applyBorder="1" applyAlignment="1">
      <alignment horizontal="right" vertical="center"/>
    </xf>
    <xf numFmtId="0" fontId="6" fillId="23" borderId="8" xfId="2" applyNumberFormat="1" applyFont="1" applyFill="1" applyBorder="1" applyAlignment="1">
      <alignment horizontal="left" vertical="center"/>
    </xf>
    <xf numFmtId="173" fontId="6" fillId="23" borderId="8" xfId="2" applyNumberFormat="1" applyFont="1" applyFill="1" applyBorder="1" applyAlignment="1">
      <alignment horizontal="right" vertical="center"/>
    </xf>
    <xf numFmtId="167" fontId="6" fillId="23" borderId="15" xfId="2" applyNumberFormat="1" applyFont="1" applyFill="1" applyBorder="1" applyAlignment="1">
      <alignment horizontal="right" vertical="center"/>
    </xf>
    <xf numFmtId="0" fontId="14" fillId="26" borderId="0" xfId="2" applyNumberFormat="1" applyFont="1" applyFill="1" applyBorder="1" applyAlignment="1">
      <alignment vertical="center"/>
    </xf>
    <xf numFmtId="0" fontId="0" fillId="26" borderId="0" xfId="0" applyFill="1"/>
    <xf numFmtId="0" fontId="15" fillId="26" borderId="0" xfId="3" applyNumberFormat="1" applyFont="1" applyFill="1" applyBorder="1" applyAlignment="1">
      <alignment horizontal="right" vertical="center"/>
    </xf>
    <xf numFmtId="0" fontId="10" fillId="26" borderId="0" xfId="0" applyFont="1" applyFill="1"/>
    <xf numFmtId="0" fontId="6" fillId="26" borderId="5" xfId="3" applyNumberFormat="1" applyFont="1" applyFill="1" applyBorder="1" applyAlignment="1">
      <alignment horizontal="left" vertical="center"/>
    </xf>
    <xf numFmtId="168" fontId="6" fillId="26" borderId="5" xfId="0" applyNumberFormat="1" applyFont="1" applyFill="1" applyBorder="1" applyAlignment="1">
      <alignment horizontal="right" vertical="center"/>
    </xf>
    <xf numFmtId="167" fontId="6" fillId="26" borderId="5" xfId="3" applyNumberFormat="1" applyFont="1" applyFill="1" applyBorder="1" applyAlignment="1">
      <alignment horizontal="right" vertical="center"/>
    </xf>
    <xf numFmtId="0" fontId="6" fillId="26" borderId="6" xfId="3" applyNumberFormat="1" applyFont="1" applyFill="1" applyBorder="1" applyAlignment="1">
      <alignment horizontal="left" vertical="center"/>
    </xf>
    <xf numFmtId="168" fontId="6" fillId="26" borderId="6" xfId="0" applyNumberFormat="1" applyFont="1" applyFill="1" applyBorder="1" applyAlignment="1">
      <alignment horizontal="right" vertical="center"/>
    </xf>
    <xf numFmtId="167" fontId="6" fillId="26" borderId="6" xfId="3" applyNumberFormat="1" applyFont="1" applyFill="1" applyBorder="1" applyAlignment="1">
      <alignment horizontal="right" vertical="center"/>
    </xf>
    <xf numFmtId="0" fontId="15" fillId="26" borderId="8" xfId="3" applyNumberFormat="1" applyFont="1" applyFill="1" applyBorder="1" applyAlignment="1">
      <alignment horizontal="left" vertical="center"/>
    </xf>
    <xf numFmtId="0" fontId="6" fillId="26" borderId="9" xfId="3" applyNumberFormat="1" applyFont="1" applyFill="1" applyBorder="1" applyAlignment="1">
      <alignment horizontal="left" vertical="center"/>
    </xf>
    <xf numFmtId="0" fontId="6" fillId="26" borderId="7" xfId="3" applyNumberFormat="1" applyFont="1" applyFill="1" applyBorder="1" applyAlignment="1">
      <alignment horizontal="left" vertical="center"/>
    </xf>
    <xf numFmtId="0" fontId="15" fillId="26" borderId="8" xfId="3" applyNumberFormat="1" applyFont="1" applyFill="1" applyBorder="1" applyAlignment="1">
      <alignment horizontal="left" vertical="center" wrapText="1"/>
    </xf>
    <xf numFmtId="0" fontId="15" fillId="26" borderId="0" xfId="3" applyNumberFormat="1" applyFont="1" applyFill="1" applyBorder="1" applyAlignment="1">
      <alignment vertical="center"/>
    </xf>
    <xf numFmtId="0" fontId="15" fillId="26" borderId="0" xfId="0" applyNumberFormat="1" applyFont="1" applyFill="1" applyBorder="1" applyAlignment="1">
      <alignment vertical="center"/>
    </xf>
    <xf numFmtId="168" fontId="15" fillId="26" borderId="0" xfId="0" applyNumberFormat="1" applyFont="1" applyFill="1" applyBorder="1" applyAlignment="1">
      <alignment horizontal="right" vertical="center"/>
    </xf>
    <xf numFmtId="173" fontId="6" fillId="26" borderId="9" xfId="0" quotePrefix="1" applyNumberFormat="1" applyFont="1" applyFill="1" applyBorder="1" applyAlignment="1">
      <alignment horizontal="right" vertical="center"/>
    </xf>
    <xf numFmtId="167" fontId="6" fillId="26" borderId="9" xfId="3" quotePrefix="1" applyNumberFormat="1" applyFont="1" applyFill="1" applyBorder="1" applyAlignment="1">
      <alignment horizontal="right" vertical="center"/>
    </xf>
    <xf numFmtId="173" fontId="6" fillId="26" borderId="5" xfId="0" applyNumberFormat="1" applyFont="1" applyFill="1" applyBorder="1" applyAlignment="1">
      <alignment horizontal="right" vertical="center"/>
    </xf>
    <xf numFmtId="0" fontId="6" fillId="26" borderId="6" xfId="3" applyNumberFormat="1" applyFont="1" applyFill="1" applyBorder="1" applyAlignment="1">
      <alignment horizontal="left" vertical="center" indent="1"/>
    </xf>
    <xf numFmtId="168" fontId="15" fillId="26" borderId="0" xfId="3" applyNumberFormat="1" applyFont="1" applyFill="1" applyBorder="1" applyAlignment="1">
      <alignment horizontal="right" vertical="center"/>
    </xf>
    <xf numFmtId="0" fontId="6" fillId="26" borderId="12" xfId="3" applyNumberFormat="1" applyFont="1" applyFill="1" applyBorder="1" applyAlignment="1">
      <alignment horizontal="left" vertical="center"/>
    </xf>
    <xf numFmtId="168" fontId="6" fillId="27" borderId="8" xfId="0" applyNumberFormat="1" applyFont="1" applyFill="1" applyBorder="1" applyAlignment="1">
      <alignment horizontal="right" vertical="center"/>
    </xf>
    <xf numFmtId="167" fontId="6" fillId="27" borderId="8" xfId="3" applyNumberFormat="1" applyFont="1" applyFill="1" applyBorder="1" applyAlignment="1">
      <alignment horizontal="right" vertical="center"/>
    </xf>
    <xf numFmtId="0" fontId="29" fillId="17" borderId="4" xfId="2" applyNumberFormat="1" applyFont="1" applyFill="1" applyBorder="1" applyAlignment="1">
      <alignment horizontal="left" vertical="center"/>
    </xf>
    <xf numFmtId="0" fontId="18" fillId="17" borderId="4" xfId="0" applyFont="1" applyFill="1" applyBorder="1"/>
    <xf numFmtId="166" fontId="12" fillId="17" borderId="4" xfId="1" applyNumberFormat="1" applyFont="1" applyFill="1" applyBorder="1"/>
    <xf numFmtId="0" fontId="18" fillId="17" borderId="2" xfId="0" applyFont="1" applyFill="1" applyBorder="1"/>
    <xf numFmtId="166" fontId="29" fillId="17" borderId="2" xfId="1" applyNumberFormat="1" applyFont="1" applyFill="1" applyBorder="1" applyAlignment="1">
      <alignment horizontal="right" vertical="center"/>
    </xf>
    <xf numFmtId="0" fontId="12" fillId="17" borderId="2" xfId="0" applyFont="1" applyFill="1" applyBorder="1"/>
    <xf numFmtId="166" fontId="29" fillId="17" borderId="0" xfId="1" applyNumberFormat="1" applyFont="1" applyFill="1" applyBorder="1" applyAlignment="1">
      <alignment horizontal="right" vertical="center"/>
    </xf>
    <xf numFmtId="0" fontId="18" fillId="17" borderId="3" xfId="0" applyFont="1" applyFill="1" applyBorder="1"/>
    <xf numFmtId="166" fontId="29" fillId="17" borderId="3" xfId="1" applyNumberFormat="1" applyFont="1" applyFill="1" applyBorder="1" applyAlignment="1">
      <alignment horizontal="right" vertical="center"/>
    </xf>
    <xf numFmtId="0" fontId="12" fillId="17" borderId="3" xfId="0" applyFont="1" applyFill="1" applyBorder="1"/>
    <xf numFmtId="0" fontId="18" fillId="21" borderId="2" xfId="0" applyFont="1" applyFill="1" applyBorder="1"/>
    <xf numFmtId="10" fontId="12" fillId="21" borderId="2" xfId="0" applyNumberFormat="1" applyFont="1" applyFill="1" applyBorder="1"/>
    <xf numFmtId="166" fontId="29" fillId="21" borderId="0" xfId="1" applyNumberFormat="1" applyFont="1" applyFill="1" applyBorder="1" applyAlignment="1">
      <alignment horizontal="right" vertical="center"/>
    </xf>
    <xf numFmtId="167" fontId="31" fillId="8" borderId="20" xfId="3" applyNumberFormat="1" applyFont="1" applyFill="1" applyBorder="1" applyAlignment="1">
      <alignment horizontal="right" vertical="center"/>
    </xf>
    <xf numFmtId="167" fontId="31" fillId="14" borderId="20" xfId="3" applyNumberFormat="1" applyFont="1" applyFill="1" applyBorder="1" applyAlignment="1">
      <alignment horizontal="right" vertical="center"/>
    </xf>
    <xf numFmtId="168" fontId="15" fillId="8" borderId="20" xfId="0" applyNumberFormat="1" applyFont="1" applyFill="1" applyBorder="1" applyAlignment="1">
      <alignment horizontal="right" vertical="center"/>
    </xf>
    <xf numFmtId="167" fontId="15" fillId="8" borderId="20" xfId="3" applyNumberFormat="1" applyFont="1" applyFill="1" applyBorder="1" applyAlignment="1">
      <alignment horizontal="right" vertical="center"/>
    </xf>
    <xf numFmtId="0" fontId="13" fillId="8" borderId="0" xfId="0" applyFont="1" applyFill="1"/>
    <xf numFmtId="0" fontId="13" fillId="8" borderId="3" xfId="0" applyFont="1" applyFill="1" applyBorder="1"/>
    <xf numFmtId="166" fontId="29" fillId="8" borderId="4" xfId="1" applyNumberFormat="1" applyFont="1" applyFill="1" applyBorder="1" applyAlignment="1">
      <alignment horizontal="right" vertical="center"/>
    </xf>
    <xf numFmtId="167" fontId="6" fillId="9" borderId="1" xfId="3" applyNumberFormat="1" applyFont="1" applyFill="1" applyBorder="1" applyAlignment="1">
      <alignment horizontal="right" vertical="center"/>
    </xf>
    <xf numFmtId="167" fontId="6" fillId="9" borderId="0" xfId="3" applyNumberFormat="1" applyFont="1" applyFill="1" applyBorder="1" applyAlignment="1">
      <alignment horizontal="right" vertical="center"/>
    </xf>
    <xf numFmtId="10" fontId="6" fillId="8" borderId="0" xfId="1" applyNumberFormat="1" applyFont="1" applyFill="1" applyBorder="1" applyAlignment="1">
      <alignment horizontal="right" vertical="center"/>
    </xf>
    <xf numFmtId="0" fontId="13" fillId="0" borderId="0" xfId="0" applyFont="1"/>
    <xf numFmtId="168" fontId="15" fillId="0" borderId="12" xfId="0" applyNumberFormat="1" applyFont="1" applyFill="1" applyBorder="1" applyAlignment="1">
      <alignment horizontal="right" vertical="center"/>
    </xf>
    <xf numFmtId="167" fontId="15" fillId="0" borderId="12" xfId="3" applyNumberFormat="1" applyFont="1" applyFill="1" applyBorder="1" applyAlignment="1">
      <alignment horizontal="right" vertical="center"/>
    </xf>
    <xf numFmtId="169" fontId="6" fillId="0" borderId="8" xfId="3" applyNumberFormat="1" applyFont="1" applyFill="1" applyBorder="1" applyAlignment="1">
      <alignment horizontal="right" vertical="center"/>
    </xf>
    <xf numFmtId="169" fontId="6" fillId="0" borderId="0" xfId="3" applyNumberFormat="1" applyFont="1" applyFill="1" applyBorder="1" applyAlignment="1">
      <alignment horizontal="right" vertical="center"/>
    </xf>
    <xf numFmtId="167" fontId="15" fillId="0" borderId="13" xfId="3" applyNumberFormat="1" applyFont="1" applyFill="1" applyBorder="1" applyAlignment="1">
      <alignment horizontal="right" vertical="center"/>
    </xf>
    <xf numFmtId="168" fontId="15" fillId="11" borderId="22" xfId="0" applyNumberFormat="1" applyFont="1" applyFill="1" applyBorder="1" applyAlignment="1">
      <alignment horizontal="right" vertical="center"/>
    </xf>
    <xf numFmtId="167" fontId="15" fillId="11" borderId="22" xfId="3" applyNumberFormat="1" applyFont="1" applyFill="1" applyBorder="1" applyAlignment="1">
      <alignment horizontal="right" vertical="center"/>
    </xf>
    <xf numFmtId="173" fontId="15" fillId="11" borderId="0" xfId="0" applyNumberFormat="1" applyFont="1" applyFill="1" applyBorder="1" applyAlignment="1">
      <alignment horizontal="right" vertical="center"/>
    </xf>
    <xf numFmtId="0" fontId="13" fillId="11" borderId="0" xfId="0" applyFont="1" applyFill="1"/>
    <xf numFmtId="168" fontId="6" fillId="0" borderId="0" xfId="3" applyNumberFormat="1" applyFont="1" applyFill="1" applyBorder="1" applyAlignment="1">
      <alignment horizontal="right" vertical="center"/>
    </xf>
    <xf numFmtId="0" fontId="13" fillId="14" borderId="0" xfId="0" applyFont="1" applyFill="1"/>
    <xf numFmtId="0" fontId="13" fillId="14" borderId="3" xfId="0" applyFont="1" applyFill="1" applyBorder="1"/>
    <xf numFmtId="168" fontId="15" fillId="14" borderId="20" xfId="0" applyNumberFormat="1" applyFont="1" applyFill="1" applyBorder="1" applyAlignment="1">
      <alignment horizontal="right" vertical="center"/>
    </xf>
    <xf numFmtId="167" fontId="15" fillId="14" borderId="20" xfId="3" applyNumberFormat="1" applyFont="1" applyFill="1" applyBorder="1" applyAlignment="1">
      <alignment horizontal="right" vertical="center"/>
    </xf>
    <xf numFmtId="0" fontId="13" fillId="14" borderId="23" xfId="0" applyFont="1" applyFill="1" applyBorder="1"/>
    <xf numFmtId="167" fontId="6" fillId="15" borderId="3" xfId="3" applyNumberFormat="1" applyFont="1" applyFill="1" applyBorder="1" applyAlignment="1">
      <alignment horizontal="right" vertical="center"/>
    </xf>
    <xf numFmtId="167" fontId="6" fillId="15" borderId="21" xfId="3" applyNumberFormat="1" applyFont="1" applyFill="1" applyBorder="1" applyAlignment="1">
      <alignment horizontal="right" vertical="center"/>
    </xf>
    <xf numFmtId="167" fontId="29" fillId="15" borderId="3" xfId="3" applyNumberFormat="1" applyFont="1" applyFill="1" applyBorder="1" applyAlignment="1">
      <alignment horizontal="right" vertical="center"/>
    </xf>
    <xf numFmtId="168" fontId="15" fillId="14" borderId="0" xfId="3" applyNumberFormat="1" applyFont="1" applyFill="1" applyBorder="1" applyAlignment="1">
      <alignment horizontal="right" vertical="center"/>
    </xf>
    <xf numFmtId="0" fontId="13" fillId="17" borderId="0" xfId="0" applyFont="1" applyFill="1"/>
    <xf numFmtId="0" fontId="34" fillId="17" borderId="2" xfId="0" applyFont="1" applyFill="1" applyBorder="1"/>
    <xf numFmtId="0" fontId="34" fillId="17" borderId="3" xfId="0" applyFont="1" applyFill="1" applyBorder="1"/>
    <xf numFmtId="173" fontId="6" fillId="17" borderId="3" xfId="2" applyNumberFormat="1" applyFont="1" applyFill="1" applyBorder="1" applyAlignment="1">
      <alignment horizontal="right" vertical="center"/>
    </xf>
    <xf numFmtId="167" fontId="6" fillId="17" borderId="3" xfId="2" applyNumberFormat="1" applyFont="1" applyFill="1" applyBorder="1" applyAlignment="1">
      <alignment horizontal="right" vertical="center"/>
    </xf>
    <xf numFmtId="173" fontId="6" fillId="17" borderId="0" xfId="2" quotePrefix="1" applyNumberFormat="1" applyFont="1" applyFill="1" applyBorder="1" applyAlignment="1">
      <alignment horizontal="right" vertical="center"/>
    </xf>
    <xf numFmtId="167" fontId="6" fillId="17" borderId="0" xfId="2" quotePrefix="1" applyNumberFormat="1" applyFont="1" applyFill="1" applyBorder="1" applyAlignment="1">
      <alignment horizontal="right" vertical="center"/>
    </xf>
    <xf numFmtId="173" fontId="6" fillId="17" borderId="0" xfId="2" applyNumberFormat="1" applyFont="1" applyFill="1" applyBorder="1" applyAlignment="1">
      <alignment horizontal="right" vertical="center"/>
    </xf>
    <xf numFmtId="167" fontId="6" fillId="17" borderId="0" xfId="2" applyNumberFormat="1" applyFont="1" applyFill="1" applyBorder="1" applyAlignment="1">
      <alignment horizontal="right" vertical="center"/>
    </xf>
    <xf numFmtId="168" fontId="6" fillId="17" borderId="3" xfId="2" applyNumberFormat="1" applyFont="1" applyFill="1" applyBorder="1" applyAlignment="1">
      <alignment horizontal="right" vertical="center"/>
    </xf>
    <xf numFmtId="173" fontId="15" fillId="17" borderId="20" xfId="2" applyNumberFormat="1" applyFont="1" applyFill="1" applyBorder="1" applyAlignment="1">
      <alignment horizontal="right" vertical="center"/>
    </xf>
    <xf numFmtId="167" fontId="15" fillId="17" borderId="20" xfId="2" applyNumberFormat="1" applyFont="1" applyFill="1" applyBorder="1" applyAlignment="1">
      <alignment horizontal="right" vertical="center"/>
    </xf>
    <xf numFmtId="173" fontId="15" fillId="17" borderId="0" xfId="2" applyNumberFormat="1" applyFont="1" applyFill="1" applyBorder="1" applyAlignment="1">
      <alignment horizontal="right" vertical="center"/>
    </xf>
    <xf numFmtId="166" fontId="29" fillId="17" borderId="4" xfId="1" applyNumberFormat="1" applyFont="1" applyFill="1" applyBorder="1" applyAlignment="1">
      <alignment horizontal="right" vertical="center"/>
    </xf>
    <xf numFmtId="167" fontId="15" fillId="17" borderId="0" xfId="2" applyNumberFormat="1" applyFont="1" applyFill="1" applyBorder="1" applyAlignment="1">
      <alignment horizontal="right" vertical="center"/>
    </xf>
    <xf numFmtId="173" fontId="6" fillId="18" borderId="9" xfId="2" applyNumberFormat="1" applyFont="1" applyFill="1" applyBorder="1" applyAlignment="1">
      <alignment horizontal="right" vertical="center"/>
    </xf>
    <xf numFmtId="167" fontId="6" fillId="18" borderId="9" xfId="2" applyNumberFormat="1" applyFont="1" applyFill="1" applyBorder="1" applyAlignment="1">
      <alignment horizontal="right" vertical="center"/>
    </xf>
    <xf numFmtId="173" fontId="6" fillId="18" borderId="8" xfId="2" applyNumberFormat="1" applyFont="1" applyFill="1" applyBorder="1" applyAlignment="1">
      <alignment horizontal="right" vertical="center"/>
    </xf>
    <xf numFmtId="167" fontId="6" fillId="18" borderId="8" xfId="2" applyNumberFormat="1" applyFont="1" applyFill="1" applyBorder="1" applyAlignment="1">
      <alignment horizontal="right" vertical="center"/>
    </xf>
    <xf numFmtId="0" fontId="15" fillId="17" borderId="0" xfId="3" applyNumberFormat="1" applyFont="1" applyFill="1" applyBorder="1" applyAlignment="1">
      <alignment horizontal="right" vertical="center"/>
    </xf>
    <xf numFmtId="173" fontId="15" fillId="17" borderId="8" xfId="0" applyNumberFormat="1" applyFont="1" applyFill="1" applyBorder="1" applyAlignment="1">
      <alignment horizontal="right" vertical="center"/>
    </xf>
    <xf numFmtId="0" fontId="13" fillId="21" borderId="0" xfId="0" applyFont="1" applyFill="1"/>
    <xf numFmtId="173" fontId="6" fillId="21" borderId="0" xfId="2" applyNumberFormat="1" applyFont="1" applyFill="1" applyBorder="1" applyAlignment="1">
      <alignment horizontal="right" vertical="center"/>
    </xf>
    <xf numFmtId="167" fontId="6" fillId="21" borderId="0" xfId="2" applyNumberFormat="1" applyFont="1" applyFill="1" applyBorder="1" applyAlignment="1">
      <alignment horizontal="right" vertical="center"/>
    </xf>
    <xf numFmtId="173" fontId="15" fillId="21" borderId="4" xfId="2" applyNumberFormat="1" applyFont="1" applyFill="1" applyBorder="1" applyAlignment="1">
      <alignment horizontal="right" vertical="center"/>
    </xf>
    <xf numFmtId="167" fontId="15" fillId="21" borderId="4" xfId="2" applyNumberFormat="1" applyFont="1" applyFill="1" applyBorder="1" applyAlignment="1">
      <alignment horizontal="right" vertical="center"/>
    </xf>
    <xf numFmtId="173" fontId="15" fillId="21" borderId="20" xfId="2" applyNumberFormat="1" applyFont="1" applyFill="1" applyBorder="1" applyAlignment="1">
      <alignment horizontal="right" vertical="center"/>
    </xf>
    <xf numFmtId="167" fontId="15" fillId="21" borderId="20" xfId="2" applyNumberFormat="1" applyFont="1" applyFill="1" applyBorder="1" applyAlignment="1">
      <alignment horizontal="right" vertical="center"/>
    </xf>
    <xf numFmtId="173" fontId="15" fillId="21" borderId="0" xfId="2" applyNumberFormat="1" applyFont="1" applyFill="1" applyBorder="1" applyAlignment="1">
      <alignment horizontal="right" vertical="center"/>
    </xf>
    <xf numFmtId="166" fontId="6" fillId="21" borderId="4" xfId="1" applyNumberFormat="1" applyFont="1" applyFill="1" applyBorder="1" applyAlignment="1">
      <alignment horizontal="right" vertical="center"/>
    </xf>
    <xf numFmtId="173" fontId="6" fillId="22" borderId="9" xfId="2" applyNumberFormat="1" applyFont="1" applyFill="1" applyBorder="1" applyAlignment="1">
      <alignment horizontal="right" vertical="center"/>
    </xf>
    <xf numFmtId="167" fontId="6" fillId="22" borderId="9" xfId="2" applyNumberFormat="1" applyFont="1" applyFill="1" applyBorder="1" applyAlignment="1">
      <alignment horizontal="right" vertical="center"/>
    </xf>
    <xf numFmtId="173" fontId="6" fillId="22" borderId="8" xfId="2" applyNumberFormat="1" applyFont="1" applyFill="1" applyBorder="1" applyAlignment="1">
      <alignment horizontal="right" vertical="center"/>
    </xf>
    <xf numFmtId="167" fontId="6" fillId="22" borderId="8" xfId="2" applyNumberFormat="1" applyFont="1" applyFill="1" applyBorder="1" applyAlignment="1">
      <alignment horizontal="right" vertical="center"/>
    </xf>
    <xf numFmtId="0" fontId="13" fillId="23" borderId="0" xfId="0" applyFont="1" applyFill="1"/>
    <xf numFmtId="173" fontId="6" fillId="23" borderId="0" xfId="2" applyNumberFormat="1" applyFont="1" applyFill="1" applyBorder="1" applyAlignment="1">
      <alignment horizontal="right" vertical="center"/>
    </xf>
    <xf numFmtId="167" fontId="6" fillId="23" borderId="0" xfId="2" applyNumberFormat="1" applyFont="1" applyFill="1" applyBorder="1" applyAlignment="1">
      <alignment horizontal="right" vertical="center"/>
    </xf>
    <xf numFmtId="173" fontId="6" fillId="23" borderId="5" xfId="2" quotePrefix="1" applyNumberFormat="1" applyFont="1" applyFill="1" applyBorder="1" applyAlignment="1">
      <alignment horizontal="right" vertical="center"/>
    </xf>
    <xf numFmtId="167" fontId="6" fillId="23" borderId="5" xfId="2" quotePrefix="1" applyNumberFormat="1" applyFont="1" applyFill="1" applyBorder="1" applyAlignment="1">
      <alignment horizontal="right" vertical="center"/>
    </xf>
    <xf numFmtId="173" fontId="6" fillId="23" borderId="6" xfId="2" quotePrefix="1" applyNumberFormat="1" applyFont="1" applyFill="1" applyBorder="1" applyAlignment="1">
      <alignment horizontal="right" vertical="center"/>
    </xf>
    <xf numFmtId="167" fontId="6" fillId="23" borderId="6" xfId="2" quotePrefix="1" applyNumberFormat="1" applyFont="1" applyFill="1" applyBorder="1" applyAlignment="1">
      <alignment horizontal="right" vertical="center"/>
    </xf>
    <xf numFmtId="173" fontId="6" fillId="23" borderId="19" xfId="2" quotePrefix="1" applyNumberFormat="1" applyFont="1" applyFill="1" applyBorder="1" applyAlignment="1">
      <alignment horizontal="right" vertical="center"/>
    </xf>
    <xf numFmtId="167" fontId="6" fillId="23" borderId="19" xfId="2" quotePrefix="1" applyNumberFormat="1" applyFont="1" applyFill="1" applyBorder="1" applyAlignment="1">
      <alignment horizontal="right" vertical="center"/>
    </xf>
    <xf numFmtId="167" fontId="6" fillId="23" borderId="8" xfId="2" applyNumberFormat="1" applyFont="1" applyFill="1" applyBorder="1" applyAlignment="1">
      <alignment horizontal="right" vertical="center"/>
    </xf>
    <xf numFmtId="0" fontId="13" fillId="26" borderId="0" xfId="0" applyFont="1" applyFill="1"/>
    <xf numFmtId="167" fontId="15" fillId="26" borderId="8" xfId="3" applyNumberFormat="1" applyFont="1" applyFill="1" applyBorder="1" applyAlignment="1">
      <alignment horizontal="right" vertical="center"/>
    </xf>
    <xf numFmtId="173" fontId="15" fillId="26" borderId="8" xfId="0" applyNumberFormat="1" applyFont="1" applyFill="1" applyBorder="1" applyAlignment="1">
      <alignment horizontal="right" vertical="center"/>
    </xf>
    <xf numFmtId="173" fontId="6" fillId="26" borderId="6" xfId="0" applyNumberFormat="1" applyFont="1" applyFill="1" applyBorder="1" applyAlignment="1">
      <alignment horizontal="right" vertical="center"/>
    </xf>
    <xf numFmtId="168" fontId="6" fillId="26" borderId="7" xfId="3" applyNumberFormat="1" applyFont="1" applyFill="1" applyBorder="1" applyAlignment="1">
      <alignment horizontal="right" vertical="center"/>
    </xf>
    <xf numFmtId="168" fontId="6" fillId="26" borderId="7" xfId="0" applyNumberFormat="1" applyFont="1" applyFill="1" applyBorder="1" applyAlignment="1">
      <alignment horizontal="right" vertical="center"/>
    </xf>
    <xf numFmtId="173" fontId="6" fillId="26" borderId="9" xfId="0" applyNumberFormat="1" applyFont="1" applyFill="1" applyBorder="1" applyAlignment="1">
      <alignment horizontal="right" vertical="center"/>
    </xf>
    <xf numFmtId="167" fontId="6" fillId="26" borderId="9" xfId="3" applyNumberFormat="1" applyFont="1" applyFill="1" applyBorder="1" applyAlignment="1">
      <alignment horizontal="right" vertical="center"/>
    </xf>
    <xf numFmtId="168" fontId="6" fillId="26" borderId="9" xfId="0" applyNumberFormat="1" applyFont="1" applyFill="1" applyBorder="1" applyAlignment="1">
      <alignment horizontal="right" vertical="center"/>
    </xf>
    <xf numFmtId="167" fontId="6" fillId="26" borderId="12" xfId="3" applyNumberFormat="1" applyFont="1" applyFill="1" applyBorder="1" applyAlignment="1">
      <alignment horizontal="right" vertical="center"/>
    </xf>
    <xf numFmtId="0" fontId="6" fillId="11" borderId="1" xfId="3" applyNumberFormat="1" applyFont="1" applyFill="1" applyBorder="1" applyAlignment="1">
      <alignment horizontal="left" vertical="center" wrapText="1"/>
    </xf>
    <xf numFmtId="0" fontId="0" fillId="11" borderId="1" xfId="0" applyFill="1" applyBorder="1"/>
    <xf numFmtId="167" fontId="6" fillId="11" borderId="1" xfId="3" applyNumberFormat="1" applyFont="1" applyFill="1" applyBorder="1" applyAlignment="1">
      <alignment horizontal="right" vertical="center"/>
    </xf>
    <xf numFmtId="10" fontId="6" fillId="11" borderId="1" xfId="1" applyNumberFormat="1" applyFont="1" applyFill="1" applyBorder="1" applyAlignment="1">
      <alignment horizontal="right" vertical="center"/>
    </xf>
    <xf numFmtId="166" fontId="10" fillId="11" borderId="1" xfId="1" applyNumberFormat="1" applyFont="1" applyFill="1" applyBorder="1"/>
    <xf numFmtId="0" fontId="6" fillId="11" borderId="4" xfId="3" applyNumberFormat="1" applyFont="1" applyFill="1" applyBorder="1" applyAlignment="1">
      <alignment horizontal="left" vertical="center"/>
    </xf>
    <xf numFmtId="0" fontId="0" fillId="11" borderId="4" xfId="0" applyFill="1" applyBorder="1"/>
    <xf numFmtId="167" fontId="6" fillId="11" borderId="4" xfId="3" applyNumberFormat="1" applyFont="1" applyFill="1" applyBorder="1" applyAlignment="1">
      <alignment horizontal="right" vertical="center"/>
    </xf>
    <xf numFmtId="0" fontId="10" fillId="11" borderId="4" xfId="0" applyFont="1" applyFill="1" applyBorder="1"/>
    <xf numFmtId="168" fontId="6" fillId="12" borderId="12" xfId="0" applyNumberFormat="1" applyFont="1" applyFill="1" applyBorder="1" applyAlignment="1">
      <alignment horizontal="right" vertical="center"/>
    </xf>
    <xf numFmtId="167" fontId="6" fillId="12" borderId="12" xfId="3" applyNumberFormat="1" applyFont="1" applyFill="1" applyBorder="1" applyAlignment="1">
      <alignment horizontal="right" vertical="center"/>
    </xf>
    <xf numFmtId="168" fontId="6" fillId="11" borderId="10" xfId="0" applyNumberFormat="1" applyFont="1" applyFill="1" applyBorder="1" applyAlignment="1">
      <alignment horizontal="right" vertical="center"/>
    </xf>
    <xf numFmtId="167" fontId="6" fillId="11" borderId="10" xfId="3" applyNumberFormat="1" applyFont="1" applyFill="1" applyBorder="1" applyAlignment="1">
      <alignment horizontal="right" vertical="center"/>
    </xf>
    <xf numFmtId="0" fontId="6" fillId="11" borderId="1" xfId="3" applyNumberFormat="1" applyFont="1" applyFill="1" applyBorder="1" applyAlignment="1">
      <alignment horizontal="left" vertical="center"/>
    </xf>
    <xf numFmtId="168" fontId="6" fillId="11" borderId="1" xfId="0" applyNumberFormat="1" applyFont="1" applyFill="1" applyBorder="1" applyAlignment="1">
      <alignment horizontal="right" vertical="center"/>
    </xf>
    <xf numFmtId="167" fontId="6" fillId="12" borderId="1" xfId="3" applyNumberFormat="1" applyFont="1" applyFill="1" applyBorder="1" applyAlignment="1">
      <alignment horizontal="right" vertical="center"/>
    </xf>
    <xf numFmtId="0" fontId="29" fillId="11" borderId="1" xfId="3" applyNumberFormat="1" applyFont="1" applyFill="1" applyBorder="1" applyAlignment="1">
      <alignment horizontal="left" vertical="center" indent="1"/>
    </xf>
    <xf numFmtId="0" fontId="18" fillId="11" borderId="1" xfId="0" applyFont="1" applyFill="1" applyBorder="1"/>
    <xf numFmtId="167" fontId="29" fillId="12" borderId="1" xfId="3" applyNumberFormat="1" applyFont="1" applyFill="1" applyBorder="1" applyAlignment="1">
      <alignment horizontal="right" vertical="center"/>
    </xf>
    <xf numFmtId="166" fontId="29" fillId="11" borderId="1" xfId="1" applyNumberFormat="1" applyFont="1" applyFill="1" applyBorder="1" applyAlignment="1">
      <alignment horizontal="right" vertical="center"/>
    </xf>
    <xf numFmtId="166" fontId="12" fillId="11" borderId="1" xfId="0" applyNumberFormat="1" applyFont="1" applyFill="1" applyBorder="1"/>
    <xf numFmtId="0" fontId="29" fillId="11" borderId="0" xfId="3" applyNumberFormat="1" applyFont="1" applyFill="1" applyBorder="1" applyAlignment="1">
      <alignment horizontal="left" vertical="center" indent="1"/>
    </xf>
    <xf numFmtId="167" fontId="29" fillId="12" borderId="0" xfId="3" applyNumberFormat="1" applyFont="1" applyFill="1" applyBorder="1" applyAlignment="1">
      <alignment horizontal="right" vertical="center"/>
    </xf>
    <xf numFmtId="166" fontId="29" fillId="11" borderId="0" xfId="1" applyNumberFormat="1" applyFont="1" applyFill="1" applyBorder="1" applyAlignment="1">
      <alignment horizontal="right" vertical="center"/>
    </xf>
    <xf numFmtId="0" fontId="13" fillId="14" borderId="0" xfId="0" applyFont="1" applyFill="1" applyBorder="1"/>
    <xf numFmtId="0" fontId="10" fillId="14" borderId="0" xfId="0" applyFont="1" applyFill="1" applyBorder="1"/>
    <xf numFmtId="0" fontId="6" fillId="14" borderId="1" xfId="3" applyNumberFormat="1" applyFont="1" applyFill="1" applyBorder="1" applyAlignment="1">
      <alignment horizontal="left" vertical="center" wrapText="1"/>
    </xf>
    <xf numFmtId="167" fontId="6" fillId="14" borderId="1" xfId="3" applyNumberFormat="1" applyFont="1" applyFill="1" applyBorder="1" applyAlignment="1">
      <alignment horizontal="right" vertical="center"/>
    </xf>
    <xf numFmtId="10" fontId="6" fillId="14" borderId="1" xfId="1" applyNumberFormat="1" applyFont="1" applyFill="1" applyBorder="1" applyAlignment="1">
      <alignment horizontal="right" vertical="center"/>
    </xf>
    <xf numFmtId="10" fontId="10" fillId="14" borderId="1" xfId="1" applyNumberFormat="1" applyFont="1" applyFill="1" applyBorder="1"/>
    <xf numFmtId="0" fontId="6" fillId="14" borderId="4" xfId="3" applyNumberFormat="1" applyFont="1" applyFill="1" applyBorder="1" applyAlignment="1">
      <alignment horizontal="left" vertical="center"/>
    </xf>
    <xf numFmtId="0" fontId="0" fillId="14" borderId="4" xfId="0" applyFill="1" applyBorder="1"/>
    <xf numFmtId="169" fontId="6" fillId="14" borderId="4" xfId="0" applyNumberFormat="1" applyFont="1" applyFill="1" applyBorder="1" applyAlignment="1">
      <alignment horizontal="right" vertical="center"/>
    </xf>
    <xf numFmtId="169" fontId="6" fillId="14" borderId="4" xfId="3" applyNumberFormat="1" applyFont="1" applyFill="1" applyBorder="1" applyAlignment="1">
      <alignment horizontal="right" vertical="center"/>
    </xf>
    <xf numFmtId="0" fontId="10" fillId="14" borderId="4" xfId="0" applyFont="1" applyFill="1" applyBorder="1"/>
    <xf numFmtId="174" fontId="6" fillId="17" borderId="0" xfId="2" applyNumberFormat="1" applyFont="1" applyFill="1" applyBorder="1" applyAlignment="1">
      <alignment horizontal="right" vertical="center"/>
    </xf>
    <xf numFmtId="0" fontId="10" fillId="17" borderId="0" xfId="0" applyFont="1" applyFill="1" applyBorder="1"/>
    <xf numFmtId="0" fontId="18" fillId="17" borderId="0" xfId="0" applyFont="1" applyFill="1" applyBorder="1"/>
    <xf numFmtId="0" fontId="34" fillId="17" borderId="0" xfId="0" applyFont="1" applyFill="1" applyBorder="1"/>
    <xf numFmtId="0" fontId="12" fillId="17" borderId="0" xfId="0" applyFont="1" applyFill="1" applyBorder="1"/>
    <xf numFmtId="167" fontId="10" fillId="17" borderId="0" xfId="0" applyNumberFormat="1" applyFont="1" applyFill="1" applyBorder="1"/>
    <xf numFmtId="0" fontId="6" fillId="17" borderId="2" xfId="2" applyNumberFormat="1" applyFont="1" applyFill="1" applyBorder="1" applyAlignment="1">
      <alignment horizontal="left" vertical="center"/>
    </xf>
    <xf numFmtId="173" fontId="6" fillId="17" borderId="2" xfId="2" quotePrefix="1" applyNumberFormat="1" applyFont="1" applyFill="1" applyBorder="1" applyAlignment="1">
      <alignment horizontal="right" vertical="center"/>
    </xf>
    <xf numFmtId="167" fontId="6" fillId="17" borderId="2" xfId="2" quotePrefix="1" applyNumberFormat="1" applyFont="1" applyFill="1" applyBorder="1" applyAlignment="1">
      <alignment horizontal="right" vertical="center"/>
    </xf>
    <xf numFmtId="167" fontId="10" fillId="17" borderId="2" xfId="0" applyNumberFormat="1" applyFont="1" applyFill="1" applyBorder="1"/>
    <xf numFmtId="173" fontId="6" fillId="21" borderId="10" xfId="2" quotePrefix="1" applyNumberFormat="1" applyFont="1" applyFill="1" applyBorder="1" applyAlignment="1">
      <alignment horizontal="right" vertical="center"/>
    </xf>
    <xf numFmtId="167" fontId="6" fillId="21" borderId="10" xfId="2" quotePrefix="1" applyNumberFormat="1" applyFont="1" applyFill="1" applyBorder="1" applyAlignment="1">
      <alignment horizontal="right" vertical="center"/>
    </xf>
    <xf numFmtId="0" fontId="0" fillId="21" borderId="0" xfId="0" applyFill="1" applyBorder="1"/>
    <xf numFmtId="2" fontId="10" fillId="21" borderId="0" xfId="0" applyNumberFormat="1" applyFont="1" applyFill="1" applyBorder="1"/>
    <xf numFmtId="0" fontId="15" fillId="21" borderId="20" xfId="2" applyNumberFormat="1" applyFont="1" applyFill="1" applyBorder="1" applyAlignment="1">
      <alignment horizontal="left" vertical="center"/>
    </xf>
    <xf numFmtId="0" fontId="18" fillId="21" borderId="0" xfId="0" applyFont="1" applyFill="1" applyBorder="1"/>
    <xf numFmtId="10" fontId="12" fillId="21" borderId="0" xfId="0" applyNumberFormat="1" applyFont="1" applyFill="1" applyBorder="1"/>
    <xf numFmtId="0" fontId="10" fillId="21" borderId="0" xfId="0" applyFont="1" applyFill="1" applyBorder="1"/>
    <xf numFmtId="172" fontId="6" fillId="21" borderId="0" xfId="2" applyNumberFormat="1" applyFont="1" applyFill="1" applyBorder="1" applyAlignment="1">
      <alignment horizontal="right" vertical="center"/>
    </xf>
    <xf numFmtId="168" fontId="6" fillId="21" borderId="0" xfId="2" applyNumberFormat="1" applyFont="1" applyFill="1" applyBorder="1" applyAlignment="1">
      <alignment horizontal="right" vertical="center"/>
    </xf>
    <xf numFmtId="173" fontId="6" fillId="21" borderId="0" xfId="2" quotePrefix="1" applyNumberFormat="1" applyFont="1" applyFill="1" applyBorder="1" applyAlignment="1">
      <alignment horizontal="right" vertical="center"/>
    </xf>
    <xf numFmtId="167" fontId="6" fillId="21" borderId="0" xfId="2" quotePrefix="1" applyNumberFormat="1" applyFont="1" applyFill="1" applyBorder="1" applyAlignment="1">
      <alignment horizontal="right" vertical="center"/>
    </xf>
    <xf numFmtId="0" fontId="18" fillId="21" borderId="3" xfId="0" applyFont="1" applyFill="1" applyBorder="1"/>
    <xf numFmtId="0" fontId="34" fillId="21" borderId="3" xfId="0" applyFont="1" applyFill="1" applyBorder="1"/>
    <xf numFmtId="166" fontId="29" fillId="21" borderId="3" xfId="1" applyNumberFormat="1" applyFont="1" applyFill="1" applyBorder="1" applyAlignment="1">
      <alignment horizontal="right" vertical="center"/>
    </xf>
    <xf numFmtId="0" fontId="12" fillId="21" borderId="3" xfId="0" applyFont="1" applyFill="1" applyBorder="1"/>
    <xf numFmtId="0" fontId="6" fillId="21" borderId="3" xfId="2" applyNumberFormat="1" applyFont="1" applyFill="1" applyBorder="1" applyAlignment="1">
      <alignment horizontal="left" vertical="center"/>
    </xf>
    <xf numFmtId="0" fontId="0" fillId="21" borderId="3" xfId="0" applyFill="1" applyBorder="1"/>
    <xf numFmtId="173" fontId="6" fillId="21" borderId="3" xfId="2" applyNumberFormat="1" applyFont="1" applyFill="1" applyBorder="1" applyAlignment="1">
      <alignment horizontal="right" vertical="center"/>
    </xf>
    <xf numFmtId="167" fontId="6" fillId="21" borderId="3" xfId="2" applyNumberFormat="1" applyFont="1" applyFill="1" applyBorder="1" applyAlignment="1">
      <alignment horizontal="right" vertical="center"/>
    </xf>
    <xf numFmtId="167" fontId="30" fillId="21" borderId="3" xfId="2" applyNumberFormat="1" applyFont="1" applyFill="1" applyBorder="1" applyAlignment="1">
      <alignment horizontal="right" vertical="center"/>
    </xf>
    <xf numFmtId="0" fontId="6" fillId="21" borderId="2" xfId="2" applyNumberFormat="1" applyFont="1" applyFill="1" applyBorder="1" applyAlignment="1">
      <alignment horizontal="left" vertical="center"/>
    </xf>
    <xf numFmtId="173" fontId="6" fillId="21" borderId="2" xfId="2" applyNumberFormat="1" applyFont="1" applyFill="1" applyBorder="1" applyAlignment="1">
      <alignment horizontal="right" vertical="center"/>
    </xf>
    <xf numFmtId="167" fontId="6" fillId="21" borderId="2" xfId="2" applyNumberFormat="1" applyFont="1" applyFill="1" applyBorder="1" applyAlignment="1">
      <alignment horizontal="right" vertical="center"/>
    </xf>
    <xf numFmtId="0" fontId="6" fillId="23" borderId="7" xfId="2" applyNumberFormat="1" applyFont="1" applyFill="1" applyBorder="1" applyAlignment="1">
      <alignment horizontal="left" vertical="center"/>
    </xf>
    <xf numFmtId="168" fontId="6" fillId="23" borderId="7" xfId="2" applyNumberFormat="1" applyFont="1" applyFill="1" applyBorder="1" applyAlignment="1">
      <alignment horizontal="right" vertical="center"/>
    </xf>
    <xf numFmtId="0" fontId="0" fillId="23" borderId="0" xfId="0" applyFill="1" applyBorder="1"/>
    <xf numFmtId="0" fontId="10" fillId="23" borderId="0" xfId="0" applyFont="1" applyFill="1" applyBorder="1"/>
    <xf numFmtId="0" fontId="6" fillId="23" borderId="0" xfId="2" applyNumberFormat="1" applyFont="1" applyFill="1" applyBorder="1" applyAlignment="1">
      <alignment horizontal="left" vertical="center" indent="1"/>
    </xf>
    <xf numFmtId="172" fontId="6" fillId="23" borderId="0" xfId="2" applyNumberFormat="1" applyFont="1" applyFill="1" applyBorder="1" applyAlignment="1">
      <alignment horizontal="right" vertical="center"/>
    </xf>
    <xf numFmtId="168" fontId="6" fillId="23" borderId="0" xfId="2" applyNumberFormat="1" applyFont="1" applyFill="1" applyBorder="1" applyAlignment="1">
      <alignment horizontal="right" vertical="center"/>
    </xf>
    <xf numFmtId="0" fontId="15" fillId="23" borderId="1" xfId="2" applyNumberFormat="1" applyFont="1" applyFill="1" applyBorder="1" applyAlignment="1">
      <alignment vertical="center"/>
    </xf>
    <xf numFmtId="0" fontId="0" fillId="23" borderId="1" xfId="0" applyFill="1" applyBorder="1"/>
    <xf numFmtId="173" fontId="15" fillId="23" borderId="1" xfId="2" applyNumberFormat="1" applyFont="1" applyFill="1" applyBorder="1" applyAlignment="1">
      <alignment horizontal="right" vertical="center"/>
    </xf>
    <xf numFmtId="167" fontId="15" fillId="23" borderId="1" xfId="2" applyNumberFormat="1" applyFont="1" applyFill="1" applyBorder="1" applyAlignment="1">
      <alignment horizontal="right" vertical="center"/>
    </xf>
    <xf numFmtId="167" fontId="10" fillId="23" borderId="1" xfId="0" applyNumberFormat="1" applyFont="1" applyFill="1" applyBorder="1"/>
    <xf numFmtId="0" fontId="15" fillId="23" borderId="1" xfId="2" applyNumberFormat="1" applyFont="1" applyFill="1" applyBorder="1" applyAlignment="1">
      <alignment horizontal="left" vertical="center"/>
    </xf>
    <xf numFmtId="0" fontId="6" fillId="23" borderId="7" xfId="2" applyNumberFormat="1" applyFont="1" applyFill="1" applyBorder="1" applyAlignment="1">
      <alignment horizontal="left" vertical="center" indent="1"/>
    </xf>
    <xf numFmtId="173" fontId="6" fillId="23" borderId="7" xfId="2" applyNumberFormat="1" applyFont="1" applyFill="1" applyBorder="1" applyAlignment="1">
      <alignment horizontal="right" vertical="center"/>
    </xf>
    <xf numFmtId="167" fontId="6" fillId="23" borderId="7" xfId="2" applyNumberFormat="1" applyFont="1" applyFill="1" applyBorder="1" applyAlignment="1">
      <alignment horizontal="right" vertical="center"/>
    </xf>
    <xf numFmtId="0" fontId="15" fillId="23" borderId="1" xfId="2" applyNumberFormat="1" applyFont="1" applyFill="1" applyBorder="1" applyAlignment="1">
      <alignment horizontal="left" vertical="center" wrapText="1"/>
    </xf>
    <xf numFmtId="0" fontId="35" fillId="23" borderId="1" xfId="3" applyNumberFormat="1" applyFont="1" applyFill="1" applyBorder="1" applyAlignment="1">
      <alignment horizontal="left" vertical="center"/>
    </xf>
    <xf numFmtId="0" fontId="36" fillId="23" borderId="1" xfId="0" applyFont="1" applyFill="1" applyBorder="1"/>
    <xf numFmtId="166" fontId="37" fillId="23" borderId="1" xfId="0" applyNumberFormat="1" applyFont="1" applyFill="1" applyBorder="1"/>
    <xf numFmtId="0" fontId="6" fillId="26" borderId="10" xfId="3" applyNumberFormat="1" applyFont="1" applyFill="1" applyBorder="1" applyAlignment="1">
      <alignment horizontal="left" vertical="center"/>
    </xf>
    <xf numFmtId="168" fontId="6" fillId="26" borderId="10" xfId="0" applyNumberFormat="1" applyFont="1" applyFill="1" applyBorder="1" applyAlignment="1">
      <alignment horizontal="right" vertical="center"/>
    </xf>
    <xf numFmtId="167" fontId="6" fillId="26" borderId="10" xfId="3" applyNumberFormat="1" applyFont="1" applyFill="1" applyBorder="1" applyAlignment="1">
      <alignment horizontal="right" vertical="center"/>
    </xf>
    <xf numFmtId="0" fontId="6" fillId="26" borderId="0" xfId="3" applyNumberFormat="1" applyFont="1" applyFill="1" applyBorder="1" applyAlignment="1">
      <alignment horizontal="left" vertical="center"/>
    </xf>
    <xf numFmtId="0" fontId="0" fillId="26" borderId="0" xfId="0" applyFill="1" applyBorder="1"/>
    <xf numFmtId="168" fontId="6" fillId="26" borderId="0" xfId="0" applyNumberFormat="1" applyFont="1" applyFill="1" applyBorder="1" applyAlignment="1">
      <alignment horizontal="right" vertical="center"/>
    </xf>
    <xf numFmtId="167" fontId="6" fillId="26" borderId="0" xfId="3" applyNumberFormat="1" applyFont="1" applyFill="1" applyBorder="1" applyAlignment="1">
      <alignment horizontal="right" vertical="center"/>
    </xf>
    <xf numFmtId="0" fontId="10" fillId="26" borderId="0" xfId="0" applyFont="1" applyFill="1" applyBorder="1"/>
    <xf numFmtId="173" fontId="6" fillId="26" borderId="10" xfId="0" quotePrefix="1" applyNumberFormat="1" applyFont="1" applyFill="1" applyBorder="1" applyAlignment="1">
      <alignment horizontal="right" vertical="center"/>
    </xf>
    <xf numFmtId="167" fontId="6" fillId="26" borderId="10" xfId="3" quotePrefix="1" applyNumberFormat="1" applyFont="1" applyFill="1" applyBorder="1" applyAlignment="1">
      <alignment horizontal="right" vertical="center"/>
    </xf>
    <xf numFmtId="173" fontId="6" fillId="26" borderId="0" xfId="0" applyNumberFormat="1" applyFont="1" applyFill="1" applyBorder="1" applyAlignment="1">
      <alignment horizontal="right" vertical="center"/>
    </xf>
    <xf numFmtId="168" fontId="6" fillId="26" borderId="0" xfId="3" applyNumberFormat="1" applyFont="1" applyFill="1" applyBorder="1" applyAlignment="1">
      <alignment horizontal="right" vertical="center"/>
    </xf>
    <xf numFmtId="0" fontId="0" fillId="26" borderId="2" xfId="0" applyFill="1" applyBorder="1"/>
    <xf numFmtId="167" fontId="10" fillId="26" borderId="2" xfId="0" applyNumberFormat="1" applyFont="1" applyFill="1" applyBorder="1"/>
    <xf numFmtId="0" fontId="15" fillId="26" borderId="12" xfId="3" applyNumberFormat="1" applyFont="1" applyFill="1" applyBorder="1" applyAlignment="1">
      <alignment horizontal="left" vertical="center"/>
    </xf>
    <xf numFmtId="173" fontId="15" fillId="26" borderId="12" xfId="0" applyNumberFormat="1" applyFont="1" applyFill="1" applyBorder="1" applyAlignment="1">
      <alignment horizontal="right" vertical="center"/>
    </xf>
    <xf numFmtId="167" fontId="15" fillId="26" borderId="12" xfId="3" applyNumberFormat="1" applyFont="1" applyFill="1" applyBorder="1" applyAlignment="1">
      <alignment horizontal="right" vertical="center"/>
    </xf>
    <xf numFmtId="0" fontId="15" fillId="26" borderId="1" xfId="3" applyNumberFormat="1" applyFont="1" applyFill="1" applyBorder="1" applyAlignment="1">
      <alignment horizontal="left" vertical="center"/>
    </xf>
    <xf numFmtId="0" fontId="0" fillId="26" borderId="1" xfId="0" applyFill="1" applyBorder="1"/>
    <xf numFmtId="168" fontId="15" fillId="26" borderId="1" xfId="0" applyNumberFormat="1" applyFont="1" applyFill="1" applyBorder="1" applyAlignment="1">
      <alignment horizontal="right" vertical="center"/>
    </xf>
    <xf numFmtId="167" fontId="15" fillId="26" borderId="1" xfId="3" applyNumberFormat="1" applyFont="1" applyFill="1" applyBorder="1" applyAlignment="1">
      <alignment horizontal="right" vertical="center"/>
    </xf>
    <xf numFmtId="167" fontId="10" fillId="26" borderId="1" xfId="0" applyNumberFormat="1" applyFont="1" applyFill="1" applyBorder="1"/>
    <xf numFmtId="0" fontId="6" fillId="26" borderId="0" xfId="0" applyNumberFormat="1" applyFont="1" applyFill="1" applyBorder="1" applyAlignment="1">
      <alignment horizontal="left" vertical="center"/>
    </xf>
    <xf numFmtId="0" fontId="15" fillId="26" borderId="2" xfId="3" applyNumberFormat="1" applyFont="1" applyFill="1" applyBorder="1" applyAlignment="1">
      <alignment horizontal="left" vertical="center"/>
    </xf>
    <xf numFmtId="173" fontId="15" fillId="26" borderId="2" xfId="0" applyNumberFormat="1" applyFont="1" applyFill="1" applyBorder="1" applyAlignment="1">
      <alignment horizontal="right" vertical="center"/>
    </xf>
    <xf numFmtId="167" fontId="15" fillId="26" borderId="2" xfId="3" applyNumberFormat="1" applyFont="1" applyFill="1" applyBorder="1" applyAlignment="1">
      <alignment horizontal="right" vertical="center"/>
    </xf>
    <xf numFmtId="0" fontId="15" fillId="26" borderId="1" xfId="3" applyNumberFormat="1" applyFont="1" applyFill="1" applyBorder="1" applyAlignment="1">
      <alignment horizontal="left" vertical="center" wrapText="1"/>
    </xf>
    <xf numFmtId="173" fontId="15" fillId="26" borderId="1" xfId="0" applyNumberFormat="1" applyFont="1" applyFill="1" applyBorder="1" applyAlignment="1">
      <alignment horizontal="right" vertical="center"/>
    </xf>
    <xf numFmtId="0" fontId="35" fillId="26" borderId="1" xfId="3" applyNumberFormat="1" applyFont="1" applyFill="1" applyBorder="1" applyAlignment="1">
      <alignment vertical="center"/>
    </xf>
    <xf numFmtId="0" fontId="36" fillId="26" borderId="1" xfId="0" applyFont="1" applyFill="1" applyBorder="1"/>
    <xf numFmtId="166" fontId="35" fillId="26" borderId="1" xfId="1" applyNumberFormat="1" applyFont="1" applyFill="1" applyBorder="1" applyAlignment="1">
      <alignment vertical="center"/>
    </xf>
    <xf numFmtId="166" fontId="37" fillId="26" borderId="1" xfId="0" applyNumberFormat="1" applyFont="1" applyFill="1" applyBorder="1"/>
    <xf numFmtId="0" fontId="37" fillId="26" borderId="1" xfId="0" applyFont="1" applyFill="1" applyBorder="1"/>
    <xf numFmtId="0" fontId="0" fillId="11" borderId="0" xfId="0" applyFill="1" applyBorder="1"/>
    <xf numFmtId="168" fontId="6" fillId="11" borderId="0" xfId="0" applyNumberFormat="1" applyFont="1" applyFill="1" applyBorder="1" applyAlignment="1">
      <alignment horizontal="right" vertical="center"/>
    </xf>
    <xf numFmtId="0" fontId="15" fillId="11" borderId="4" xfId="3" applyNumberFormat="1" applyFont="1" applyFill="1" applyBorder="1" applyAlignment="1">
      <alignment horizontal="left" vertical="center"/>
    </xf>
    <xf numFmtId="0" fontId="5" fillId="11" borderId="4" xfId="0" applyFont="1" applyFill="1" applyBorder="1"/>
    <xf numFmtId="168" fontId="15" fillId="11" borderId="4" xfId="0" applyNumberFormat="1" applyFont="1" applyFill="1" applyBorder="1" applyAlignment="1">
      <alignment horizontal="right" vertical="center"/>
    </xf>
    <xf numFmtId="167" fontId="15" fillId="11" borderId="4" xfId="3" applyNumberFormat="1" applyFont="1" applyFill="1" applyBorder="1" applyAlignment="1">
      <alignment horizontal="right" vertical="center"/>
    </xf>
    <xf numFmtId="4" fontId="11" fillId="11" borderId="4" xfId="0" applyNumberFormat="1" applyFont="1" applyFill="1" applyBorder="1"/>
    <xf numFmtId="168" fontId="6" fillId="11" borderId="10" xfId="0" quotePrefix="1" applyNumberFormat="1" applyFont="1" applyFill="1" applyBorder="1" applyAlignment="1">
      <alignment horizontal="right" vertical="center"/>
    </xf>
    <xf numFmtId="167" fontId="6" fillId="11" borderId="10" xfId="3" quotePrefix="1" applyNumberFormat="1" applyFont="1" applyFill="1" applyBorder="1" applyAlignment="1">
      <alignment horizontal="right" vertical="center"/>
    </xf>
    <xf numFmtId="1" fontId="10" fillId="11" borderId="0" xfId="0" applyNumberFormat="1" applyFont="1" applyFill="1" applyBorder="1"/>
    <xf numFmtId="4" fontId="10" fillId="11" borderId="0" xfId="0" applyNumberFormat="1" applyFont="1" applyFill="1" applyBorder="1"/>
    <xf numFmtId="0" fontId="18" fillId="11" borderId="0" xfId="0" applyFont="1" applyFill="1" applyBorder="1"/>
    <xf numFmtId="177" fontId="12" fillId="11" borderId="0" xfId="0" applyNumberFormat="1" applyFont="1" applyFill="1" applyBorder="1"/>
    <xf numFmtId="0" fontId="18" fillId="11" borderId="2" xfId="0" applyFont="1" applyFill="1" applyBorder="1"/>
    <xf numFmtId="177" fontId="29" fillId="11" borderId="2" xfId="1" applyNumberFormat="1" applyFont="1" applyFill="1" applyBorder="1" applyAlignment="1">
      <alignment horizontal="right" vertical="center"/>
    </xf>
    <xf numFmtId="177" fontId="12" fillId="11" borderId="2" xfId="0" applyNumberFormat="1" applyFont="1" applyFill="1" applyBorder="1"/>
    <xf numFmtId="0" fontId="29" fillId="8" borderId="0" xfId="3" applyNumberFormat="1" applyFont="1" applyFill="1" applyBorder="1" applyAlignment="1">
      <alignment horizontal="left" vertical="center" indent="1"/>
    </xf>
    <xf numFmtId="166" fontId="6" fillId="8" borderId="0" xfId="1" applyNumberFormat="1" applyFont="1" applyFill="1" applyBorder="1" applyAlignment="1">
      <alignment horizontal="right" vertical="center"/>
    </xf>
    <xf numFmtId="0" fontId="0" fillId="8" borderId="2" xfId="0" applyFill="1" applyBorder="1"/>
    <xf numFmtId="168" fontId="6" fillId="9" borderId="12" xfId="0" applyNumberFormat="1" applyFont="1" applyFill="1" applyBorder="1" applyAlignment="1">
      <alignment horizontal="right" vertical="center"/>
    </xf>
    <xf numFmtId="167" fontId="6" fillId="9" borderId="12" xfId="3" applyNumberFormat="1" applyFont="1" applyFill="1" applyBorder="1" applyAlignment="1">
      <alignment horizontal="right" vertical="center"/>
    </xf>
    <xf numFmtId="0" fontId="29" fillId="8" borderId="1" xfId="3" applyNumberFormat="1" applyFont="1" applyFill="1" applyBorder="1" applyAlignment="1">
      <alignment horizontal="left" vertical="center" indent="1"/>
    </xf>
    <xf numFmtId="166" fontId="6" fillId="8" borderId="1" xfId="1" applyNumberFormat="1" applyFont="1" applyFill="1" applyBorder="1" applyAlignment="1">
      <alignment horizontal="right" vertical="center"/>
    </xf>
    <xf numFmtId="166" fontId="10" fillId="8" borderId="1" xfId="0" applyNumberFormat="1" applyFont="1" applyFill="1" applyBorder="1"/>
    <xf numFmtId="4" fontId="10" fillId="8" borderId="0" xfId="0" applyNumberFormat="1" applyFont="1" applyFill="1" applyBorder="1"/>
    <xf numFmtId="0" fontId="6" fillId="8" borderId="2" xfId="3" applyNumberFormat="1" applyFont="1" applyFill="1" applyBorder="1" applyAlignment="1">
      <alignment horizontal="left" vertical="center" wrapText="1"/>
    </xf>
    <xf numFmtId="167" fontId="6" fillId="8" borderId="2" xfId="3" applyNumberFormat="1" applyFont="1" applyFill="1" applyBorder="1" applyAlignment="1">
      <alignment horizontal="right" vertical="center"/>
    </xf>
    <xf numFmtId="0" fontId="6" fillId="8" borderId="20" xfId="3" applyNumberFormat="1" applyFont="1" applyFill="1" applyBorder="1" applyAlignment="1">
      <alignment horizontal="left" vertical="center"/>
    </xf>
    <xf numFmtId="0" fontId="0" fillId="8" borderId="20" xfId="0" applyFill="1" applyBorder="1"/>
    <xf numFmtId="167" fontId="6" fillId="8" borderId="20" xfId="3" applyNumberFormat="1" applyFont="1" applyFill="1" applyBorder="1" applyAlignment="1">
      <alignment horizontal="right" vertical="center"/>
    </xf>
    <xf numFmtId="0" fontId="10" fillId="8" borderId="20" xfId="0" applyFont="1" applyFill="1" applyBorder="1"/>
    <xf numFmtId="0" fontId="6" fillId="8" borderId="1" xfId="3" applyNumberFormat="1" applyFont="1" applyFill="1" applyBorder="1" applyAlignment="1">
      <alignment horizontal="left" vertical="center" wrapText="1"/>
    </xf>
    <xf numFmtId="10" fontId="6" fillId="8" borderId="1" xfId="1" applyNumberFormat="1" applyFont="1" applyFill="1" applyBorder="1" applyAlignment="1">
      <alignment horizontal="right" vertical="center"/>
    </xf>
    <xf numFmtId="0" fontId="18" fillId="8" borderId="0" xfId="0" applyFont="1" applyFill="1" applyBorder="1"/>
    <xf numFmtId="177" fontId="12" fillId="8" borderId="0" xfId="0" applyNumberFormat="1" applyFont="1" applyFill="1" applyBorder="1"/>
    <xf numFmtId="0" fontId="15" fillId="8" borderId="20" xfId="3" applyNumberFormat="1" applyFont="1" applyFill="1" applyBorder="1" applyAlignment="1">
      <alignment horizontal="left" vertical="center"/>
    </xf>
    <xf numFmtId="173" fontId="15" fillId="8" borderId="20" xfId="0" applyNumberFormat="1" applyFont="1" applyFill="1" applyBorder="1" applyAlignment="1">
      <alignment horizontal="right" vertical="center"/>
    </xf>
    <xf numFmtId="167" fontId="6" fillId="8" borderId="3" xfId="3" applyNumberFormat="1" applyFont="1" applyFill="1" applyBorder="1" applyAlignment="1">
      <alignment horizontal="right" vertical="center"/>
    </xf>
    <xf numFmtId="167" fontId="30" fillId="8" borderId="3" xfId="3" applyNumberFormat="1" applyFont="1" applyFill="1" applyBorder="1" applyAlignment="1">
      <alignment horizontal="right" vertical="center"/>
    </xf>
    <xf numFmtId="0" fontId="29" fillId="21" borderId="2" xfId="2" applyNumberFormat="1" applyFont="1" applyFill="1" applyBorder="1" applyAlignment="1">
      <alignment horizontal="left" vertical="center" indent="1"/>
    </xf>
    <xf numFmtId="0" fontId="29" fillId="21" borderId="0" xfId="2" applyNumberFormat="1" applyFont="1" applyFill="1" applyBorder="1" applyAlignment="1">
      <alignment horizontal="left" vertical="center" indent="1"/>
    </xf>
    <xf numFmtId="0" fontId="29" fillId="21" borderId="3" xfId="2" applyNumberFormat="1" applyFont="1" applyFill="1" applyBorder="1" applyAlignment="1">
      <alignment horizontal="left" vertical="center" indent="1"/>
    </xf>
    <xf numFmtId="0" fontId="29" fillId="17" borderId="2" xfId="2" applyNumberFormat="1" applyFont="1" applyFill="1" applyBorder="1" applyAlignment="1">
      <alignment horizontal="left" vertical="center" indent="1"/>
    </xf>
    <xf numFmtId="0" fontId="29" fillId="17" borderId="0" xfId="2" applyNumberFormat="1" applyFont="1" applyFill="1" applyBorder="1" applyAlignment="1">
      <alignment horizontal="left" vertical="center" indent="1"/>
    </xf>
    <xf numFmtId="0" fontId="29" fillId="11" borderId="2" xfId="3" applyNumberFormat="1" applyFont="1" applyFill="1" applyBorder="1" applyAlignment="1">
      <alignment horizontal="left" vertical="center" indent="1"/>
    </xf>
    <xf numFmtId="0" fontId="29" fillId="11" borderId="3" xfId="3" applyNumberFormat="1" applyFont="1" applyFill="1" applyBorder="1" applyAlignment="1">
      <alignment horizontal="left" vertical="center" indent="1"/>
    </xf>
    <xf numFmtId="0" fontId="29" fillId="14" borderId="0" xfId="3" applyNumberFormat="1" applyFont="1" applyFill="1" applyBorder="1" applyAlignment="1">
      <alignment horizontal="left" vertical="center" indent="1"/>
    </xf>
    <xf numFmtId="0" fontId="18" fillId="14" borderId="0" xfId="0" applyFont="1" applyFill="1" applyBorder="1"/>
    <xf numFmtId="10" fontId="12" fillId="14" borderId="0" xfId="0" applyNumberFormat="1" applyFont="1" applyFill="1" applyBorder="1"/>
    <xf numFmtId="2" fontId="10" fillId="14" borderId="0" xfId="0" applyNumberFormat="1" applyFont="1" applyFill="1" applyBorder="1"/>
    <xf numFmtId="174" fontId="6" fillId="14" borderId="0" xfId="0" applyNumberFormat="1" applyFont="1" applyFill="1" applyBorder="1" applyAlignment="1">
      <alignment horizontal="right" vertical="center"/>
    </xf>
    <xf numFmtId="0" fontId="15" fillId="14" borderId="20" xfId="3" applyNumberFormat="1" applyFont="1" applyFill="1" applyBorder="1" applyAlignment="1">
      <alignment horizontal="left" vertical="center"/>
    </xf>
    <xf numFmtId="173" fontId="15" fillId="14" borderId="20" xfId="0" applyNumberFormat="1" applyFont="1" applyFill="1" applyBorder="1" applyAlignment="1">
      <alignment horizontal="right" vertical="center"/>
    </xf>
    <xf numFmtId="0" fontId="29" fillId="17" borderId="3" xfId="2" applyNumberFormat="1" applyFont="1" applyFill="1" applyBorder="1" applyAlignment="1">
      <alignment horizontal="left" vertical="center" indent="1"/>
    </xf>
    <xf numFmtId="0" fontId="38" fillId="29" borderId="4" xfId="0" applyFont="1" applyFill="1" applyBorder="1"/>
    <xf numFmtId="0" fontId="32" fillId="10" borderId="25" xfId="3" applyNumberFormat="1" applyFont="1" applyFill="1" applyBorder="1" applyAlignment="1">
      <alignment horizontal="left" vertical="center"/>
    </xf>
    <xf numFmtId="0" fontId="19" fillId="10" borderId="25" xfId="0" applyFont="1" applyFill="1" applyBorder="1"/>
    <xf numFmtId="0" fontId="21" fillId="10" borderId="25" xfId="0" applyFont="1" applyFill="1" applyBorder="1"/>
    <xf numFmtId="0" fontId="32" fillId="13" borderId="4" xfId="3" applyNumberFormat="1" applyFont="1" applyFill="1" applyBorder="1" applyAlignment="1">
      <alignment horizontal="left" vertical="center"/>
    </xf>
    <xf numFmtId="0" fontId="19" fillId="13" borderId="4" xfId="0" applyFont="1" applyFill="1" applyBorder="1"/>
    <xf numFmtId="0" fontId="33" fillId="13" borderId="4" xfId="0" applyFont="1" applyFill="1" applyBorder="1"/>
    <xf numFmtId="0" fontId="21" fillId="13" borderId="4" xfId="0" applyFont="1" applyFill="1" applyBorder="1"/>
    <xf numFmtId="0" fontId="32" fillId="16" borderId="4" xfId="3" applyNumberFormat="1" applyFont="1" applyFill="1" applyBorder="1" applyAlignment="1">
      <alignment horizontal="left" vertical="center"/>
    </xf>
    <xf numFmtId="0" fontId="19" fillId="16" borderId="4" xfId="0" applyFont="1" applyFill="1" applyBorder="1"/>
    <xf numFmtId="0" fontId="33" fillId="16" borderId="4" xfId="0" applyFont="1" applyFill="1" applyBorder="1"/>
    <xf numFmtId="0" fontId="21" fillId="16" borderId="4" xfId="0" applyFont="1" applyFill="1" applyBorder="1"/>
    <xf numFmtId="0" fontId="32" fillId="19" borderId="4" xfId="3" applyNumberFormat="1" applyFont="1" applyFill="1" applyBorder="1" applyAlignment="1">
      <alignment horizontal="left" vertical="center"/>
    </xf>
    <xf numFmtId="0" fontId="19" fillId="19" borderId="4" xfId="0" applyFont="1" applyFill="1" applyBorder="1"/>
    <xf numFmtId="0" fontId="33" fillId="19" borderId="4" xfId="0" applyFont="1" applyFill="1" applyBorder="1"/>
    <xf numFmtId="0" fontId="21" fillId="19" borderId="4" xfId="0" applyFont="1" applyFill="1" applyBorder="1"/>
    <xf numFmtId="0" fontId="32" fillId="20" borderId="4" xfId="3" applyNumberFormat="1" applyFont="1" applyFill="1" applyBorder="1" applyAlignment="1">
      <alignment horizontal="left" vertical="center"/>
    </xf>
    <xf numFmtId="0" fontId="19" fillId="20" borderId="4" xfId="0" applyFont="1" applyFill="1" applyBorder="1"/>
    <xf numFmtId="0" fontId="33" fillId="20" borderId="4" xfId="0" applyFont="1" applyFill="1" applyBorder="1"/>
    <xf numFmtId="0" fontId="21" fillId="20" borderId="4" xfId="0" applyFont="1" applyFill="1" applyBorder="1"/>
    <xf numFmtId="0" fontId="32" fillId="25" borderId="4" xfId="3" applyNumberFormat="1" applyFont="1" applyFill="1" applyBorder="1" applyAlignment="1">
      <alignment horizontal="left" vertical="center"/>
    </xf>
    <xf numFmtId="0" fontId="19" fillId="25" borderId="4" xfId="0" applyFont="1" applyFill="1" applyBorder="1"/>
    <xf numFmtId="0" fontId="33" fillId="25" borderId="4" xfId="0" applyFont="1" applyFill="1" applyBorder="1"/>
    <xf numFmtId="0" fontId="21" fillId="25" borderId="4" xfId="0" applyFont="1" applyFill="1" applyBorder="1"/>
    <xf numFmtId="0" fontId="32" fillId="28" borderId="4" xfId="3" applyNumberFormat="1" applyFont="1" applyFill="1" applyBorder="1" applyAlignment="1">
      <alignment horizontal="left" vertical="center"/>
    </xf>
    <xf numFmtId="0" fontId="19" fillId="28" borderId="4" xfId="0" applyFont="1" applyFill="1" applyBorder="1"/>
    <xf numFmtId="0" fontId="33" fillId="28" borderId="4" xfId="0" applyFont="1" applyFill="1" applyBorder="1"/>
    <xf numFmtId="0" fontId="21" fillId="28" borderId="4" xfId="0" applyFont="1" applyFill="1" applyBorder="1"/>
    <xf numFmtId="167" fontId="0" fillId="0" borderId="0" xfId="0" applyNumberFormat="1"/>
    <xf numFmtId="0" fontId="5" fillId="0" borderId="24" xfId="0" applyFont="1" applyBorder="1"/>
    <xf numFmtId="0" fontId="0" fillId="0" borderId="24" xfId="0" applyBorder="1"/>
    <xf numFmtId="0" fontId="10" fillId="0" borderId="24" xfId="0" applyFont="1" applyBorder="1"/>
    <xf numFmtId="1" fontId="11" fillId="0" borderId="4" xfId="0" applyNumberFormat="1" applyFont="1" applyBorder="1"/>
    <xf numFmtId="1" fontId="11" fillId="0" borderId="1" xfId="0" applyNumberFormat="1" applyFont="1" applyBorder="1"/>
    <xf numFmtId="1" fontId="11" fillId="0" borderId="24" xfId="0" applyNumberFormat="1" applyFont="1" applyBorder="1"/>
    <xf numFmtId="1" fontId="11" fillId="0" borderId="0" xfId="0" applyNumberFormat="1" applyFont="1"/>
    <xf numFmtId="1" fontId="11" fillId="0" borderId="3" xfId="0" applyNumberFormat="1" applyFont="1" applyBorder="1"/>
    <xf numFmtId="1" fontId="10" fillId="0" borderId="24" xfId="0" applyNumberFormat="1" applyFont="1" applyBorder="1"/>
    <xf numFmtId="0" fontId="0" fillId="0" borderId="0" xfId="0"/>
    <xf numFmtId="2" fontId="0" fillId="0" borderId="0" xfId="0" applyNumberFormat="1"/>
    <xf numFmtId="9" fontId="10" fillId="0" borderId="0" xfId="0" applyNumberFormat="1" applyFont="1"/>
    <xf numFmtId="10" fontId="5" fillId="4" borderId="1" xfId="1" applyNumberFormat="1" applyFont="1" applyFill="1" applyBorder="1"/>
    <xf numFmtId="10" fontId="11" fillId="4" borderId="1" xfId="1" applyNumberFormat="1" applyFont="1" applyFill="1" applyBorder="1"/>
    <xf numFmtId="0" fontId="36" fillId="4" borderId="0" xfId="0" applyFont="1" applyFill="1"/>
    <xf numFmtId="166" fontId="36" fillId="4" borderId="0" xfId="1" applyNumberFormat="1" applyFont="1" applyFill="1"/>
    <xf numFmtId="2" fontId="37" fillId="4" borderId="0" xfId="1" applyNumberFormat="1" applyFont="1" applyFill="1"/>
    <xf numFmtId="2" fontId="37" fillId="4" borderId="0" xfId="1" applyNumberFormat="1" applyFont="1" applyFill="1" applyAlignment="1">
      <alignment horizontal="right"/>
    </xf>
    <xf numFmtId="10" fontId="0" fillId="0" borderId="0" xfId="0" applyNumberFormat="1"/>
    <xf numFmtId="2" fontId="0" fillId="0" borderId="0" xfId="1" applyNumberFormat="1" applyFont="1"/>
    <xf numFmtId="0" fontId="0" fillId="0" borderId="1" xfId="0" applyBorder="1"/>
    <xf numFmtId="0" fontId="0" fillId="0" borderId="1" xfId="0" applyBorder="1" applyAlignment="1">
      <alignment horizontal="center"/>
    </xf>
    <xf numFmtId="166" fontId="0" fillId="0" borderId="3" xfId="0" applyNumberFormat="1" applyBorder="1"/>
    <xf numFmtId="2" fontId="0" fillId="0" borderId="3" xfId="0" applyNumberFormat="1" applyBorder="1"/>
    <xf numFmtId="2" fontId="0" fillId="0" borderId="3" xfId="1" applyNumberFormat="1" applyFont="1" applyBorder="1"/>
    <xf numFmtId="2" fontId="0" fillId="0" borderId="1" xfId="0" applyNumberFormat="1" applyBorder="1"/>
    <xf numFmtId="0" fontId="0" fillId="0" borderId="0" xfId="0" applyBorder="1"/>
    <xf numFmtId="2" fontId="5" fillId="0" borderId="0" xfId="0" applyNumberFormat="1" applyFont="1"/>
    <xf numFmtId="166" fontId="0" fillId="7" borderId="0" xfId="1" applyNumberFormat="1" applyFont="1" applyFill="1"/>
    <xf numFmtId="0" fontId="0" fillId="7" borderId="2" xfId="0" applyFill="1" applyBorder="1"/>
    <xf numFmtId="166" fontId="0" fillId="7" borderId="2" xfId="1" applyNumberFormat="1" applyFont="1" applyFill="1" applyBorder="1"/>
    <xf numFmtId="0" fontId="0" fillId="7" borderId="0" xfId="0" applyFill="1" applyBorder="1"/>
    <xf numFmtId="166" fontId="0" fillId="7" borderId="0" xfId="1" applyNumberFormat="1" applyFont="1" applyFill="1" applyBorder="1"/>
    <xf numFmtId="0" fontId="0" fillId="7" borderId="3" xfId="0" applyFill="1" applyBorder="1"/>
    <xf numFmtId="166" fontId="0" fillId="7" borderId="3" xfId="1" applyNumberFormat="1" applyFont="1" applyFill="1" applyBorder="1"/>
    <xf numFmtId="166" fontId="0" fillId="7" borderId="30" xfId="1" applyNumberFormat="1" applyFont="1" applyFill="1" applyBorder="1"/>
    <xf numFmtId="166" fontId="0" fillId="7" borderId="27" xfId="1" applyNumberFormat="1" applyFont="1" applyFill="1" applyBorder="1"/>
    <xf numFmtId="166" fontId="0" fillId="7" borderId="28" xfId="1" applyNumberFormat="1" applyFont="1" applyFill="1" applyBorder="1"/>
    <xf numFmtId="0" fontId="0" fillId="7" borderId="31" xfId="0" applyFill="1" applyBorder="1"/>
    <xf numFmtId="0" fontId="0" fillId="7" borderId="32" xfId="0" applyFill="1" applyBorder="1"/>
    <xf numFmtId="0" fontId="0" fillId="7" borderId="33" xfId="0" applyFill="1" applyBorder="1"/>
    <xf numFmtId="166" fontId="5" fillId="0" borderId="0" xfId="1" applyNumberFormat="1" applyFont="1"/>
    <xf numFmtId="0" fontId="0" fillId="7" borderId="0" xfId="0" applyFill="1" applyBorder="1" applyAlignment="1">
      <alignment vertical="center"/>
    </xf>
    <xf numFmtId="0" fontId="0" fillId="7" borderId="31" xfId="0" applyFill="1" applyBorder="1" applyAlignment="1">
      <alignment vertical="center" wrapText="1"/>
    </xf>
    <xf numFmtId="0" fontId="0" fillId="7" borderId="4" xfId="0" applyFill="1" applyBorder="1"/>
    <xf numFmtId="0" fontId="5" fillId="7" borderId="0" xfId="0" applyFont="1" applyFill="1"/>
    <xf numFmtId="2" fontId="0" fillId="7" borderId="0" xfId="0" applyNumberFormat="1" applyFill="1"/>
    <xf numFmtId="2" fontId="5" fillId="7" borderId="0" xfId="0" applyNumberFormat="1" applyFont="1" applyFill="1"/>
    <xf numFmtId="2" fontId="0" fillId="7" borderId="0" xfId="1" applyNumberFormat="1" applyFont="1" applyFill="1"/>
    <xf numFmtId="2" fontId="0" fillId="7" borderId="0" xfId="0" applyNumberFormat="1" applyFill="1" applyAlignment="1">
      <alignment horizontal="right"/>
    </xf>
    <xf numFmtId="2" fontId="5" fillId="7" borderId="0" xfId="0" applyNumberFormat="1" applyFont="1" applyFill="1" applyAlignment="1">
      <alignment horizontal="right"/>
    </xf>
    <xf numFmtId="0" fontId="5" fillId="7" borderId="20" xfId="0" applyFont="1" applyFill="1" applyBorder="1"/>
    <xf numFmtId="2" fontId="5" fillId="7" borderId="29" xfId="0" applyNumberFormat="1" applyFont="1" applyFill="1" applyBorder="1"/>
    <xf numFmtId="10" fontId="0" fillId="7" borderId="2" xfId="0" applyNumberFormat="1" applyFill="1" applyBorder="1"/>
    <xf numFmtId="10" fontId="0" fillId="7" borderId="0" xfId="0" applyNumberFormat="1" applyFill="1" applyBorder="1"/>
    <xf numFmtId="0" fontId="5" fillId="7" borderId="3" xfId="0" applyFont="1" applyFill="1" applyBorder="1"/>
    <xf numFmtId="10" fontId="5" fillId="7" borderId="3" xfId="0" applyNumberFormat="1" applyFont="1" applyFill="1" applyBorder="1"/>
    <xf numFmtId="4" fontId="11" fillId="2" borderId="20" xfId="0" applyNumberFormat="1" applyFont="1" applyFill="1" applyBorder="1"/>
    <xf numFmtId="1" fontId="10" fillId="8" borderId="0" xfId="0" applyNumberFormat="1" applyFont="1" applyFill="1" applyBorder="1"/>
    <xf numFmtId="0" fontId="42" fillId="30" borderId="2" xfId="0" applyFont="1" applyFill="1" applyBorder="1" applyAlignment="1">
      <alignment vertical="center"/>
    </xf>
    <xf numFmtId="0" fontId="42" fillId="30" borderId="3" xfId="0" applyFont="1" applyFill="1" applyBorder="1" applyAlignment="1">
      <alignment vertical="center"/>
    </xf>
    <xf numFmtId="0" fontId="0" fillId="7" borderId="2" xfId="0" applyFill="1" applyBorder="1" applyAlignment="1">
      <alignment vertical="center"/>
    </xf>
    <xf numFmtId="0" fontId="0" fillId="7" borderId="3" xfId="0" applyFill="1" applyBorder="1" applyAlignment="1">
      <alignment vertical="center"/>
    </xf>
    <xf numFmtId="0" fontId="5" fillId="7" borderId="3" xfId="0" applyFont="1" applyFill="1" applyBorder="1" applyAlignment="1">
      <alignment vertical="center"/>
    </xf>
    <xf numFmtId="175" fontId="5" fillId="7" borderId="3" xfId="0" applyNumberFormat="1" applyFont="1" applyFill="1" applyBorder="1" applyAlignment="1">
      <alignment horizontal="right" vertical="center"/>
    </xf>
    <xf numFmtId="0" fontId="0" fillId="0" borderId="0" xfId="0" applyAlignment="1">
      <alignment vertical="center"/>
    </xf>
    <xf numFmtId="0" fontId="0" fillId="0" borderId="2" xfId="0" applyBorder="1" applyAlignment="1">
      <alignment vertical="center"/>
    </xf>
    <xf numFmtId="0" fontId="0" fillId="0" borderId="2" xfId="0" applyFont="1" applyBorder="1" applyAlignment="1">
      <alignment vertical="center"/>
    </xf>
    <xf numFmtId="0" fontId="0" fillId="0" borderId="3" xfId="0" applyBorder="1" applyAlignment="1">
      <alignment vertical="center"/>
    </xf>
    <xf numFmtId="0" fontId="5" fillId="0" borderId="3" xfId="0" applyFont="1" applyBorder="1" applyAlignment="1">
      <alignment vertical="center"/>
    </xf>
    <xf numFmtId="0" fontId="0" fillId="7" borderId="34" xfId="0" applyFill="1" applyBorder="1" applyAlignment="1">
      <alignment vertical="center"/>
    </xf>
    <xf numFmtId="0" fontId="42" fillId="30" borderId="34" xfId="0" applyFont="1" applyFill="1" applyBorder="1" applyAlignment="1">
      <alignment vertical="center"/>
    </xf>
    <xf numFmtId="0" fontId="5" fillId="0" borderId="0" xfId="0" applyFont="1" applyBorder="1"/>
    <xf numFmtId="0" fontId="9" fillId="0" borderId="0" xfId="0" applyFont="1" applyBorder="1"/>
    <xf numFmtId="0" fontId="11" fillId="0" borderId="0" xfId="0" applyFont="1" applyBorder="1"/>
    <xf numFmtId="1" fontId="0" fillId="0" borderId="0" xfId="0" applyNumberFormat="1"/>
    <xf numFmtId="0" fontId="43" fillId="6" borderId="4" xfId="0" applyFont="1" applyFill="1" applyBorder="1"/>
    <xf numFmtId="0" fontId="11" fillId="0" borderId="0" xfId="0" applyFont="1"/>
    <xf numFmtId="166" fontId="11" fillId="0" borderId="0" xfId="1" applyNumberFormat="1" applyFont="1"/>
    <xf numFmtId="166" fontId="11" fillId="0" borderId="3" xfId="1" applyNumberFormat="1" applyFont="1" applyBorder="1"/>
    <xf numFmtId="2" fontId="11" fillId="0" borderId="0" xfId="1" applyNumberFormat="1" applyFont="1" applyBorder="1"/>
    <xf numFmtId="166" fontId="11" fillId="0" borderId="0" xfId="1" applyNumberFormat="1" applyFont="1" applyBorder="1"/>
    <xf numFmtId="10" fontId="10" fillId="0" borderId="0" xfId="1" applyNumberFormat="1" applyFont="1"/>
    <xf numFmtId="10" fontId="11" fillId="0" borderId="3" xfId="0" applyNumberFormat="1" applyFont="1" applyBorder="1"/>
    <xf numFmtId="2" fontId="10" fillId="0" borderId="0" xfId="0" applyNumberFormat="1" applyFont="1"/>
    <xf numFmtId="0" fontId="31" fillId="0" borderId="0" xfId="0" applyFont="1" applyFill="1" applyBorder="1" applyAlignment="1">
      <alignment horizontal="right"/>
    </xf>
    <xf numFmtId="182" fontId="30" fillId="0" borderId="0" xfId="0" applyNumberFormat="1" applyFont="1"/>
    <xf numFmtId="10" fontId="30" fillId="0" borderId="0" xfId="1" applyNumberFormat="1" applyFont="1"/>
    <xf numFmtId="182" fontId="10" fillId="0" borderId="0" xfId="0" applyNumberFormat="1" applyFont="1"/>
    <xf numFmtId="183" fontId="31" fillId="0" borderId="0" xfId="0" applyNumberFormat="1" applyFont="1"/>
    <xf numFmtId="183" fontId="30" fillId="0" borderId="3" xfId="0" applyNumberFormat="1" applyFont="1" applyBorder="1"/>
    <xf numFmtId="164" fontId="31" fillId="0" borderId="0" xfId="32" applyFont="1"/>
    <xf numFmtId="0" fontId="30" fillId="0" borderId="3" xfId="0" applyFont="1" applyFill="1" applyBorder="1" applyAlignment="1">
      <alignment horizontal="right"/>
    </xf>
    <xf numFmtId="0" fontId="13" fillId="0" borderId="4" xfId="0" applyFont="1" applyBorder="1" applyAlignment="1">
      <alignment horizontal="right"/>
    </xf>
    <xf numFmtId="0" fontId="13" fillId="0" borderId="0" xfId="0" applyFont="1" applyAlignment="1">
      <alignment horizontal="right"/>
    </xf>
    <xf numFmtId="0" fontId="44" fillId="0" borderId="2" xfId="0" applyFont="1" applyBorder="1"/>
    <xf numFmtId="0" fontId="44" fillId="0" borderId="3" xfId="0" applyFont="1" applyBorder="1"/>
    <xf numFmtId="0" fontId="44" fillId="0" borderId="1" xfId="0" applyFont="1" applyBorder="1"/>
    <xf numFmtId="0" fontId="13" fillId="0" borderId="3" xfId="0" applyFont="1" applyBorder="1"/>
    <xf numFmtId="0" fontId="44" fillId="0" borderId="0" xfId="0" applyFont="1" applyBorder="1"/>
    <xf numFmtId="0" fontId="0" fillId="0" borderId="0" xfId="0" applyFill="1" applyBorder="1"/>
    <xf numFmtId="0" fontId="45" fillId="2" borderId="4" xfId="0" applyFont="1" applyFill="1" applyBorder="1" applyAlignment="1">
      <alignment horizontal="left"/>
    </xf>
    <xf numFmtId="0" fontId="0" fillId="2" borderId="4" xfId="0" applyFill="1" applyBorder="1" applyAlignment="1">
      <alignment horizontal="right"/>
    </xf>
    <xf numFmtId="1" fontId="5" fillId="0" borderId="1" xfId="0" applyNumberFormat="1" applyFont="1" applyBorder="1"/>
    <xf numFmtId="1" fontId="0" fillId="0" borderId="0" xfId="0" applyNumberFormat="1" applyFont="1" applyFill="1" applyBorder="1"/>
    <xf numFmtId="1" fontId="5" fillId="0" borderId="24" xfId="0" applyNumberFormat="1" applyFont="1" applyBorder="1"/>
    <xf numFmtId="0" fontId="19" fillId="0" borderId="0" xfId="0" applyFont="1"/>
    <xf numFmtId="166" fontId="0" fillId="0" borderId="2" xfId="1" applyNumberFormat="1" applyFont="1" applyBorder="1"/>
    <xf numFmtId="166" fontId="0" fillId="0" borderId="2" xfId="0" applyNumberFormat="1" applyBorder="1"/>
    <xf numFmtId="0" fontId="0" fillId="0" borderId="2" xfId="0" applyBorder="1" applyAlignment="1">
      <alignment horizontal="left" indent="1"/>
    </xf>
    <xf numFmtId="1" fontId="0" fillId="0" borderId="2" xfId="1" applyNumberFormat="1" applyFont="1" applyBorder="1"/>
    <xf numFmtId="166" fontId="0" fillId="0" borderId="3" xfId="1" applyNumberFormat="1" applyFont="1" applyBorder="1"/>
    <xf numFmtId="1" fontId="0" fillId="0" borderId="3" xfId="1" applyNumberFormat="1" applyFont="1" applyBorder="1"/>
    <xf numFmtId="0" fontId="5" fillId="6" borderId="3" xfId="0" applyFont="1" applyFill="1" applyBorder="1"/>
    <xf numFmtId="166" fontId="5" fillId="6" borderId="3" xfId="0" applyNumberFormat="1" applyFont="1" applyFill="1" applyBorder="1"/>
    <xf numFmtId="180" fontId="0" fillId="0" borderId="2" xfId="1" applyNumberFormat="1" applyFont="1" applyBorder="1"/>
    <xf numFmtId="0" fontId="5" fillId="14" borderId="0" xfId="0" applyFont="1" applyFill="1"/>
    <xf numFmtId="166" fontId="5" fillId="14" borderId="0" xfId="0" applyNumberFormat="1" applyFont="1" applyFill="1"/>
    <xf numFmtId="0" fontId="23" fillId="31" borderId="4" xfId="0" applyFont="1" applyFill="1" applyBorder="1"/>
    <xf numFmtId="0" fontId="45" fillId="31" borderId="4" xfId="0" applyFont="1" applyFill="1" applyBorder="1" applyAlignment="1">
      <alignment horizontal="left"/>
    </xf>
    <xf numFmtId="0" fontId="0" fillId="31" borderId="4" xfId="0" applyFill="1" applyBorder="1" applyAlignment="1">
      <alignment horizontal="right"/>
    </xf>
    <xf numFmtId="0" fontId="13" fillId="31" borderId="4" xfId="0" applyFont="1" applyFill="1" applyBorder="1" applyAlignment="1">
      <alignment horizontal="right"/>
    </xf>
    <xf numFmtId="0" fontId="10" fillId="31" borderId="4" xfId="0" applyFont="1" applyFill="1" applyBorder="1" applyAlignment="1">
      <alignment horizontal="right"/>
    </xf>
    <xf numFmtId="0" fontId="0" fillId="31" borderId="4" xfId="0" applyFill="1" applyBorder="1"/>
    <xf numFmtId="0" fontId="0" fillId="31" borderId="0" xfId="0" applyFill="1"/>
    <xf numFmtId="0" fontId="0" fillId="31" borderId="0" xfId="0" applyFill="1" applyAlignment="1">
      <alignment horizontal="right"/>
    </xf>
    <xf numFmtId="0" fontId="13" fillId="31" borderId="0" xfId="0" applyFont="1" applyFill="1" applyAlignment="1">
      <alignment horizontal="right"/>
    </xf>
    <xf numFmtId="0" fontId="10" fillId="31" borderId="0" xfId="0" applyFont="1" applyFill="1" applyAlignment="1">
      <alignment horizontal="right"/>
    </xf>
    <xf numFmtId="166" fontId="0" fillId="31" borderId="0" xfId="1" applyNumberFormat="1" applyFont="1" applyFill="1" applyAlignment="1">
      <alignment horizontal="right"/>
    </xf>
    <xf numFmtId="166" fontId="13" fillId="31" borderId="0" xfId="1" applyNumberFormat="1" applyFont="1" applyFill="1" applyAlignment="1">
      <alignment horizontal="right"/>
    </xf>
    <xf numFmtId="0" fontId="5" fillId="31" borderId="2" xfId="0" applyFont="1" applyFill="1" applyBorder="1"/>
    <xf numFmtId="166" fontId="5" fillId="31" borderId="2" xfId="1" applyNumberFormat="1" applyFont="1" applyFill="1" applyBorder="1"/>
    <xf numFmtId="166" fontId="44" fillId="31" borderId="2" xfId="1" applyNumberFormat="1" applyFont="1" applyFill="1" applyBorder="1"/>
    <xf numFmtId="9" fontId="11" fillId="31" borderId="2" xfId="1" applyFont="1" applyFill="1" applyBorder="1"/>
    <xf numFmtId="0" fontId="5" fillId="31" borderId="3" xfId="0" applyFont="1" applyFill="1" applyBorder="1"/>
    <xf numFmtId="166" fontId="5" fillId="31" borderId="3" xfId="1" applyNumberFormat="1" applyFont="1" applyFill="1" applyBorder="1"/>
    <xf numFmtId="166" fontId="44" fillId="31" borderId="3" xfId="1" applyNumberFormat="1" applyFont="1" applyFill="1" applyBorder="1"/>
    <xf numFmtId="9" fontId="11" fillId="31" borderId="3" xfId="1" applyFont="1" applyFill="1" applyBorder="1"/>
    <xf numFmtId="166" fontId="0" fillId="31" borderId="0" xfId="1" applyNumberFormat="1" applyFont="1" applyFill="1"/>
    <xf numFmtId="166" fontId="13" fillId="31" borderId="0" xfId="1" applyNumberFormat="1" applyFont="1" applyFill="1"/>
    <xf numFmtId="9" fontId="10" fillId="31" borderId="0" xfId="1" applyFont="1" applyFill="1"/>
    <xf numFmtId="0" fontId="5" fillId="31" borderId="1" xfId="0" applyFont="1" applyFill="1" applyBorder="1"/>
    <xf numFmtId="166" fontId="5" fillId="31" borderId="1" xfId="1" applyNumberFormat="1" applyFont="1" applyFill="1" applyBorder="1"/>
    <xf numFmtId="166" fontId="44" fillId="31" borderId="1" xfId="1" applyNumberFormat="1" applyFont="1" applyFill="1" applyBorder="1"/>
    <xf numFmtId="9" fontId="11" fillId="31" borderId="1" xfId="1" applyFont="1" applyFill="1" applyBorder="1"/>
    <xf numFmtId="0" fontId="18" fillId="31" borderId="1" xfId="0" applyFont="1" applyFill="1" applyBorder="1"/>
    <xf numFmtId="166" fontId="18" fillId="31" borderId="1" xfId="1" applyNumberFormat="1" applyFont="1" applyFill="1" applyBorder="1"/>
    <xf numFmtId="9" fontId="12" fillId="31" borderId="1" xfId="1" applyFont="1" applyFill="1" applyBorder="1"/>
    <xf numFmtId="0" fontId="18" fillId="31" borderId="0" xfId="0" applyFont="1" applyFill="1" applyBorder="1"/>
    <xf numFmtId="166" fontId="18" fillId="31" borderId="0" xfId="1" applyNumberFormat="1" applyFont="1" applyFill="1" applyBorder="1"/>
    <xf numFmtId="9" fontId="12" fillId="31" borderId="0" xfId="1" applyFont="1" applyFill="1" applyBorder="1"/>
    <xf numFmtId="0" fontId="10" fillId="31" borderId="0" xfId="0" applyFont="1" applyFill="1"/>
    <xf numFmtId="0" fontId="0" fillId="31" borderId="3" xfId="0" applyFill="1" applyBorder="1"/>
    <xf numFmtId="166" fontId="0" fillId="31" borderId="3" xfId="1" applyNumberFormat="1" applyFont="1" applyFill="1" applyBorder="1"/>
    <xf numFmtId="166" fontId="13" fillId="31" borderId="3" xfId="1" applyNumberFormat="1" applyFont="1" applyFill="1" applyBorder="1"/>
    <xf numFmtId="0" fontId="10" fillId="31" borderId="3" xfId="0" applyFont="1" applyFill="1" applyBorder="1"/>
    <xf numFmtId="0" fontId="5" fillId="31" borderId="0" xfId="0" applyFont="1" applyFill="1" applyBorder="1"/>
    <xf numFmtId="0" fontId="9" fillId="31" borderId="0" xfId="0" applyFont="1" applyFill="1" applyBorder="1"/>
    <xf numFmtId="0" fontId="44" fillId="31" borderId="0" xfId="0" applyFont="1" applyFill="1" applyBorder="1"/>
    <xf numFmtId="0" fontId="10" fillId="7" borderId="30" xfId="0" applyFont="1" applyFill="1" applyBorder="1" applyAlignment="1">
      <alignment horizontal="right"/>
    </xf>
    <xf numFmtId="0" fontId="10" fillId="7" borderId="2" xfId="0" applyFont="1" applyFill="1" applyBorder="1" applyAlignment="1">
      <alignment horizontal="right"/>
    </xf>
    <xf numFmtId="0" fontId="10" fillId="7" borderId="35" xfId="0" applyFont="1" applyFill="1" applyBorder="1" applyAlignment="1">
      <alignment horizontal="right"/>
    </xf>
    <xf numFmtId="0" fontId="10" fillId="7" borderId="27" xfId="0" applyFont="1" applyFill="1" applyBorder="1" applyAlignment="1">
      <alignment horizontal="right"/>
    </xf>
    <xf numFmtId="0" fontId="10" fillId="7" borderId="0" xfId="0" applyFont="1" applyFill="1" applyBorder="1" applyAlignment="1">
      <alignment horizontal="right"/>
    </xf>
    <xf numFmtId="0" fontId="10" fillId="7" borderId="36" xfId="0" applyFont="1" applyFill="1" applyBorder="1" applyAlignment="1">
      <alignment horizontal="right"/>
    </xf>
    <xf numFmtId="0" fontId="10" fillId="7" borderId="28" xfId="0" applyFont="1" applyFill="1" applyBorder="1"/>
    <xf numFmtId="0" fontId="10" fillId="7" borderId="3" xfId="0" applyFont="1" applyFill="1" applyBorder="1"/>
    <xf numFmtId="0" fontId="10" fillId="7" borderId="37" xfId="0" applyFont="1" applyFill="1" applyBorder="1"/>
    <xf numFmtId="0" fontId="19" fillId="28" borderId="2" xfId="0" applyFont="1" applyFill="1" applyBorder="1"/>
    <xf numFmtId="0" fontId="19" fillId="28" borderId="2" xfId="0" applyFont="1" applyFill="1" applyBorder="1" applyAlignment="1">
      <alignment horizontal="right"/>
    </xf>
    <xf numFmtId="9" fontId="21" fillId="28" borderId="2" xfId="0" applyNumberFormat="1" applyFont="1" applyFill="1" applyBorder="1" applyAlignment="1">
      <alignment horizontal="right"/>
    </xf>
    <xf numFmtId="0" fontId="21" fillId="28" borderId="2" xfId="0" applyFont="1" applyFill="1" applyBorder="1" applyAlignment="1">
      <alignment horizontal="right"/>
    </xf>
    <xf numFmtId="0" fontId="21" fillId="28" borderId="2" xfId="0" applyFont="1" applyFill="1" applyBorder="1"/>
    <xf numFmtId="0" fontId="19" fillId="5" borderId="2" xfId="0" applyFont="1" applyFill="1" applyBorder="1"/>
    <xf numFmtId="0" fontId="19" fillId="5" borderId="2" xfId="0" applyFont="1" applyFill="1" applyBorder="1" applyAlignment="1">
      <alignment horizontal="right"/>
    </xf>
    <xf numFmtId="0" fontId="21" fillId="5" borderId="2" xfId="0" applyFont="1" applyFill="1" applyBorder="1" applyAlignment="1">
      <alignment horizontal="right"/>
    </xf>
    <xf numFmtId="0" fontId="19" fillId="32" borderId="2" xfId="0" applyFont="1" applyFill="1" applyBorder="1"/>
    <xf numFmtId="0" fontId="19" fillId="32" borderId="2" xfId="0" applyFont="1" applyFill="1" applyBorder="1" applyAlignment="1">
      <alignment horizontal="right"/>
    </xf>
    <xf numFmtId="0" fontId="21" fillId="32" borderId="2" xfId="0" applyFont="1" applyFill="1" applyBorder="1" applyAlignment="1">
      <alignment horizontal="right"/>
    </xf>
    <xf numFmtId="0" fontId="5" fillId="33" borderId="0" xfId="0" applyFont="1" applyFill="1"/>
    <xf numFmtId="0" fontId="11" fillId="33" borderId="0" xfId="0" applyFont="1" applyFill="1"/>
    <xf numFmtId="0" fontId="5" fillId="26" borderId="0" xfId="0" applyFont="1" applyFill="1"/>
    <xf numFmtId="0" fontId="11" fillId="26" borderId="0" xfId="0" applyFont="1" applyFill="1"/>
    <xf numFmtId="2" fontId="10" fillId="0" borderId="4" xfId="0" applyNumberFormat="1" applyFont="1" applyBorder="1" applyAlignment="1"/>
    <xf numFmtId="2" fontId="10" fillId="17" borderId="3" xfId="0" applyNumberFormat="1" applyFont="1" applyFill="1" applyBorder="1"/>
    <xf numFmtId="168" fontId="30" fillId="23" borderId="7" xfId="2" applyNumberFormat="1" applyFont="1" applyFill="1" applyBorder="1" applyAlignment="1">
      <alignment horizontal="right" vertical="center"/>
    </xf>
    <xf numFmtId="2" fontId="0" fillId="0" borderId="0" xfId="0" applyNumberFormat="1" applyBorder="1"/>
    <xf numFmtId="0" fontId="0" fillId="0" borderId="0" xfId="0" applyBorder="1" applyAlignment="1"/>
    <xf numFmtId="0" fontId="0" fillId="0" borderId="0" xfId="0" applyBorder="1" applyAlignment="1">
      <alignment horizontal="center"/>
    </xf>
    <xf numFmtId="2" fontId="0" fillId="0" borderId="0" xfId="1" applyNumberFormat="1" applyFont="1" applyBorder="1"/>
    <xf numFmtId="10" fontId="0" fillId="0" borderId="0" xfId="0" applyNumberFormat="1" applyBorder="1"/>
    <xf numFmtId="10" fontId="0" fillId="0" borderId="3" xfId="0" applyNumberFormat="1" applyBorder="1"/>
    <xf numFmtId="166" fontId="0" fillId="0" borderId="0" xfId="0" applyNumberFormat="1" applyBorder="1"/>
    <xf numFmtId="177" fontId="0" fillId="0" borderId="0" xfId="1" applyNumberFormat="1" applyFont="1" applyBorder="1"/>
    <xf numFmtId="0" fontId="5" fillId="5" borderId="0" xfId="0" applyFont="1" applyFill="1"/>
    <xf numFmtId="166" fontId="5" fillId="5" borderId="0" xfId="0" applyNumberFormat="1" applyFont="1" applyFill="1"/>
    <xf numFmtId="166" fontId="0" fillId="7" borderId="27" xfId="1" applyNumberFormat="1" applyFont="1" applyFill="1" applyBorder="1" applyAlignment="1">
      <alignment vertical="center"/>
    </xf>
    <xf numFmtId="0" fontId="0" fillId="7" borderId="0" xfId="0" applyFill="1" applyAlignment="1">
      <alignment horizontal="right"/>
    </xf>
    <xf numFmtId="0" fontId="13" fillId="7" borderId="0" xfId="0" applyFont="1" applyFill="1" applyAlignment="1">
      <alignment horizontal="right"/>
    </xf>
    <xf numFmtId="0" fontId="10" fillId="7" borderId="0" xfId="0" applyFont="1" applyFill="1" applyAlignment="1">
      <alignment horizontal="right"/>
    </xf>
    <xf numFmtId="0" fontId="5" fillId="7" borderId="2" xfId="0" applyFont="1" applyFill="1" applyBorder="1"/>
    <xf numFmtId="0" fontId="44" fillId="7" borderId="2" xfId="0" applyFont="1" applyFill="1" applyBorder="1"/>
    <xf numFmtId="0" fontId="13" fillId="7" borderId="0" xfId="0" applyFont="1" applyFill="1"/>
    <xf numFmtId="0" fontId="5" fillId="7" borderId="1" xfId="0" applyFont="1" applyFill="1" applyBorder="1"/>
    <xf numFmtId="0" fontId="44" fillId="7" borderId="1" xfId="0" applyFont="1" applyFill="1" applyBorder="1"/>
    <xf numFmtId="0" fontId="18" fillId="7" borderId="1" xfId="0" applyFont="1" applyFill="1" applyBorder="1"/>
    <xf numFmtId="166" fontId="18" fillId="7" borderId="1" xfId="1" applyNumberFormat="1" applyFont="1" applyFill="1" applyBorder="1"/>
    <xf numFmtId="0" fontId="18" fillId="7" borderId="0" xfId="0" applyFont="1" applyFill="1" applyBorder="1"/>
    <xf numFmtId="9" fontId="18" fillId="7" borderId="0" xfId="1" applyFont="1" applyFill="1" applyBorder="1"/>
    <xf numFmtId="0" fontId="13" fillId="7" borderId="3" xfId="0" applyFont="1" applyFill="1" applyBorder="1"/>
    <xf numFmtId="0" fontId="5" fillId="7" borderId="0" xfId="0" applyFont="1" applyFill="1" applyBorder="1"/>
    <xf numFmtId="166" fontId="12" fillId="7" borderId="1" xfId="1" applyNumberFormat="1" applyFont="1" applyFill="1" applyBorder="1"/>
    <xf numFmtId="0" fontId="0" fillId="7" borderId="1" xfId="0" applyFont="1" applyFill="1" applyBorder="1"/>
    <xf numFmtId="0" fontId="13" fillId="7" borderId="1" xfId="0" applyFont="1" applyFill="1" applyBorder="1"/>
    <xf numFmtId="0" fontId="0" fillId="0" borderId="3" xfId="0" applyFont="1" applyBorder="1"/>
    <xf numFmtId="167" fontId="10" fillId="0" borderId="3" xfId="0" applyNumberFormat="1" applyFont="1" applyBorder="1"/>
    <xf numFmtId="0" fontId="0" fillId="7" borderId="24" xfId="0" applyFill="1" applyBorder="1"/>
    <xf numFmtId="0" fontId="10" fillId="7" borderId="24" xfId="0" applyFont="1" applyFill="1" applyBorder="1"/>
    <xf numFmtId="1" fontId="0" fillId="7" borderId="0" xfId="0" applyNumberFormat="1" applyFill="1"/>
    <xf numFmtId="0" fontId="5" fillId="7" borderId="4" xfId="0" applyFont="1" applyFill="1" applyBorder="1"/>
    <xf numFmtId="1" fontId="5" fillId="7" borderId="4" xfId="0" applyNumberFormat="1" applyFont="1" applyFill="1" applyBorder="1"/>
    <xf numFmtId="1" fontId="0" fillId="7" borderId="4" xfId="0" applyNumberFormat="1" applyFill="1" applyBorder="1"/>
    <xf numFmtId="0" fontId="0" fillId="7" borderId="0" xfId="0" applyFont="1" applyFill="1" applyBorder="1" applyAlignment="1">
      <alignment horizontal="left" indent="2"/>
    </xf>
    <xf numFmtId="0" fontId="0" fillId="7" borderId="0" xfId="0" applyFont="1" applyFill="1" applyBorder="1"/>
    <xf numFmtId="1" fontId="0" fillId="7" borderId="0" xfId="0" applyNumberFormat="1" applyFont="1" applyFill="1" applyBorder="1"/>
    <xf numFmtId="1" fontId="5" fillId="7" borderId="1" xfId="0" applyNumberFormat="1" applyFont="1" applyFill="1" applyBorder="1"/>
    <xf numFmtId="166" fontId="0" fillId="7" borderId="2" xfId="1" applyNumberFormat="1" applyFont="1" applyFill="1" applyBorder="1" applyAlignment="1">
      <alignment horizontal="right"/>
    </xf>
    <xf numFmtId="166" fontId="10" fillId="7" borderId="2" xfId="1" applyNumberFormat="1" applyFont="1" applyFill="1" applyBorder="1"/>
    <xf numFmtId="166" fontId="10" fillId="7" borderId="0" xfId="1" applyNumberFormat="1" applyFont="1" applyFill="1" applyBorder="1"/>
    <xf numFmtId="166" fontId="10" fillId="7" borderId="3" xfId="1" applyNumberFormat="1" applyFont="1" applyFill="1" applyBorder="1"/>
    <xf numFmtId="0" fontId="8" fillId="7" borderId="0" xfId="0" applyFont="1" applyFill="1" applyBorder="1"/>
    <xf numFmtId="0" fontId="10" fillId="7" borderId="0" xfId="0" applyFont="1" applyFill="1" applyBorder="1"/>
    <xf numFmtId="166" fontId="10" fillId="7" borderId="0" xfId="1" applyNumberFormat="1" applyFont="1" applyFill="1"/>
    <xf numFmtId="0" fontId="5" fillId="7" borderId="1" xfId="0" applyFont="1" applyFill="1" applyBorder="1" applyAlignment="1">
      <alignment wrapText="1"/>
    </xf>
    <xf numFmtId="0" fontId="9" fillId="7" borderId="1" xfId="0" applyFont="1" applyFill="1" applyBorder="1"/>
    <xf numFmtId="3" fontId="5" fillId="7" borderId="2" xfId="0" applyNumberFormat="1" applyFont="1" applyFill="1" applyBorder="1"/>
    <xf numFmtId="3" fontId="11" fillId="7" borderId="2" xfId="0" applyNumberFormat="1" applyFont="1" applyFill="1" applyBorder="1"/>
    <xf numFmtId="3" fontId="0" fillId="7" borderId="1" xfId="0" applyNumberFormat="1" applyFont="1" applyFill="1" applyBorder="1"/>
    <xf numFmtId="3" fontId="10" fillId="7" borderId="1" xfId="0" applyNumberFormat="1" applyFont="1" applyFill="1" applyBorder="1"/>
    <xf numFmtId="3" fontId="13" fillId="7" borderId="0" xfId="0" applyNumberFormat="1" applyFont="1" applyFill="1"/>
    <xf numFmtId="3" fontId="10" fillId="7" borderId="0" xfId="0" applyNumberFormat="1" applyFont="1" applyFill="1"/>
    <xf numFmtId="3" fontId="5" fillId="7" borderId="1" xfId="0" applyNumberFormat="1" applyFont="1" applyFill="1" applyBorder="1"/>
    <xf numFmtId="3" fontId="11" fillId="7" borderId="1" xfId="0" applyNumberFormat="1" applyFont="1" applyFill="1" applyBorder="1"/>
    <xf numFmtId="3" fontId="18" fillId="7" borderId="0" xfId="1" applyNumberFormat="1" applyFont="1" applyFill="1" applyBorder="1"/>
    <xf numFmtId="3" fontId="12" fillId="7" borderId="0" xfId="1" applyNumberFormat="1" applyFont="1" applyFill="1" applyBorder="1"/>
    <xf numFmtId="3" fontId="0" fillId="7" borderId="0" xfId="0" applyNumberFormat="1" applyFill="1"/>
    <xf numFmtId="3" fontId="0" fillId="7" borderId="3" xfId="0" applyNumberFormat="1" applyFill="1" applyBorder="1"/>
    <xf numFmtId="3" fontId="10" fillId="7" borderId="3" xfId="0" applyNumberFormat="1" applyFont="1" applyFill="1" applyBorder="1"/>
    <xf numFmtId="3" fontId="5" fillId="7" borderId="4" xfId="0" applyNumberFormat="1" applyFont="1" applyFill="1" applyBorder="1"/>
    <xf numFmtId="3" fontId="11" fillId="7" borderId="4" xfId="0" applyNumberFormat="1" applyFont="1" applyFill="1" applyBorder="1"/>
    <xf numFmtId="3" fontId="0" fillId="7" borderId="4" xfId="0" applyNumberFormat="1" applyFill="1" applyBorder="1"/>
    <xf numFmtId="3" fontId="10" fillId="7" borderId="4" xfId="0" applyNumberFormat="1" applyFont="1" applyFill="1" applyBorder="1"/>
    <xf numFmtId="3" fontId="0" fillId="7" borderId="0" xfId="0" applyNumberFormat="1" applyFont="1" applyFill="1" applyBorder="1"/>
    <xf numFmtId="3" fontId="10" fillId="7" borderId="0" xfId="0" applyNumberFormat="1" applyFont="1" applyFill="1" applyBorder="1"/>
    <xf numFmtId="9" fontId="0" fillId="7" borderId="0" xfId="1" applyFont="1" applyFill="1" applyBorder="1"/>
    <xf numFmtId="2" fontId="5" fillId="7" borderId="3" xfId="0" applyNumberFormat="1" applyFont="1" applyFill="1" applyBorder="1"/>
    <xf numFmtId="2" fontId="5" fillId="7" borderId="0" xfId="0" applyNumberFormat="1" applyFont="1" applyFill="1" applyBorder="1"/>
    <xf numFmtId="166" fontId="13" fillId="7" borderId="2" xfId="1" applyNumberFormat="1" applyFont="1" applyFill="1" applyBorder="1"/>
    <xf numFmtId="175" fontId="44" fillId="0" borderId="1" xfId="0" applyNumberFormat="1" applyFont="1" applyBorder="1"/>
    <xf numFmtId="2" fontId="13" fillId="0" borderId="1" xfId="0" applyNumberFormat="1" applyFont="1" applyBorder="1" applyAlignment="1"/>
    <xf numFmtId="2" fontId="13" fillId="0" borderId="4" xfId="0" applyNumberFormat="1" applyFont="1" applyBorder="1" applyAlignment="1"/>
    <xf numFmtId="175" fontId="13" fillId="0" borderId="0" xfId="0" applyNumberFormat="1" applyFont="1"/>
    <xf numFmtId="166" fontId="13" fillId="0" borderId="0" xfId="1" applyNumberFormat="1" applyFont="1"/>
    <xf numFmtId="166" fontId="35" fillId="23" borderId="1" xfId="1" applyNumberFormat="1" applyFont="1" applyFill="1" applyBorder="1" applyAlignment="1">
      <alignment horizontal="right" vertical="center"/>
    </xf>
    <xf numFmtId="167" fontId="44" fillId="0" borderId="2" xfId="0" applyNumberFormat="1" applyFont="1" applyBorder="1"/>
    <xf numFmtId="1" fontId="5" fillId="0" borderId="0" xfId="0" applyNumberFormat="1" applyFont="1"/>
    <xf numFmtId="175" fontId="0" fillId="0" borderId="0" xfId="0" applyNumberFormat="1"/>
    <xf numFmtId="167" fontId="11" fillId="0" borderId="0" xfId="0" applyNumberFormat="1" applyFont="1" applyBorder="1"/>
    <xf numFmtId="175" fontId="10" fillId="0" borderId="0" xfId="0" applyNumberFormat="1" applyFont="1" applyBorder="1"/>
    <xf numFmtId="167" fontId="44" fillId="0" borderId="0" xfId="0" applyNumberFormat="1" applyFont="1" applyBorder="1"/>
    <xf numFmtId="175" fontId="13" fillId="0" borderId="0" xfId="0" applyNumberFormat="1" applyFont="1" applyBorder="1"/>
    <xf numFmtId="166" fontId="13" fillId="0" borderId="0" xfId="1" applyNumberFormat="1" applyFont="1" applyBorder="1"/>
    <xf numFmtId="165" fontId="13" fillId="35" borderId="0" xfId="0" applyNumberFormat="1" applyFont="1" applyFill="1"/>
    <xf numFmtId="0" fontId="13" fillId="35" borderId="0" xfId="0" applyFont="1" applyFill="1"/>
    <xf numFmtId="0" fontId="13" fillId="35" borderId="0" xfId="0" applyFont="1" applyFill="1" applyAlignment="1">
      <alignment horizontal="right"/>
    </xf>
    <xf numFmtId="167" fontId="44" fillId="35" borderId="2" xfId="0" applyNumberFormat="1" applyFont="1" applyFill="1" applyBorder="1"/>
    <xf numFmtId="166" fontId="13" fillId="35" borderId="0" xfId="1" applyNumberFormat="1" applyFont="1" applyFill="1"/>
    <xf numFmtId="1" fontId="44" fillId="35" borderId="0" xfId="0" applyNumberFormat="1" applyFont="1" applyFill="1"/>
    <xf numFmtId="166" fontId="44" fillId="35" borderId="0" xfId="1" applyNumberFormat="1" applyFont="1" applyFill="1"/>
    <xf numFmtId="175" fontId="13" fillId="35" borderId="0" xfId="0" applyNumberFormat="1" applyFont="1" applyFill="1"/>
    <xf numFmtId="167" fontId="44" fillId="35" borderId="0" xfId="0" applyNumberFormat="1" applyFont="1" applyFill="1" applyBorder="1"/>
    <xf numFmtId="175" fontId="13" fillId="35" borderId="0" xfId="0" applyNumberFormat="1" applyFont="1" applyFill="1" applyBorder="1"/>
    <xf numFmtId="166" fontId="13" fillId="36" borderId="0" xfId="1" applyNumberFormat="1" applyFont="1" applyFill="1"/>
    <xf numFmtId="175" fontId="13" fillId="36" borderId="0" xfId="0" applyNumberFormat="1" applyFont="1" applyFill="1"/>
    <xf numFmtId="166" fontId="0" fillId="0" borderId="0" xfId="1" applyNumberFormat="1" applyFont="1" applyBorder="1"/>
    <xf numFmtId="175" fontId="0" fillId="0" borderId="0" xfId="0" applyNumberFormat="1" applyBorder="1"/>
    <xf numFmtId="166" fontId="44" fillId="0" borderId="2" xfId="1" applyNumberFormat="1" applyFont="1" applyBorder="1"/>
    <xf numFmtId="166" fontId="44" fillId="35" borderId="2" xfId="1" applyNumberFormat="1" applyFont="1" applyFill="1" applyBorder="1"/>
    <xf numFmtId="166" fontId="11" fillId="0" borderId="2" xfId="1" applyNumberFormat="1" applyFont="1" applyBorder="1"/>
    <xf numFmtId="0" fontId="0" fillId="0" borderId="0" xfId="0" applyAlignment="1">
      <alignment wrapText="1"/>
    </xf>
    <xf numFmtId="166" fontId="0" fillId="0" borderId="0" xfId="1" applyNumberFormat="1" applyFont="1" applyAlignment="1">
      <alignment wrapText="1"/>
    </xf>
    <xf numFmtId="0" fontId="5" fillId="6" borderId="0" xfId="0" applyFont="1" applyFill="1" applyAlignment="1">
      <alignment wrapText="1"/>
    </xf>
    <xf numFmtId="166" fontId="5" fillId="6" borderId="0" xfId="0" applyNumberFormat="1" applyFont="1" applyFill="1" applyAlignment="1">
      <alignment wrapText="1"/>
    </xf>
    <xf numFmtId="167" fontId="44" fillId="0" borderId="3" xfId="0" applyNumberFormat="1" applyFont="1" applyBorder="1"/>
    <xf numFmtId="1" fontId="13" fillId="0" borderId="0" xfId="0" applyNumberFormat="1" applyFont="1"/>
    <xf numFmtId="166" fontId="34" fillId="0" borderId="1" xfId="1" applyNumberFormat="1" applyFont="1" applyBorder="1"/>
    <xf numFmtId="9" fontId="34" fillId="0" borderId="0" xfId="1" applyFont="1" applyBorder="1"/>
    <xf numFmtId="175" fontId="44" fillId="0" borderId="0" xfId="0" applyNumberFormat="1" applyFont="1" applyBorder="1"/>
    <xf numFmtId="0" fontId="13" fillId="0" borderId="0" xfId="0" applyFont="1" applyBorder="1"/>
    <xf numFmtId="175" fontId="52" fillId="0" borderId="1" xfId="0" applyNumberFormat="1" applyFont="1" applyBorder="1"/>
    <xf numFmtId="166" fontId="13" fillId="0" borderId="2" xfId="1" applyNumberFormat="1" applyFont="1" applyBorder="1"/>
    <xf numFmtId="166" fontId="13" fillId="0" borderId="3" xfId="1" applyNumberFormat="1" applyFont="1" applyBorder="1"/>
    <xf numFmtId="0" fontId="53" fillId="0" borderId="4" xfId="0" applyFont="1" applyBorder="1"/>
    <xf numFmtId="0" fontId="13" fillId="0" borderId="24" xfId="0" applyFont="1" applyBorder="1"/>
    <xf numFmtId="167" fontId="13" fillId="0" borderId="0" xfId="0" applyNumberFormat="1" applyFont="1"/>
    <xf numFmtId="1" fontId="52" fillId="0" borderId="4" xfId="0" applyNumberFormat="1" applyFont="1" applyBorder="1"/>
    <xf numFmtId="0" fontId="13" fillId="0" borderId="4" xfId="0" applyFont="1" applyBorder="1"/>
    <xf numFmtId="1" fontId="52" fillId="0" borderId="3" xfId="0" applyNumberFormat="1" applyFont="1" applyBorder="1"/>
    <xf numFmtId="1" fontId="52" fillId="0" borderId="0" xfId="0" applyNumberFormat="1" applyFont="1"/>
    <xf numFmtId="1" fontId="52" fillId="0" borderId="1" xfId="0" applyNumberFormat="1" applyFont="1" applyBorder="1"/>
    <xf numFmtId="1" fontId="52" fillId="0" borderId="24" xfId="0" applyNumberFormat="1" applyFont="1" applyBorder="1"/>
    <xf numFmtId="0" fontId="13" fillId="5" borderId="0" xfId="0" applyFont="1" applyFill="1"/>
    <xf numFmtId="175" fontId="13" fillId="4" borderId="0" xfId="0" applyNumberFormat="1" applyFont="1" applyFill="1"/>
    <xf numFmtId="0" fontId="5" fillId="4" borderId="38" xfId="0" applyFont="1" applyFill="1" applyBorder="1"/>
    <xf numFmtId="0" fontId="11" fillId="4" borderId="38" xfId="0" applyFont="1" applyFill="1" applyBorder="1"/>
    <xf numFmtId="166" fontId="13" fillId="4" borderId="0" xfId="1" applyNumberFormat="1" applyFont="1" applyFill="1"/>
    <xf numFmtId="166" fontId="13" fillId="4" borderId="0" xfId="0" applyNumberFormat="1" applyFont="1" applyFill="1"/>
    <xf numFmtId="167" fontId="13" fillId="17" borderId="2" xfId="0" applyNumberFormat="1" applyFont="1" applyFill="1" applyBorder="1"/>
    <xf numFmtId="167" fontId="13" fillId="17" borderId="0" xfId="0" applyNumberFormat="1" applyFont="1" applyFill="1" applyBorder="1"/>
    <xf numFmtId="167" fontId="13" fillId="2" borderId="2" xfId="0" applyNumberFormat="1" applyFont="1" applyFill="1" applyBorder="1"/>
    <xf numFmtId="167" fontId="13" fillId="2" borderId="0" xfId="0" applyNumberFormat="1" applyFont="1" applyFill="1" applyBorder="1"/>
    <xf numFmtId="167" fontId="6" fillId="2" borderId="3" xfId="2" applyNumberFormat="1" applyFont="1" applyFill="1" applyBorder="1" applyAlignment="1">
      <alignment horizontal="right" vertical="center"/>
    </xf>
    <xf numFmtId="167" fontId="15" fillId="2" borderId="20" xfId="2" applyNumberFormat="1" applyFont="1" applyFill="1" applyBorder="1" applyAlignment="1">
      <alignment horizontal="right" vertical="center"/>
    </xf>
    <xf numFmtId="0" fontId="52" fillId="0" borderId="0" xfId="0" applyFont="1" applyBorder="1"/>
    <xf numFmtId="166" fontId="29" fillId="21" borderId="39" xfId="1" applyNumberFormat="1" applyFont="1" applyFill="1" applyBorder="1" applyAlignment="1">
      <alignment horizontal="right" vertical="center"/>
    </xf>
    <xf numFmtId="10" fontId="12" fillId="21" borderId="0" xfId="1" applyNumberFormat="1" applyFont="1" applyFill="1" applyBorder="1"/>
    <xf numFmtId="4" fontId="0" fillId="0" borderId="0" xfId="0" applyNumberFormat="1"/>
    <xf numFmtId="0" fontId="0" fillId="0" borderId="40" xfId="0" applyBorder="1" applyAlignment="1">
      <alignment horizontal="left" vertical="top" wrapText="1"/>
    </xf>
    <xf numFmtId="0" fontId="57" fillId="0" borderId="40" xfId="0" applyFont="1" applyBorder="1" applyAlignment="1">
      <alignment horizontal="left" vertical="top" wrapText="1"/>
    </xf>
    <xf numFmtId="1" fontId="57" fillId="0" borderId="40" xfId="0" applyNumberFormat="1" applyFont="1" applyBorder="1" applyAlignment="1">
      <alignment horizontal="left" vertical="top" wrapText="1"/>
    </xf>
    <xf numFmtId="3" fontId="57" fillId="0" borderId="40" xfId="0" applyNumberFormat="1" applyFont="1" applyBorder="1" applyAlignment="1">
      <alignment horizontal="left" vertical="top" wrapText="1"/>
    </xf>
    <xf numFmtId="9" fontId="57" fillId="0" borderId="40" xfId="0" applyNumberFormat="1" applyFont="1" applyBorder="1" applyAlignment="1">
      <alignment horizontal="left" vertical="top" wrapText="1"/>
    </xf>
    <xf numFmtId="0" fontId="5" fillId="35" borderId="40" xfId="0" applyFont="1" applyFill="1" applyBorder="1" applyAlignment="1">
      <alignment horizontal="left" vertical="top" wrapText="1"/>
    </xf>
    <xf numFmtId="0" fontId="5" fillId="35" borderId="40" xfId="0" applyFont="1" applyFill="1" applyBorder="1" applyAlignment="1">
      <alignment vertical="top" wrapText="1"/>
    </xf>
    <xf numFmtId="0" fontId="58" fillId="35" borderId="40" xfId="0" applyFont="1" applyFill="1" applyBorder="1" applyAlignment="1">
      <alignment horizontal="left" vertical="top" wrapText="1"/>
    </xf>
    <xf numFmtId="1" fontId="58" fillId="35" borderId="40" xfId="0" applyNumberFormat="1" applyFont="1" applyFill="1" applyBorder="1" applyAlignment="1">
      <alignment horizontal="left" vertical="top" wrapText="1"/>
    </xf>
    <xf numFmtId="0" fontId="5" fillId="35" borderId="44" xfId="0" applyFont="1" applyFill="1" applyBorder="1"/>
    <xf numFmtId="0" fontId="5" fillId="35" borderId="45" xfId="0" applyFont="1" applyFill="1" applyBorder="1"/>
    <xf numFmtId="3" fontId="0" fillId="0" borderId="0" xfId="0" applyNumberFormat="1"/>
    <xf numFmtId="177" fontId="10" fillId="8" borderId="0" xfId="1" applyNumberFormat="1" applyFont="1" applyFill="1"/>
    <xf numFmtId="10" fontId="10" fillId="8" borderId="1" xfId="1" applyNumberFormat="1" applyFont="1" applyFill="1" applyBorder="1"/>
    <xf numFmtId="166" fontId="13" fillId="0" borderId="0" xfId="1" applyNumberFormat="1" applyFont="1" applyAlignment="1">
      <alignment horizontal="right"/>
    </xf>
    <xf numFmtId="166" fontId="10" fillId="0" borderId="0" xfId="1" applyNumberFormat="1" applyFont="1" applyAlignment="1">
      <alignment horizontal="right"/>
    </xf>
    <xf numFmtId="166" fontId="10" fillId="0" borderId="0" xfId="0" applyNumberFormat="1" applyFont="1"/>
    <xf numFmtId="3" fontId="10" fillId="0" borderId="0" xfId="0" applyNumberFormat="1" applyFont="1"/>
    <xf numFmtId="0" fontId="0" fillId="35" borderId="0" xfId="0" applyFill="1"/>
    <xf numFmtId="0" fontId="0" fillId="6" borderId="0" xfId="0" applyFill="1"/>
    <xf numFmtId="10" fontId="0" fillId="0" borderId="0" xfId="1" applyNumberFormat="1" applyFont="1" applyBorder="1"/>
    <xf numFmtId="0" fontId="0" fillId="0" borderId="39" xfId="0" applyBorder="1"/>
    <xf numFmtId="3" fontId="0" fillId="0" borderId="39" xfId="0" applyNumberFormat="1" applyBorder="1"/>
    <xf numFmtId="3" fontId="5" fillId="0" borderId="0" xfId="0" applyNumberFormat="1" applyFont="1" applyBorder="1"/>
    <xf numFmtId="3" fontId="0" fillId="0" borderId="0" xfId="0" applyNumberFormat="1" applyBorder="1"/>
    <xf numFmtId="1" fontId="0" fillId="0" borderId="0" xfId="0" applyNumberFormat="1" applyBorder="1"/>
    <xf numFmtId="9" fontId="0" fillId="0" borderId="3" xfId="1" applyNumberFormat="1" applyFont="1" applyBorder="1"/>
    <xf numFmtId="9" fontId="0" fillId="0" borderId="0" xfId="0" applyNumberFormat="1"/>
    <xf numFmtId="166" fontId="13" fillId="0" borderId="0" xfId="0" applyNumberFormat="1" applyFont="1"/>
    <xf numFmtId="3" fontId="13" fillId="0" borderId="0" xfId="0" applyNumberFormat="1" applyFont="1"/>
    <xf numFmtId="0" fontId="0" fillId="2" borderId="0" xfId="0" applyFill="1"/>
    <xf numFmtId="2" fontId="11" fillId="0" borderId="0" xfId="0" applyNumberFormat="1" applyFont="1" applyBorder="1"/>
    <xf numFmtId="0" fontId="0" fillId="0" borderId="0" xfId="0" applyFill="1" applyBorder="1" applyAlignment="1">
      <alignment horizontal="left" indent="1"/>
    </xf>
    <xf numFmtId="3" fontId="52" fillId="7" borderId="2" xfId="0" applyNumberFormat="1" applyFont="1" applyFill="1" applyBorder="1"/>
    <xf numFmtId="3" fontId="13" fillId="7" borderId="1" xfId="0" applyNumberFormat="1" applyFont="1" applyFill="1" applyBorder="1"/>
    <xf numFmtId="3" fontId="52" fillId="7" borderId="1" xfId="0" applyNumberFormat="1" applyFont="1" applyFill="1" applyBorder="1"/>
    <xf numFmtId="166" fontId="34" fillId="7" borderId="1" xfId="1" applyNumberFormat="1" applyFont="1" applyFill="1" applyBorder="1"/>
    <xf numFmtId="3" fontId="34" fillId="7" borderId="0" xfId="1" applyNumberFormat="1" applyFont="1" applyFill="1" applyBorder="1"/>
    <xf numFmtId="3" fontId="13" fillId="7" borderId="3" xfId="0" applyNumberFormat="1" applyFont="1" applyFill="1" applyBorder="1"/>
    <xf numFmtId="0" fontId="13" fillId="7" borderId="0" xfId="0" applyFont="1" applyFill="1" applyBorder="1"/>
    <xf numFmtId="166" fontId="13" fillId="7" borderId="0" xfId="1" applyNumberFormat="1" applyFont="1" applyFill="1" applyBorder="1"/>
    <xf numFmtId="166" fontId="13" fillId="7" borderId="3" xfId="1" applyNumberFormat="1" applyFont="1" applyFill="1" applyBorder="1"/>
    <xf numFmtId="166" fontId="13" fillId="7" borderId="0" xfId="1" applyNumberFormat="1" applyFont="1" applyFill="1"/>
    <xf numFmtId="0" fontId="13" fillId="7" borderId="24" xfId="0" applyFont="1" applyFill="1" applyBorder="1"/>
    <xf numFmtId="3" fontId="52" fillId="7" borderId="4" xfId="0" applyNumberFormat="1" applyFont="1" applyFill="1" applyBorder="1"/>
    <xf numFmtId="3" fontId="13" fillId="7" borderId="4" xfId="0" applyNumberFormat="1" applyFont="1" applyFill="1" applyBorder="1"/>
    <xf numFmtId="3" fontId="13" fillId="7" borderId="0" xfId="0" applyNumberFormat="1" applyFont="1" applyFill="1" applyBorder="1"/>
    <xf numFmtId="0" fontId="52" fillId="0" borderId="0" xfId="0" applyFont="1"/>
    <xf numFmtId="3" fontId="13" fillId="7" borderId="42" xfId="0" applyNumberFormat="1" applyFont="1" applyFill="1" applyBorder="1"/>
    <xf numFmtId="3" fontId="10" fillId="7" borderId="42" xfId="0" applyNumberFormat="1" applyFont="1" applyFill="1" applyBorder="1"/>
    <xf numFmtId="4" fontId="52" fillId="7" borderId="1" xfId="0" applyNumberFormat="1" applyFont="1" applyFill="1" applyBorder="1"/>
    <xf numFmtId="4" fontId="11" fillId="7" borderId="1" xfId="0" applyNumberFormat="1" applyFont="1" applyFill="1" applyBorder="1"/>
    <xf numFmtId="0" fontId="0" fillId="34" borderId="0" xfId="0" applyFill="1"/>
    <xf numFmtId="0" fontId="5" fillId="34" borderId="0" xfId="0" applyFont="1" applyFill="1"/>
    <xf numFmtId="165" fontId="61" fillId="0" borderId="0" xfId="0" applyNumberFormat="1" applyFont="1"/>
    <xf numFmtId="0" fontId="61" fillId="0" borderId="0" xfId="0" applyFont="1"/>
    <xf numFmtId="0" fontId="61" fillId="0" borderId="0" xfId="0" applyFont="1" applyAlignment="1">
      <alignment horizontal="right"/>
    </xf>
    <xf numFmtId="10" fontId="61" fillId="0" borderId="0" xfId="1" applyNumberFormat="1" applyFont="1"/>
    <xf numFmtId="0" fontId="62" fillId="32" borderId="2" xfId="0" applyFont="1" applyFill="1" applyBorder="1" applyAlignment="1">
      <alignment horizontal="right"/>
    </xf>
    <xf numFmtId="0" fontId="62" fillId="5" borderId="2" xfId="0" applyFont="1" applyFill="1" applyBorder="1" applyAlignment="1">
      <alignment horizontal="right"/>
    </xf>
    <xf numFmtId="9" fontId="62" fillId="5" borderId="2" xfId="0" applyNumberFormat="1" applyFont="1" applyFill="1" applyBorder="1" applyAlignment="1">
      <alignment horizontal="right"/>
    </xf>
    <xf numFmtId="9" fontId="61" fillId="0" borderId="0" xfId="0" applyNumberFormat="1" applyFont="1"/>
    <xf numFmtId="0" fontId="63" fillId="33" borderId="0" xfId="0" applyFont="1" applyFill="1"/>
    <xf numFmtId="0" fontId="62" fillId="28" borderId="2" xfId="0" applyFont="1" applyFill="1" applyBorder="1" applyAlignment="1">
      <alignment horizontal="right"/>
    </xf>
    <xf numFmtId="9" fontId="62" fillId="28" borderId="2" xfId="0" applyNumberFormat="1" applyFont="1" applyFill="1" applyBorder="1" applyAlignment="1">
      <alignment horizontal="right"/>
    </xf>
    <xf numFmtId="0" fontId="63" fillId="26" borderId="0" xfId="0" applyFont="1" applyFill="1"/>
    <xf numFmtId="0" fontId="59" fillId="0" borderId="0" xfId="0" applyFont="1"/>
    <xf numFmtId="0" fontId="59" fillId="34" borderId="0" xfId="0" applyFont="1" applyFill="1"/>
    <xf numFmtId="0" fontId="59" fillId="0" borderId="0" xfId="0" applyFont="1" applyAlignment="1">
      <alignment horizontal="left" indent="1"/>
    </xf>
    <xf numFmtId="0" fontId="59" fillId="0" borderId="0" xfId="0" applyFont="1" applyAlignment="1">
      <alignment horizontal="center"/>
    </xf>
    <xf numFmtId="2" fontId="0" fillId="0" borderId="46" xfId="0" applyNumberFormat="1" applyBorder="1"/>
    <xf numFmtId="10" fontId="59" fillId="34" borderId="0" xfId="0" applyNumberFormat="1" applyFont="1" applyFill="1" applyBorder="1"/>
    <xf numFmtId="166" fontId="59" fillId="34" borderId="0" xfId="0" applyNumberFormat="1" applyFont="1" applyFill="1" applyBorder="1"/>
    <xf numFmtId="10" fontId="59" fillId="34" borderId="27" xfId="0" applyNumberFormat="1" applyFont="1" applyFill="1" applyBorder="1"/>
    <xf numFmtId="2" fontId="0" fillId="0" borderId="27" xfId="0" applyNumberFormat="1" applyBorder="1"/>
    <xf numFmtId="166" fontId="59" fillId="34" borderId="46" xfId="0" applyNumberFormat="1" applyFont="1" applyFill="1" applyBorder="1"/>
    <xf numFmtId="2" fontId="0" fillId="0" borderId="47" xfId="0" applyNumberFormat="1" applyBorder="1"/>
    <xf numFmtId="2" fontId="0" fillId="0" borderId="0" xfId="0" quotePrefix="1" applyNumberFormat="1"/>
    <xf numFmtId="175" fontId="0" fillId="0" borderId="0" xfId="0" quotePrefix="1" applyNumberFormat="1"/>
    <xf numFmtId="1" fontId="0" fillId="0" borderId="0" xfId="0" quotePrefix="1" applyNumberFormat="1"/>
    <xf numFmtId="0" fontId="59" fillId="37" borderId="0" xfId="0" applyFont="1" applyFill="1"/>
    <xf numFmtId="0" fontId="59" fillId="37" borderId="48" xfId="0" applyFont="1" applyFill="1" applyBorder="1"/>
    <xf numFmtId="175" fontId="59" fillId="37" borderId="48" xfId="0" applyNumberFormat="1" applyFont="1" applyFill="1" applyBorder="1"/>
    <xf numFmtId="175" fontId="59" fillId="37" borderId="48" xfId="0" quotePrefix="1" applyNumberFormat="1" applyFont="1" applyFill="1" applyBorder="1"/>
    <xf numFmtId="1" fontId="59" fillId="0" borderId="29" xfId="0" applyNumberFormat="1" applyFont="1" applyBorder="1"/>
    <xf numFmtId="0" fontId="0" fillId="0" borderId="49" xfId="0" applyBorder="1"/>
    <xf numFmtId="0" fontId="0" fillId="0" borderId="23" xfId="0" applyBorder="1"/>
    <xf numFmtId="0" fontId="0" fillId="0" borderId="50" xfId="0" applyBorder="1"/>
    <xf numFmtId="0" fontId="0" fillId="0" borderId="51" xfId="0" applyBorder="1"/>
    <xf numFmtId="0" fontId="0" fillId="0" borderId="52" xfId="0" applyBorder="1"/>
    <xf numFmtId="3" fontId="5" fillId="0" borderId="51" xfId="0" applyNumberFormat="1" applyFont="1" applyBorder="1"/>
    <xf numFmtId="166" fontId="0" fillId="0" borderId="52" xfId="0" applyNumberFormat="1" applyBorder="1"/>
    <xf numFmtId="3" fontId="5" fillId="0" borderId="53" xfId="0" applyNumberFormat="1" applyFont="1" applyBorder="1"/>
    <xf numFmtId="2" fontId="0" fillId="0" borderId="54" xfId="0" applyNumberFormat="1" applyBorder="1"/>
    <xf numFmtId="2" fontId="0" fillId="0" borderId="55" xfId="0" applyNumberFormat="1" applyBorder="1"/>
    <xf numFmtId="10" fontId="0" fillId="0" borderId="52" xfId="0" applyNumberFormat="1" applyBorder="1"/>
    <xf numFmtId="2" fontId="0" fillId="0" borderId="52" xfId="0" applyNumberFormat="1" applyBorder="1"/>
    <xf numFmtId="0" fontId="0" fillId="0" borderId="53" xfId="0" applyBorder="1"/>
    <xf numFmtId="166" fontId="0" fillId="0" borderId="54" xfId="0" applyNumberFormat="1" applyBorder="1"/>
    <xf numFmtId="175" fontId="5" fillId="7" borderId="0" xfId="0" applyNumberFormat="1" applyFont="1" applyFill="1"/>
    <xf numFmtId="167" fontId="10" fillId="2" borderId="1" xfId="0" applyNumberFormat="1" applyFont="1" applyFill="1" applyBorder="1"/>
    <xf numFmtId="0" fontId="0" fillId="37" borderId="0" xfId="0" applyFill="1"/>
    <xf numFmtId="2" fontId="59" fillId="0" borderId="0" xfId="0" applyNumberFormat="1" applyFont="1"/>
    <xf numFmtId="184" fontId="0" fillId="0" borderId="0" xfId="0" applyNumberFormat="1"/>
    <xf numFmtId="184" fontId="13" fillId="35" borderId="0" xfId="0" applyNumberFormat="1" applyFont="1" applyFill="1"/>
    <xf numFmtId="184" fontId="10" fillId="0" borderId="0" xfId="0" applyNumberFormat="1" applyFont="1"/>
    <xf numFmtId="184" fontId="0" fillId="0" borderId="0" xfId="0" applyNumberFormat="1" applyBorder="1"/>
    <xf numFmtId="184" fontId="13" fillId="35" borderId="0" xfId="0" applyNumberFormat="1" applyFont="1" applyFill="1" applyBorder="1"/>
    <xf numFmtId="184" fontId="10" fillId="0" borderId="0" xfId="0" applyNumberFormat="1" applyFont="1" applyBorder="1"/>
    <xf numFmtId="166" fontId="0" fillId="7" borderId="30" xfId="1" applyNumberFormat="1" applyFont="1" applyFill="1" applyBorder="1" applyAlignment="1">
      <alignment horizontal="right"/>
    </xf>
    <xf numFmtId="185" fontId="15" fillId="11" borderId="0" xfId="0" applyNumberFormat="1" applyFont="1" applyFill="1" applyBorder="1" applyAlignment="1">
      <alignment horizontal="right" vertical="center"/>
    </xf>
    <xf numFmtId="0" fontId="50" fillId="37" borderId="4" xfId="0" applyFont="1" applyFill="1" applyBorder="1"/>
    <xf numFmtId="0" fontId="48" fillId="37" borderId="4" xfId="0" applyFont="1" applyFill="1" applyBorder="1" applyAlignment="1">
      <alignment horizontal="right"/>
    </xf>
    <xf numFmtId="0" fontId="51" fillId="37" borderId="4" xfId="0" applyFont="1" applyFill="1" applyBorder="1" applyAlignment="1">
      <alignment horizontal="right"/>
    </xf>
    <xf numFmtId="0" fontId="49" fillId="37" borderId="4" xfId="0" applyFont="1" applyFill="1" applyBorder="1" applyAlignment="1">
      <alignment horizontal="right"/>
    </xf>
    <xf numFmtId="0" fontId="5" fillId="7" borderId="48" xfId="0" applyFont="1" applyFill="1" applyBorder="1"/>
    <xf numFmtId="0" fontId="9" fillId="7" borderId="48" xfId="0" applyFont="1" applyFill="1" applyBorder="1"/>
    <xf numFmtId="0" fontId="44" fillId="7" borderId="48" xfId="0" applyFont="1" applyFill="1" applyBorder="1"/>
    <xf numFmtId="3" fontId="5" fillId="7" borderId="48" xfId="0" applyNumberFormat="1" applyFont="1" applyFill="1" applyBorder="1"/>
    <xf numFmtId="3" fontId="52" fillId="7" borderId="48" xfId="0" applyNumberFormat="1" applyFont="1" applyFill="1" applyBorder="1"/>
    <xf numFmtId="3" fontId="11" fillId="7" borderId="48" xfId="0" applyNumberFormat="1" applyFont="1" applyFill="1" applyBorder="1"/>
    <xf numFmtId="1" fontId="5" fillId="0" borderId="0" xfId="0" applyNumberFormat="1" applyFont="1" applyBorder="1"/>
    <xf numFmtId="1" fontId="11" fillId="0" borderId="0" xfId="0" applyNumberFormat="1" applyFont="1" applyBorder="1"/>
    <xf numFmtId="3" fontId="5" fillId="0" borderId="1" xfId="0" applyNumberFormat="1" applyFont="1" applyBorder="1"/>
    <xf numFmtId="3" fontId="52" fillId="0" borderId="1" xfId="0" applyNumberFormat="1" applyFont="1" applyBorder="1"/>
    <xf numFmtId="3" fontId="11" fillId="0" borderId="1" xfId="0" applyNumberFormat="1" applyFont="1" applyBorder="1"/>
    <xf numFmtId="169" fontId="17" fillId="0" borderId="56" xfId="93" applyNumberFormat="1" applyFont="1" applyFill="1" applyBorder="1" applyAlignment="1">
      <alignment horizontal="right" vertical="center"/>
    </xf>
    <xf numFmtId="10" fontId="17" fillId="0" borderId="0" xfId="1" applyNumberFormat="1" applyFont="1" applyFill="1" applyBorder="1" applyAlignment="1">
      <alignment horizontal="right" vertical="center"/>
    </xf>
    <xf numFmtId="0" fontId="64" fillId="0" borderId="0" xfId="0" applyFont="1" applyFill="1" applyBorder="1"/>
    <xf numFmtId="3" fontId="52" fillId="0" borderId="0" xfId="0" applyNumberFormat="1" applyFont="1" applyBorder="1"/>
    <xf numFmtId="3" fontId="11" fillId="0" borderId="0" xfId="0" applyNumberFormat="1" applyFont="1" applyBorder="1"/>
    <xf numFmtId="0" fontId="5" fillId="0" borderId="48" xfId="0" applyFont="1" applyBorder="1"/>
    <xf numFmtId="1" fontId="5" fillId="0" borderId="48" xfId="0" applyNumberFormat="1" applyFont="1" applyBorder="1"/>
    <xf numFmtId="1" fontId="11" fillId="0" borderId="48" xfId="0" applyNumberFormat="1" applyFont="1" applyBorder="1"/>
    <xf numFmtId="3" fontId="0" fillId="0" borderId="0" xfId="0" applyNumberFormat="1" applyFont="1" applyFill="1" applyBorder="1"/>
    <xf numFmtId="3" fontId="5" fillId="0" borderId="24" xfId="0" applyNumberFormat="1" applyFont="1" applyBorder="1"/>
    <xf numFmtId="3" fontId="52" fillId="0" borderId="24" xfId="0" applyNumberFormat="1" applyFont="1" applyBorder="1"/>
    <xf numFmtId="3" fontId="11" fillId="0" borderId="24" xfId="0" applyNumberFormat="1" applyFont="1" applyBorder="1"/>
    <xf numFmtId="3" fontId="5" fillId="0" borderId="48" xfId="0" applyNumberFormat="1" applyFont="1" applyBorder="1"/>
    <xf numFmtId="166" fontId="13" fillId="7" borderId="0" xfId="1" applyNumberFormat="1" applyFont="1" applyFill="1" applyBorder="1" applyAlignment="1">
      <alignment horizontal="right"/>
    </xf>
    <xf numFmtId="166" fontId="10" fillId="7" borderId="0" xfId="1" applyNumberFormat="1" applyFont="1" applyFill="1" applyBorder="1" applyAlignment="1">
      <alignment horizontal="right"/>
    </xf>
    <xf numFmtId="166" fontId="13" fillId="7" borderId="2" xfId="1" applyNumberFormat="1" applyFont="1" applyFill="1" applyBorder="1" applyAlignment="1">
      <alignment horizontal="right"/>
    </xf>
    <xf numFmtId="0" fontId="9" fillId="7" borderId="0" xfId="0" applyFont="1" applyFill="1" applyBorder="1"/>
    <xf numFmtId="0" fontId="44" fillId="7" borderId="0" xfId="0" applyFont="1" applyFill="1" applyBorder="1"/>
    <xf numFmtId="3" fontId="5" fillId="7" borderId="0" xfId="0" applyNumberFormat="1" applyFont="1" applyFill="1" applyBorder="1"/>
    <xf numFmtId="4" fontId="52" fillId="7" borderId="0" xfId="0" applyNumberFormat="1" applyFont="1" applyFill="1" applyBorder="1"/>
    <xf numFmtId="4" fontId="11" fillId="7" borderId="0" xfId="0" applyNumberFormat="1" applyFont="1" applyFill="1" applyBorder="1"/>
    <xf numFmtId="166" fontId="5" fillId="7" borderId="3" xfId="0" applyNumberFormat="1" applyFont="1" applyFill="1" applyBorder="1"/>
    <xf numFmtId="0" fontId="0" fillId="37" borderId="4" xfId="0" applyFill="1" applyBorder="1"/>
    <xf numFmtId="1" fontId="0" fillId="0" borderId="3" xfId="0" applyNumberFormat="1" applyBorder="1"/>
    <xf numFmtId="3" fontId="10" fillId="0" borderId="0" xfId="1" applyNumberFormat="1" applyFont="1"/>
    <xf numFmtId="3" fontId="13" fillId="0" borderId="0" xfId="1" applyNumberFormat="1" applyFont="1"/>
    <xf numFmtId="0" fontId="64" fillId="0" borderId="46" xfId="0" applyFont="1" applyFill="1" applyBorder="1"/>
    <xf numFmtId="0" fontId="7" fillId="0" borderId="46" xfId="0" applyFont="1" applyBorder="1"/>
    <xf numFmtId="169" fontId="17" fillId="0" borderId="46" xfId="93" applyNumberFormat="1" applyFont="1" applyFill="1" applyBorder="1" applyAlignment="1">
      <alignment horizontal="right" vertical="center"/>
    </xf>
    <xf numFmtId="175" fontId="10" fillId="0" borderId="46" xfId="0" applyNumberFormat="1" applyFont="1" applyBorder="1"/>
    <xf numFmtId="0" fontId="65" fillId="0" borderId="0" xfId="0" applyFont="1" applyFill="1" applyBorder="1"/>
    <xf numFmtId="2" fontId="13" fillId="0" borderId="0" xfId="0" applyNumberFormat="1" applyFont="1"/>
    <xf numFmtId="3" fontId="0" fillId="0" borderId="0" xfId="0" applyNumberFormat="1" applyFont="1"/>
    <xf numFmtId="3" fontId="0" fillId="5" borderId="0" xfId="0" applyNumberFormat="1" applyFill="1"/>
    <xf numFmtId="3" fontId="13" fillId="5" borderId="0" xfId="0" applyNumberFormat="1" applyFont="1" applyFill="1"/>
    <xf numFmtId="3" fontId="10" fillId="5" borderId="0" xfId="0" applyNumberFormat="1" applyFont="1" applyFill="1"/>
    <xf numFmtId="3" fontId="0" fillId="4" borderId="0" xfId="0" applyNumberFormat="1" applyFill="1"/>
    <xf numFmtId="3" fontId="0" fillId="4" borderId="0" xfId="1" applyNumberFormat="1" applyFont="1" applyFill="1"/>
    <xf numFmtId="3" fontId="10" fillId="4" borderId="0" xfId="1" applyNumberFormat="1" applyFont="1" applyFill="1"/>
    <xf numFmtId="3" fontId="13" fillId="4" borderId="0" xfId="0" applyNumberFormat="1" applyFont="1" applyFill="1"/>
    <xf numFmtId="3" fontId="10" fillId="4" borderId="0" xfId="0" applyNumberFormat="1" applyFont="1" applyFill="1"/>
    <xf numFmtId="3" fontId="10" fillId="11" borderId="1" xfId="0" applyNumberFormat="1" applyFont="1" applyFill="1" applyBorder="1"/>
    <xf numFmtId="3" fontId="10" fillId="8" borderId="2" xfId="0" applyNumberFormat="1" applyFont="1" applyFill="1" applyBorder="1"/>
    <xf numFmtId="3" fontId="10" fillId="8" borderId="1" xfId="0" applyNumberFormat="1" applyFont="1" applyFill="1" applyBorder="1"/>
    <xf numFmtId="3" fontId="30" fillId="8" borderId="0" xfId="3" applyNumberFormat="1" applyFont="1" applyFill="1" applyBorder="1" applyAlignment="1">
      <alignment horizontal="right" vertical="center"/>
    </xf>
    <xf numFmtId="4" fontId="11" fillId="14" borderId="4" xfId="0" applyNumberFormat="1" applyFont="1" applyFill="1" applyBorder="1"/>
    <xf numFmtId="4" fontId="11" fillId="14" borderId="20" xfId="0" applyNumberFormat="1" applyFont="1" applyFill="1" applyBorder="1"/>
    <xf numFmtId="3" fontId="10" fillId="14" borderId="3" xfId="0" applyNumberFormat="1" applyFont="1" applyFill="1" applyBorder="1"/>
    <xf numFmtId="4" fontId="11" fillId="17" borderId="20" xfId="0" applyNumberFormat="1" applyFont="1" applyFill="1" applyBorder="1"/>
    <xf numFmtId="4" fontId="11" fillId="21" borderId="4" xfId="0" applyNumberFormat="1" applyFont="1" applyFill="1" applyBorder="1"/>
    <xf numFmtId="4" fontId="11" fillId="21" borderId="20" xfId="0" applyNumberFormat="1" applyFont="1" applyFill="1" applyBorder="1"/>
    <xf numFmtId="9" fontId="5" fillId="31" borderId="0" xfId="1" applyFont="1" applyFill="1" applyBorder="1"/>
    <xf numFmtId="9" fontId="11" fillId="31" borderId="0" xfId="1" applyFont="1" applyFill="1" applyBorder="1"/>
    <xf numFmtId="0" fontId="0" fillId="5" borderId="3" xfId="0" applyFill="1" applyBorder="1"/>
    <xf numFmtId="166" fontId="0" fillId="5" borderId="3" xfId="1" applyNumberFormat="1" applyFont="1" applyFill="1" applyBorder="1"/>
    <xf numFmtId="0" fontId="10" fillId="5" borderId="3" xfId="0" applyFont="1" applyFill="1" applyBorder="1"/>
    <xf numFmtId="0" fontId="0" fillId="0" borderId="27" xfId="0" applyBorder="1"/>
    <xf numFmtId="0" fontId="0" fillId="0" borderId="36" xfId="0" applyBorder="1"/>
    <xf numFmtId="0" fontId="59" fillId="37" borderId="27" xfId="0" applyFont="1" applyFill="1" applyBorder="1"/>
    <xf numFmtId="0" fontId="59" fillId="37" borderId="0" xfId="0" applyFont="1" applyFill="1" applyBorder="1"/>
    <xf numFmtId="0" fontId="59" fillId="37" borderId="36" xfId="0" applyFont="1" applyFill="1" applyBorder="1"/>
    <xf numFmtId="175" fontId="0" fillId="0" borderId="27" xfId="0" applyNumberFormat="1" applyBorder="1"/>
    <xf numFmtId="10" fontId="0" fillId="0" borderId="36" xfId="1" applyNumberFormat="1" applyFont="1" applyBorder="1"/>
    <xf numFmtId="0" fontId="59" fillId="37" borderId="3" xfId="0" applyFont="1" applyFill="1" applyBorder="1"/>
    <xf numFmtId="3" fontId="11" fillId="0" borderId="3" xfId="0" applyNumberFormat="1" applyFont="1" applyBorder="1"/>
    <xf numFmtId="3" fontId="11" fillId="0" borderId="0" xfId="0" applyNumberFormat="1" applyFont="1"/>
    <xf numFmtId="3" fontId="10" fillId="0" borderId="0" xfId="1" applyNumberFormat="1" applyFont="1" applyBorder="1"/>
    <xf numFmtId="3" fontId="11" fillId="0" borderId="0" xfId="1" applyNumberFormat="1" applyFont="1" applyBorder="1"/>
    <xf numFmtId="3" fontId="52" fillId="0" borderId="3" xfId="0" applyNumberFormat="1" applyFont="1" applyBorder="1"/>
    <xf numFmtId="3" fontId="52" fillId="0" borderId="0" xfId="0" applyNumberFormat="1" applyFont="1"/>
    <xf numFmtId="166" fontId="52" fillId="0" borderId="0" xfId="1" applyNumberFormat="1" applyFont="1"/>
    <xf numFmtId="166" fontId="52" fillId="0" borderId="3" xfId="1" applyNumberFormat="1" applyFont="1" applyBorder="1"/>
    <xf numFmtId="3" fontId="13" fillId="0" borderId="0" xfId="1" applyNumberFormat="1" applyFont="1" applyBorder="1"/>
    <xf numFmtId="3" fontId="52" fillId="0" borderId="0" xfId="1" applyNumberFormat="1" applyFont="1" applyBorder="1"/>
    <xf numFmtId="2" fontId="52" fillId="0" borderId="0" xfId="1" applyNumberFormat="1" applyFont="1" applyBorder="1"/>
    <xf numFmtId="166" fontId="52" fillId="0" borderId="0" xfId="1" applyNumberFormat="1" applyFont="1" applyBorder="1"/>
    <xf numFmtId="10" fontId="13" fillId="0" borderId="0" xfId="1" applyNumberFormat="1" applyFont="1"/>
    <xf numFmtId="10" fontId="13" fillId="0" borderId="0" xfId="0" applyNumberFormat="1" applyFont="1"/>
    <xf numFmtId="10" fontId="52" fillId="0" borderId="3" xfId="0" applyNumberFormat="1" applyFont="1" applyBorder="1"/>
    <xf numFmtId="0" fontId="15" fillId="0" borderId="0" xfId="0" applyFont="1" applyFill="1" applyBorder="1" applyAlignment="1">
      <alignment horizontal="right"/>
    </xf>
    <xf numFmtId="182" fontId="6" fillId="0" borderId="0" xfId="0" applyNumberFormat="1" applyFont="1"/>
    <xf numFmtId="10" fontId="6" fillId="0" borderId="0" xfId="1" applyNumberFormat="1" applyFont="1"/>
    <xf numFmtId="182" fontId="13" fillId="0" borderId="0" xfId="0" applyNumberFormat="1" applyFont="1"/>
    <xf numFmtId="183" fontId="15" fillId="0" borderId="0" xfId="0" applyNumberFormat="1" applyFont="1"/>
    <xf numFmtId="183" fontId="6" fillId="0" borderId="3" xfId="0" applyNumberFormat="1" applyFont="1" applyBorder="1"/>
    <xf numFmtId="164" fontId="15" fillId="0" borderId="0" xfId="32" applyFont="1"/>
    <xf numFmtId="0" fontId="6" fillId="0" borderId="3" xfId="0" applyFont="1" applyFill="1" applyBorder="1" applyAlignment="1">
      <alignment horizontal="right"/>
    </xf>
    <xf numFmtId="10" fontId="44" fillId="0" borderId="0" xfId="0" applyNumberFormat="1" applyFont="1"/>
    <xf numFmtId="10" fontId="66" fillId="0" borderId="0" xfId="0" applyNumberFormat="1" applyFont="1"/>
    <xf numFmtId="3" fontId="13" fillId="0" borderId="3" xfId="1" applyNumberFormat="1" applyFont="1" applyBorder="1"/>
    <xf numFmtId="3" fontId="10" fillId="0" borderId="3" xfId="1" applyNumberFormat="1" applyFont="1" applyBorder="1"/>
    <xf numFmtId="0" fontId="0" fillId="0" borderId="57" xfId="0" applyFont="1" applyBorder="1"/>
    <xf numFmtId="3" fontId="13" fillId="0" borderId="57" xfId="1" applyNumberFormat="1" applyFont="1" applyBorder="1"/>
    <xf numFmtId="3" fontId="10" fillId="0" borderId="57" xfId="1" applyNumberFormat="1" applyFont="1" applyBorder="1"/>
    <xf numFmtId="0" fontId="5" fillId="0" borderId="57" xfId="0" applyFont="1" applyBorder="1"/>
    <xf numFmtId="183" fontId="66" fillId="0" borderId="0" xfId="0" applyNumberFormat="1" applyFont="1"/>
    <xf numFmtId="0" fontId="64" fillId="0" borderId="3" xfId="0" applyFont="1" applyFill="1" applyBorder="1" applyAlignment="1">
      <alignment horizontal="right"/>
    </xf>
    <xf numFmtId="0" fontId="67" fillId="0" borderId="3" xfId="0" applyFont="1" applyFill="1" applyBorder="1" applyAlignment="1">
      <alignment horizontal="right"/>
    </xf>
    <xf numFmtId="3" fontId="64" fillId="0" borderId="0" xfId="0" applyNumberFormat="1" applyFont="1"/>
    <xf numFmtId="3" fontId="67" fillId="0" borderId="0" xfId="0" applyNumberFormat="1" applyFont="1"/>
    <xf numFmtId="3" fontId="44" fillId="0" borderId="0" xfId="32" applyNumberFormat="1" applyFont="1"/>
    <xf numFmtId="3" fontId="66" fillId="0" borderId="0" xfId="32" applyNumberFormat="1" applyFont="1"/>
    <xf numFmtId="3" fontId="64" fillId="0" borderId="3" xfId="0" applyNumberFormat="1" applyFont="1" applyFill="1" applyBorder="1" applyAlignment="1">
      <alignment horizontal="right"/>
    </xf>
    <xf numFmtId="3" fontId="67" fillId="0" borderId="3" xfId="0" applyNumberFormat="1" applyFont="1" applyFill="1" applyBorder="1" applyAlignment="1">
      <alignment horizontal="right"/>
    </xf>
    <xf numFmtId="0" fontId="68" fillId="0" borderId="0" xfId="0" applyFont="1"/>
    <xf numFmtId="0" fontId="0" fillId="37" borderId="3" xfId="0" applyFill="1" applyBorder="1"/>
    <xf numFmtId="3" fontId="0" fillId="0" borderId="3" xfId="0" applyNumberFormat="1" applyBorder="1"/>
    <xf numFmtId="9" fontId="0" fillId="0" borderId="3" xfId="1" applyFont="1" applyBorder="1"/>
    <xf numFmtId="0" fontId="59" fillId="37" borderId="57" xfId="0" applyFont="1" applyFill="1" applyBorder="1"/>
    <xf numFmtId="0" fontId="59" fillId="37" borderId="58" xfId="0" applyFont="1" applyFill="1" applyBorder="1"/>
    <xf numFmtId="0" fontId="66" fillId="37" borderId="58" xfId="0" applyFont="1" applyFill="1" applyBorder="1"/>
    <xf numFmtId="3" fontId="59" fillId="37" borderId="57" xfId="0" applyNumberFormat="1" applyFont="1" applyFill="1" applyBorder="1"/>
    <xf numFmtId="3" fontId="59" fillId="37" borderId="3" xfId="0" applyNumberFormat="1" applyFont="1" applyFill="1" applyBorder="1"/>
    <xf numFmtId="3" fontId="59" fillId="34" borderId="58" xfId="0" applyNumberFormat="1" applyFont="1" applyFill="1" applyBorder="1"/>
    <xf numFmtId="9" fontId="59" fillId="37" borderId="57" xfId="1" applyFont="1" applyFill="1" applyBorder="1"/>
    <xf numFmtId="9" fontId="59" fillId="37" borderId="3" xfId="1" applyFont="1" applyFill="1" applyBorder="1"/>
    <xf numFmtId="9" fontId="0" fillId="0" borderId="0" xfId="1" applyFont="1" applyBorder="1"/>
    <xf numFmtId="0" fontId="59" fillId="37" borderId="3" xfId="1" applyNumberFormat="1" applyFont="1" applyFill="1" applyBorder="1"/>
    <xf numFmtId="0" fontId="0" fillId="0" borderId="0" xfId="0" applyBorder="1" applyAlignment="1">
      <alignment horizontal="right"/>
    </xf>
    <xf numFmtId="0" fontId="0" fillId="0" borderId="3" xfId="0" applyBorder="1" applyAlignment="1">
      <alignment horizontal="right"/>
    </xf>
    <xf numFmtId="166" fontId="59" fillId="37" borderId="3" xfId="0" applyNumberFormat="1" applyFont="1" applyFill="1" applyBorder="1"/>
    <xf numFmtId="2" fontId="68" fillId="0" borderId="57" xfId="0" applyNumberFormat="1" applyFont="1" applyBorder="1"/>
    <xf numFmtId="166" fontId="68" fillId="0" borderId="57" xfId="0" applyNumberFormat="1" applyFont="1" applyBorder="1"/>
    <xf numFmtId="1" fontId="68" fillId="0" borderId="57" xfId="0" applyNumberFormat="1" applyFont="1" applyBorder="1"/>
    <xf numFmtId="2" fontId="68" fillId="0" borderId="0" xfId="0" applyNumberFormat="1" applyFont="1" applyBorder="1"/>
    <xf numFmtId="166" fontId="68" fillId="0" borderId="0" xfId="0" applyNumberFormat="1" applyFont="1" applyBorder="1"/>
    <xf numFmtId="1" fontId="68" fillId="0" borderId="0" xfId="0" applyNumberFormat="1" applyFont="1" applyBorder="1"/>
    <xf numFmtId="2" fontId="68" fillId="0" borderId="3" xfId="0" applyNumberFormat="1" applyFont="1" applyBorder="1"/>
    <xf numFmtId="166" fontId="68" fillId="0" borderId="3" xfId="0" applyNumberFormat="1" applyFont="1" applyBorder="1"/>
    <xf numFmtId="166" fontId="68" fillId="0" borderId="0" xfId="1" applyNumberFormat="1" applyFont="1" applyBorder="1"/>
    <xf numFmtId="166" fontId="68" fillId="0" borderId="3" xfId="1" applyNumberFormat="1" applyFont="1" applyBorder="1"/>
    <xf numFmtId="166" fontId="5" fillId="37" borderId="57" xfId="0" applyNumberFormat="1" applyFont="1" applyFill="1" applyBorder="1"/>
    <xf numFmtId="0" fontId="0" fillId="37" borderId="57" xfId="0" applyFill="1" applyBorder="1"/>
    <xf numFmtId="166" fontId="5" fillId="37" borderId="3" xfId="0" applyNumberFormat="1" applyFont="1" applyFill="1" applyBorder="1"/>
    <xf numFmtId="166" fontId="59" fillId="37" borderId="58" xfId="0" applyNumberFormat="1" applyFont="1" applyFill="1" applyBorder="1"/>
    <xf numFmtId="166" fontId="5" fillId="0" borderId="58" xfId="0" applyNumberFormat="1" applyFont="1" applyBorder="1"/>
    <xf numFmtId="1" fontId="68" fillId="0" borderId="3" xfId="0" applyNumberFormat="1" applyFont="1" applyBorder="1"/>
    <xf numFmtId="4" fontId="10" fillId="0" borderId="0" xfId="0" applyNumberFormat="1" applyFont="1" applyBorder="1"/>
    <xf numFmtId="4" fontId="10" fillId="0" borderId="0" xfId="0" applyNumberFormat="1" applyFont="1"/>
    <xf numFmtId="167" fontId="10" fillId="23" borderId="0" xfId="0" applyNumberFormat="1" applyFont="1" applyFill="1"/>
    <xf numFmtId="0" fontId="5" fillId="7" borderId="58" xfId="0" applyFont="1" applyFill="1" applyBorder="1"/>
    <xf numFmtId="0" fontId="9" fillId="7" borderId="58" xfId="0" applyFont="1" applyFill="1" applyBorder="1"/>
    <xf numFmtId="0" fontId="44" fillId="7" borderId="58" xfId="0" applyFont="1" applyFill="1" applyBorder="1"/>
    <xf numFmtId="3" fontId="5" fillId="7" borderId="58" xfId="0" applyNumberFormat="1" applyFont="1" applyFill="1" applyBorder="1"/>
    <xf numFmtId="3" fontId="52" fillId="7" borderId="58" xfId="0" applyNumberFormat="1" applyFont="1" applyFill="1" applyBorder="1"/>
    <xf numFmtId="3" fontId="11" fillId="7" borderId="58" xfId="0" applyNumberFormat="1" applyFont="1" applyFill="1" applyBorder="1"/>
    <xf numFmtId="9" fontId="59" fillId="37" borderId="58" xfId="1" applyFont="1" applyFill="1" applyBorder="1"/>
    <xf numFmtId="0" fontId="18" fillId="4" borderId="0" xfId="0" applyFont="1" applyFill="1"/>
    <xf numFmtId="9" fontId="10" fillId="0" borderId="0" xfId="1" applyFont="1"/>
    <xf numFmtId="166" fontId="10" fillId="2" borderId="0" xfId="1" applyNumberFormat="1" applyFont="1" applyFill="1"/>
    <xf numFmtId="0" fontId="18" fillId="7" borderId="0" xfId="0" applyFont="1" applyFill="1"/>
    <xf numFmtId="0" fontId="59" fillId="0" borderId="57" xfId="0" applyFont="1" applyBorder="1"/>
    <xf numFmtId="3" fontId="13" fillId="7" borderId="58" xfId="0" applyNumberFormat="1" applyFont="1" applyFill="1" applyBorder="1"/>
    <xf numFmtId="0" fontId="59" fillId="37" borderId="1" xfId="0" applyFont="1" applyFill="1" applyBorder="1"/>
    <xf numFmtId="0" fontId="59" fillId="37" borderId="32" xfId="0" applyFont="1" applyFill="1" applyBorder="1"/>
    <xf numFmtId="0" fontId="59" fillId="37" borderId="30" xfId="0" applyFont="1" applyFill="1" applyBorder="1" applyAlignment="1">
      <alignment wrapText="1"/>
    </xf>
    <xf numFmtId="0" fontId="59" fillId="35" borderId="42" xfId="0" applyFont="1" applyFill="1" applyBorder="1"/>
    <xf numFmtId="0" fontId="59" fillId="35" borderId="39" xfId="0" applyFont="1" applyFill="1" applyBorder="1"/>
    <xf numFmtId="9" fontId="60" fillId="34" borderId="42" xfId="0" applyNumberFormat="1" applyFont="1" applyFill="1" applyBorder="1"/>
    <xf numFmtId="166" fontId="5" fillId="34" borderId="42" xfId="0" applyNumberFormat="1" applyFont="1" applyFill="1" applyBorder="1"/>
    <xf numFmtId="175" fontId="59" fillId="34" borderId="0" xfId="0" applyNumberFormat="1" applyFont="1" applyFill="1"/>
    <xf numFmtId="175" fontId="59" fillId="34" borderId="0" xfId="0" quotePrefix="1" applyNumberFormat="1" applyFont="1" applyFill="1" applyAlignment="1">
      <alignment horizontal="right"/>
    </xf>
    <xf numFmtId="175" fontId="59" fillId="34" borderId="0" xfId="0" quotePrefix="1" applyNumberFormat="1" applyFont="1" applyFill="1"/>
    <xf numFmtId="0" fontId="59" fillId="34" borderId="3" xfId="0" applyFont="1" applyFill="1" applyBorder="1"/>
    <xf numFmtId="175" fontId="59" fillId="34" borderId="3" xfId="0" applyNumberFormat="1" applyFont="1" applyFill="1" applyBorder="1"/>
    <xf numFmtId="175" fontId="59" fillId="34" borderId="3" xfId="0" quotePrefix="1" applyNumberFormat="1" applyFont="1" applyFill="1" applyBorder="1" applyAlignment="1">
      <alignment horizontal="right"/>
    </xf>
    <xf numFmtId="175" fontId="59" fillId="34" borderId="3" xfId="0" quotePrefix="1" applyNumberFormat="1" applyFont="1" applyFill="1" applyBorder="1"/>
    <xf numFmtId="175" fontId="0" fillId="0" borderId="0" xfId="0" applyNumberFormat="1" applyBorder="1" applyAlignment="1">
      <alignment horizontal="right"/>
    </xf>
    <xf numFmtId="0" fontId="59" fillId="34" borderId="0" xfId="0" applyFont="1" applyFill="1" applyBorder="1" applyAlignment="1">
      <alignment wrapText="1"/>
    </xf>
    <xf numFmtId="0" fontId="40" fillId="0" borderId="0" xfId="94"/>
    <xf numFmtId="0" fontId="59" fillId="37" borderId="46" xfId="0" applyFont="1" applyFill="1" applyBorder="1"/>
    <xf numFmtId="0" fontId="59" fillId="37" borderId="20" xfId="0" applyFont="1" applyFill="1" applyBorder="1" applyAlignment="1">
      <alignment wrapText="1"/>
    </xf>
    <xf numFmtId="0" fontId="59" fillId="37" borderId="20" xfId="0" applyFont="1" applyFill="1" applyBorder="1" applyAlignment="1">
      <alignment horizontal="left" wrapText="1"/>
    </xf>
    <xf numFmtId="0" fontId="0" fillId="34" borderId="0" xfId="0" applyFill="1" applyBorder="1"/>
    <xf numFmtId="2" fontId="0" fillId="34" borderId="0" xfId="0" applyNumberFormat="1" applyFill="1" applyBorder="1"/>
    <xf numFmtId="175" fontId="0" fillId="34" borderId="0" xfId="0" applyNumberFormat="1" applyFill="1" applyBorder="1"/>
    <xf numFmtId="0" fontId="0" fillId="34" borderId="20" xfId="0" applyFill="1" applyBorder="1"/>
    <xf numFmtId="175" fontId="0" fillId="34" borderId="20" xfId="0" applyNumberFormat="1" applyFill="1" applyBorder="1"/>
    <xf numFmtId="2" fontId="0" fillId="34" borderId="20" xfId="0" applyNumberFormat="1" applyFill="1" applyBorder="1"/>
    <xf numFmtId="0" fontId="59" fillId="37" borderId="46" xfId="0" applyFont="1" applyFill="1" applyBorder="1" applyAlignment="1"/>
    <xf numFmtId="0" fontId="5" fillId="7" borderId="59" xfId="0" applyFont="1" applyFill="1" applyBorder="1"/>
    <xf numFmtId="1" fontId="5" fillId="7" borderId="59" xfId="0" applyNumberFormat="1" applyFont="1" applyFill="1" applyBorder="1"/>
    <xf numFmtId="3" fontId="5" fillId="7" borderId="59" xfId="0" applyNumberFormat="1" applyFont="1" applyFill="1" applyBorder="1"/>
    <xf numFmtId="3" fontId="52" fillId="7" borderId="59" xfId="0" applyNumberFormat="1" applyFont="1" applyFill="1" applyBorder="1"/>
    <xf numFmtId="3" fontId="11" fillId="7" borderId="59" xfId="0" applyNumberFormat="1" applyFont="1" applyFill="1" applyBorder="1"/>
    <xf numFmtId="0" fontId="59" fillId="37" borderId="46" xfId="0" applyFont="1" applyFill="1" applyBorder="1" applyAlignment="1">
      <alignment horizontal="center"/>
    </xf>
    <xf numFmtId="0" fontId="0" fillId="0" borderId="23" xfId="0" applyBorder="1" applyAlignment="1">
      <alignment horizontal="left"/>
    </xf>
    <xf numFmtId="0" fontId="59" fillId="37" borderId="28" xfId="0" applyFont="1" applyFill="1" applyBorder="1" applyAlignment="1">
      <alignment horizontal="center"/>
    </xf>
    <xf numFmtId="0" fontId="59" fillId="37" borderId="3" xfId="0" applyFont="1" applyFill="1" applyBorder="1" applyAlignment="1">
      <alignment horizontal="center"/>
    </xf>
    <xf numFmtId="0" fontId="59" fillId="37" borderId="37" xfId="0" applyFont="1" applyFill="1" applyBorder="1" applyAlignment="1">
      <alignment horizontal="center"/>
    </xf>
    <xf numFmtId="0" fontId="59" fillId="34" borderId="27" xfId="0" applyFont="1" applyFill="1" applyBorder="1" applyAlignment="1">
      <alignment horizontal="center"/>
    </xf>
    <xf numFmtId="0" fontId="59" fillId="34" borderId="0" xfId="0" applyFont="1" applyFill="1" applyBorder="1" applyAlignment="1">
      <alignment horizontal="center"/>
    </xf>
    <xf numFmtId="0" fontId="59" fillId="34" borderId="0" xfId="0" applyFont="1" applyFill="1" applyBorder="1" applyAlignment="1">
      <alignment horizontal="center" vertical="center" wrapText="1"/>
    </xf>
    <xf numFmtId="0" fontId="59" fillId="34" borderId="0" xfId="0" applyFont="1" applyFill="1" applyAlignment="1">
      <alignment horizontal="center" vertical="center"/>
    </xf>
    <xf numFmtId="0" fontId="59" fillId="34" borderId="36" xfId="0" applyFont="1" applyFill="1" applyBorder="1" applyAlignment="1">
      <alignment horizontal="center" vertical="center"/>
    </xf>
    <xf numFmtId="0" fontId="59" fillId="34" borderId="3" xfId="0" applyFont="1" applyFill="1" applyBorder="1" applyAlignment="1">
      <alignment horizontal="center" vertical="center"/>
    </xf>
    <xf numFmtId="0" fontId="59" fillId="34" borderId="37" xfId="0" applyFont="1" applyFill="1" applyBorder="1" applyAlignment="1">
      <alignment horizontal="center" vertical="center"/>
    </xf>
    <xf numFmtId="9" fontId="59" fillId="37" borderId="42" xfId="0" applyNumberFormat="1" applyFont="1" applyFill="1" applyBorder="1" applyAlignment="1">
      <alignment horizontal="center"/>
    </xf>
    <xf numFmtId="0" fontId="0" fillId="0" borderId="1" xfId="0" applyBorder="1" applyAlignment="1">
      <alignment horizontal="center" vertical="center"/>
    </xf>
    <xf numFmtId="0" fontId="59" fillId="37" borderId="26" xfId="0" applyFont="1" applyFill="1" applyBorder="1" applyAlignment="1">
      <alignment horizontal="center"/>
    </xf>
    <xf numFmtId="0" fontId="59" fillId="37" borderId="1" xfId="0" applyFont="1" applyFill="1" applyBorder="1" applyAlignment="1">
      <alignment horizontal="center"/>
    </xf>
    <xf numFmtId="0" fontId="59" fillId="37" borderId="32" xfId="0" applyFont="1" applyFill="1" applyBorder="1" applyAlignment="1">
      <alignment horizontal="center"/>
    </xf>
    <xf numFmtId="0" fontId="59" fillId="37" borderId="33" xfId="0" applyFont="1" applyFill="1" applyBorder="1" applyAlignment="1">
      <alignment horizontal="center"/>
    </xf>
    <xf numFmtId="0" fontId="59" fillId="37" borderId="35" xfId="0" applyFont="1" applyFill="1" applyBorder="1" applyAlignment="1">
      <alignment horizontal="center"/>
    </xf>
    <xf numFmtId="0" fontId="58" fillId="35" borderId="40" xfId="0" applyFont="1" applyFill="1" applyBorder="1" applyAlignment="1">
      <alignment horizontal="left" vertical="top" wrapText="1"/>
    </xf>
    <xf numFmtId="0" fontId="58" fillId="35" borderId="41" xfId="0" applyFont="1" applyFill="1" applyBorder="1" applyAlignment="1">
      <alignment horizontal="center" vertical="top" wrapText="1"/>
    </xf>
    <xf numFmtId="0" fontId="58" fillId="35" borderId="42" xfId="0" applyFont="1" applyFill="1" applyBorder="1" applyAlignment="1">
      <alignment horizontal="center" vertical="top" wrapText="1"/>
    </xf>
    <xf numFmtId="0" fontId="58" fillId="35" borderId="43" xfId="0" applyFont="1" applyFill="1" applyBorder="1" applyAlignment="1">
      <alignment horizontal="center" vertical="top" wrapText="1"/>
    </xf>
  </cellXfs>
  <cellStyles count="95">
    <cellStyle name="Comma" xfId="32" builtinId="3"/>
    <cellStyle name="Currency 2" xfId="5"/>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9" builtinId="9" hidden="1"/>
    <cellStyle name="Followed Hyperlink" xfId="21" builtinId="9" hidden="1"/>
    <cellStyle name="Followed Hyperlink" xfId="23" builtinId="9" hidden="1"/>
    <cellStyle name="Followed Hyperlink" xfId="25" builtinId="9" hidden="1"/>
    <cellStyle name="Followed Hyperlink" xfId="27" builtinId="9" hidden="1"/>
    <cellStyle name="Followed Hyperlink" xfId="29" builtinId="9" hidden="1"/>
    <cellStyle name="Followed Hyperlink" xfId="31"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8" builtinId="8" hidden="1"/>
    <cellStyle name="Hyperlink" xfId="20" builtinId="8" hidden="1"/>
    <cellStyle name="Hyperlink" xfId="22" builtinId="8" hidden="1"/>
    <cellStyle name="Hyperlink" xfId="24" builtinId="8" hidden="1"/>
    <cellStyle name="Hyperlink" xfId="26" builtinId="8" hidden="1"/>
    <cellStyle name="Hyperlink" xfId="28" builtinId="8" hidden="1"/>
    <cellStyle name="Hyperlink" xfId="30"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4" builtinId="8"/>
    <cellStyle name="Normal" xfId="0" builtinId="0"/>
    <cellStyle name="Normal 2" xfId="2"/>
    <cellStyle name="Normal 3" xfId="4"/>
    <cellStyle name="Normal 7" xfId="3"/>
    <cellStyle name="Normal 7 2" xfId="93"/>
    <cellStyle name="Percent" xfId="1" builtinId="5"/>
    <cellStyle name="Percent 2" xfId="6"/>
    <cellStyle name="Percent 3" xfId="17"/>
  </cellStyles>
  <dxfs count="100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rgb="FFFF0000"/>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rgb="FFFF0000"/>
        </patternFill>
      </fill>
    </dxf>
    <dxf>
      <fill>
        <patternFill>
          <bgColor indexed="37"/>
        </patternFill>
      </fill>
    </dxf>
    <dxf>
      <fill>
        <patternFill>
          <bgColor indexed="37"/>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indexed="37"/>
        </patternFill>
      </fill>
    </dxf>
    <dxf>
      <fill>
        <patternFill>
          <bgColor indexed="37"/>
        </patternFill>
      </fill>
    </dxf>
    <dxf>
      <fill>
        <patternFill>
          <bgColor indexed="37"/>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rgb="FFFF0000"/>
        </patternFill>
      </fill>
    </dxf>
    <dxf>
      <fill>
        <patternFill>
          <bgColor indexed="37"/>
        </patternFill>
      </fill>
    </dxf>
    <dxf>
      <fill>
        <patternFill>
          <bgColor indexed="37"/>
        </patternFill>
      </fill>
    </dxf>
    <dxf>
      <fill>
        <patternFill>
          <bgColor indexed="37"/>
        </patternFill>
      </fill>
    </dxf>
    <dxf>
      <fill>
        <patternFill>
          <bgColor indexed="37"/>
        </patternFill>
      </fill>
    </dxf>
    <dxf>
      <fill>
        <patternFill>
          <bgColor indexed="37"/>
        </patternFill>
      </fill>
    </dxf>
    <dxf>
      <fill>
        <patternFill>
          <bgColor indexed="37"/>
        </patternFill>
      </fill>
    </dxf>
    <dxf>
      <fill>
        <patternFill>
          <bgColor indexed="37"/>
        </patternFill>
      </fill>
    </dxf>
    <dxf>
      <fill>
        <patternFill>
          <bgColor indexed="37"/>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indexed="37"/>
        </patternFill>
      </fill>
    </dxf>
    <dxf>
      <fill>
        <patternFill>
          <bgColor indexed="37"/>
        </patternFill>
      </fill>
    </dxf>
    <dxf>
      <fill>
        <patternFill>
          <bgColor indexed="37"/>
        </patternFill>
      </fill>
    </dxf>
    <dxf>
      <fill>
        <patternFill>
          <bgColor indexed="37"/>
        </patternFill>
      </fill>
    </dxf>
    <dxf>
      <fill>
        <patternFill>
          <bgColor indexed="37"/>
        </patternFill>
      </fill>
    </dxf>
    <dxf>
      <fill>
        <patternFill>
          <bgColor indexed="37"/>
        </patternFill>
      </fill>
    </dxf>
    <dxf>
      <fill>
        <patternFill>
          <bgColor indexed="37"/>
        </patternFill>
      </fill>
    </dxf>
    <dxf>
      <fill>
        <patternFill>
          <bgColor rgb="FFFF0000"/>
        </patternFill>
      </fill>
    </dxf>
    <dxf>
      <fill>
        <patternFill>
          <bgColor indexed="37"/>
        </patternFill>
      </fill>
    </dxf>
    <dxf>
      <fill>
        <patternFill>
          <bgColor indexed="37"/>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rgb="FFFF0000"/>
        </patternFill>
      </fill>
    </dxf>
    <dxf>
      <fill>
        <patternFill>
          <bgColor indexed="37"/>
        </patternFill>
      </fill>
    </dxf>
    <dxf>
      <fill>
        <patternFill>
          <bgColor indexed="37"/>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indexed="37"/>
        </patternFill>
      </fill>
    </dxf>
    <dxf>
      <fill>
        <patternFill>
          <bgColor indexed="37"/>
        </patternFill>
      </fill>
    </dxf>
    <dxf>
      <fill>
        <patternFill>
          <bgColor indexed="37"/>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rgb="FFFF0000"/>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rgb="FFFF0000"/>
        </patternFill>
      </fill>
    </dxf>
    <dxf>
      <fill>
        <patternFill>
          <bgColor indexed="37"/>
        </patternFill>
      </fill>
    </dxf>
    <dxf>
      <fill>
        <patternFill>
          <bgColor indexed="37"/>
        </patternFill>
      </fill>
    </dxf>
    <dxf>
      <fill>
        <patternFill>
          <bgColor indexed="37"/>
        </patternFill>
      </fill>
    </dxf>
    <dxf>
      <fill>
        <patternFill>
          <bgColor indexed="37"/>
        </patternFill>
      </fill>
    </dxf>
    <dxf>
      <fill>
        <patternFill>
          <bgColor indexed="37"/>
        </patternFill>
      </fill>
    </dxf>
    <dxf>
      <fill>
        <patternFill>
          <bgColor indexed="37"/>
        </patternFill>
      </fill>
    </dxf>
    <dxf>
      <fill>
        <patternFill>
          <bgColor indexed="37"/>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rgb="FFFF0000"/>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rgb="FFFF0000"/>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rgb="FFFF0000"/>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indexed="37"/>
        </patternFill>
      </fill>
    </dxf>
    <dxf>
      <fill>
        <patternFill>
          <bgColor rgb="FFFF0000"/>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indexed="37"/>
        </patternFill>
      </fill>
    </dxf>
    <dxf>
      <fill>
        <patternFill>
          <bgColor rgb="FFFF0000"/>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rgb="FFFF0000"/>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indexed="37"/>
        </patternFill>
      </fill>
    </dxf>
    <dxf>
      <fill>
        <patternFill>
          <bgColor rgb="FFFF0000"/>
        </patternFill>
      </fill>
    </dxf>
    <dxf>
      <fill>
        <patternFill>
          <bgColor indexed="37"/>
        </patternFill>
      </fill>
    </dxf>
    <dxf>
      <fill>
        <patternFill>
          <bgColor indexed="37"/>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indexed="37"/>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indexed="37"/>
        </patternFill>
      </fill>
    </dxf>
    <dxf>
      <fill>
        <patternFill>
          <bgColor rgb="FFFF0000"/>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rgb="FFFF0000"/>
        </patternFill>
      </fill>
    </dxf>
    <dxf>
      <fill>
        <patternFill>
          <bgColor rgb="FFFF0000"/>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indexed="37"/>
        </patternFill>
      </fill>
    </dxf>
    <dxf>
      <fill>
        <patternFill>
          <bgColor rgb="FFFF0000"/>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indexed="37"/>
        </patternFill>
      </fill>
    </dxf>
    <dxf>
      <fill>
        <patternFill>
          <bgColor indexed="37"/>
        </patternFill>
      </fill>
    </dxf>
    <dxf>
      <fill>
        <patternFill>
          <bgColor rgb="FFFF0000"/>
        </patternFill>
      </fill>
    </dxf>
    <dxf>
      <fill>
        <patternFill>
          <bgColor indexed="37"/>
        </patternFill>
      </fill>
    </dxf>
  </dxfs>
  <tableStyles count="0" defaultTableStyle="TableStyleMedium9" defaultPivotStyle="PivotStyleMedium7"/>
  <colors>
    <mruColors>
      <color rgb="FF0432FF"/>
      <color rgb="FFECACB4"/>
      <color rgb="FFE77E88"/>
      <color rgb="FFC393E8"/>
      <color rgb="FFA0A0E9"/>
      <color rgb="FFAFB5EC"/>
      <color rgb="FFCDD6F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CSGN</a:t>
            </a:r>
            <a:r>
              <a:rPr lang="en-US" baseline="0"/>
              <a:t> returns against S&amp;P500 changes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Beta!$J$215:$J$275</c:f>
              <c:numCache>
                <c:formatCode>0.00%</c:formatCode>
                <c:ptCount val="61"/>
                <c:pt idx="0">
                  <c:v>7.068230463864511E-3</c:v>
                </c:pt>
                <c:pt idx="1">
                  <c:v>5.0428096519578469E-2</c:v>
                </c:pt>
                <c:pt idx="2">
                  <c:v>1.1060649195259176E-2</c:v>
                </c:pt>
                <c:pt idx="3">
                  <c:v>3.5987723516956116E-2</c:v>
                </c:pt>
                <c:pt idx="4">
                  <c:v>1.8085767859252311E-2</c:v>
                </c:pt>
                <c:pt idx="5">
                  <c:v>2.0762811721046104E-2</c:v>
                </c:pt>
                <c:pt idx="6">
                  <c:v>-1.4999301636062778E-2</c:v>
                </c:pt>
                <c:pt idx="7">
                  <c:v>4.9462079815224991E-2</c:v>
                </c:pt>
                <c:pt idx="8">
                  <c:v>-3.1298019033866864E-2</c:v>
                </c:pt>
                <c:pt idx="9">
                  <c:v>2.9749523177239112E-2</c:v>
                </c:pt>
                <c:pt idx="10">
                  <c:v>4.4595752618006079E-2</c:v>
                </c:pt>
                <c:pt idx="11">
                  <c:v>2.8049471635186451E-2</c:v>
                </c:pt>
                <c:pt idx="12">
                  <c:v>2.356279155049279E-2</c:v>
                </c:pt>
                <c:pt idx="13">
                  <c:v>-3.5582905675162646E-2</c:v>
                </c:pt>
                <c:pt idx="14">
                  <c:v>4.3117029976595278E-2</c:v>
                </c:pt>
                <c:pt idx="15">
                  <c:v>6.9321656079357474E-3</c:v>
                </c:pt>
                <c:pt idx="16">
                  <c:v>6.2007889650528281E-3</c:v>
                </c:pt>
                <c:pt idx="17">
                  <c:v>2.1030280012996005E-2</c:v>
                </c:pt>
                <c:pt idx="18">
                  <c:v>1.9058331658920569E-2</c:v>
                </c:pt>
                <c:pt idx="19">
                  <c:v>-1.5079830581919862E-2</c:v>
                </c:pt>
                <c:pt idx="20">
                  <c:v>3.7655295489735119E-2</c:v>
                </c:pt>
                <c:pt idx="21">
                  <c:v>-1.5513837223063764E-2</c:v>
                </c:pt>
                <c:pt idx="22">
                  <c:v>2.3201460786772321E-2</c:v>
                </c:pt>
                <c:pt idx="23">
                  <c:v>2.4533588760364822E-2</c:v>
                </c:pt>
                <c:pt idx="24">
                  <c:v>-4.1885878779204244E-3</c:v>
                </c:pt>
                <c:pt idx="25">
                  <c:v>-3.1040805790470194E-2</c:v>
                </c:pt>
                <c:pt idx="26">
                  <c:v>5.4892511014553946E-2</c:v>
                </c:pt>
                <c:pt idx="27">
                  <c:v>-1.739610691375626E-2</c:v>
                </c:pt>
                <c:pt idx="28">
                  <c:v>8.5208197301247512E-3</c:v>
                </c:pt>
                <c:pt idx="29">
                  <c:v>1.0491382393316817E-2</c:v>
                </c:pt>
                <c:pt idx="30">
                  <c:v>-2.1011672375900514E-2</c:v>
                </c:pt>
                <c:pt idx="31">
                  <c:v>1.9742029696721453E-2</c:v>
                </c:pt>
                <c:pt idx="32">
                  <c:v>-6.2580818167202845E-2</c:v>
                </c:pt>
                <c:pt idx="33">
                  <c:v>-2.6442831573227132E-2</c:v>
                </c:pt>
                <c:pt idx="34">
                  <c:v>8.2983117760394132E-2</c:v>
                </c:pt>
                <c:pt idx="35">
                  <c:v>5.0486926072412786E-4</c:v>
                </c:pt>
                <c:pt idx="36">
                  <c:v>-1.7530185176314439E-2</c:v>
                </c:pt>
                <c:pt idx="37">
                  <c:v>-5.073532197294639E-2</c:v>
                </c:pt>
                <c:pt idx="38">
                  <c:v>-4.1283604302990717E-3</c:v>
                </c:pt>
                <c:pt idx="39">
                  <c:v>6.5991114577365062E-2</c:v>
                </c:pt>
                <c:pt idx="40">
                  <c:v>2.6993984808731941E-3</c:v>
                </c:pt>
                <c:pt idx="41">
                  <c:v>1.5324602357572603E-2</c:v>
                </c:pt>
                <c:pt idx="42">
                  <c:v>9.1092112097812539E-4</c:v>
                </c:pt>
                <c:pt idx="43">
                  <c:v>3.5609801125254359E-2</c:v>
                </c:pt>
                <c:pt idx="44">
                  <c:v>-1.2192431360480427E-3</c:v>
                </c:pt>
                <c:pt idx="45">
                  <c:v>-1.2344508443253854E-3</c:v>
                </c:pt>
                <c:pt idx="46">
                  <c:v>-1.9425679279557517E-2</c:v>
                </c:pt>
                <c:pt idx="47">
                  <c:v>3.4174522187570444E-2</c:v>
                </c:pt>
                <c:pt idx="48">
                  <c:v>1.8200762196895148E-2</c:v>
                </c:pt>
                <c:pt idx="49">
                  <c:v>1.7884358171464498E-2</c:v>
                </c:pt>
                <c:pt idx="50">
                  <c:v>3.7198160337279074E-2</c:v>
                </c:pt>
                <c:pt idx="51">
                  <c:v>-3.8919718808450021E-4</c:v>
                </c:pt>
                <c:pt idx="52">
                  <c:v>9.0912085493182193E-3</c:v>
                </c:pt>
                <c:pt idx="53">
                  <c:v>1.157625139134133E-2</c:v>
                </c:pt>
                <c:pt idx="54">
                  <c:v>4.8137750908554544E-3</c:v>
                </c:pt>
                <c:pt idx="55">
                  <c:v>1.9348826118030571E-2</c:v>
                </c:pt>
                <c:pt idx="56">
                  <c:v>5.4643281108557318E-4</c:v>
                </c:pt>
                <c:pt idx="57">
                  <c:v>1.9302978533243698E-2</c:v>
                </c:pt>
                <c:pt idx="58">
                  <c:v>2.218813533034969E-2</c:v>
                </c:pt>
                <c:pt idx="59">
                  <c:v>3.7200430103365711E-3</c:v>
                </c:pt>
                <c:pt idx="60">
                  <c:v>2.5986103477670941E-2</c:v>
                </c:pt>
              </c:numCache>
            </c:numRef>
          </c:xVal>
          <c:yVal>
            <c:numRef>
              <c:f>Beta!$H$215:$H$275</c:f>
              <c:numCache>
                <c:formatCode>0.00%</c:formatCode>
                <c:ptCount val="61"/>
                <c:pt idx="0">
                  <c:v>1.4587078960327071E-2</c:v>
                </c:pt>
                <c:pt idx="1">
                  <c:v>0.20844292219517935</c:v>
                </c:pt>
                <c:pt idx="2">
                  <c:v>-6.6544578939460974E-2</c:v>
                </c:pt>
                <c:pt idx="3">
                  <c:v>-7.9648777856561326E-3</c:v>
                </c:pt>
                <c:pt idx="4">
                  <c:v>6.0170484794236145E-2</c:v>
                </c:pt>
                <c:pt idx="5">
                  <c:v>0.11520258112110571</c:v>
                </c:pt>
                <c:pt idx="6">
                  <c:v>-0.12869260126025961</c:v>
                </c:pt>
                <c:pt idx="7">
                  <c:v>8.5426215691616347E-2</c:v>
                </c:pt>
                <c:pt idx="8">
                  <c:v>-1.3608041913903302E-2</c:v>
                </c:pt>
                <c:pt idx="9">
                  <c:v>2.9829799584140115E-2</c:v>
                </c:pt>
                <c:pt idx="10">
                  <c:v>2.2086244836505564E-2</c:v>
                </c:pt>
                <c:pt idx="11">
                  <c:v>-4.4279379492428772E-2</c:v>
                </c:pt>
                <c:pt idx="12">
                  <c:v>1.0749838387444699E-2</c:v>
                </c:pt>
                <c:pt idx="13">
                  <c:v>4.7663715845285282E-3</c:v>
                </c:pt>
                <c:pt idx="14">
                  <c:v>1.094700918588809E-2</c:v>
                </c:pt>
                <c:pt idx="15">
                  <c:v>3.213099422084098E-2</c:v>
                </c:pt>
                <c:pt idx="16">
                  <c:v>-2.3783542873339836E-2</c:v>
                </c:pt>
                <c:pt idx="17">
                  <c:v>-4.6219638824054998E-2</c:v>
                </c:pt>
                <c:pt idx="18">
                  <c:v>-4.7333848717414528E-2</c:v>
                </c:pt>
                <c:pt idx="19">
                  <c:v>-2.4449764565780296E-2</c:v>
                </c:pt>
                <c:pt idx="20">
                  <c:v>4.6082234290147239E-2</c:v>
                </c:pt>
                <c:pt idx="21">
                  <c:v>2.2796524275684682E-2</c:v>
                </c:pt>
                <c:pt idx="22">
                  <c:v>-3.3624042120648512E-2</c:v>
                </c:pt>
                <c:pt idx="23">
                  <c:v>9.3831548984633084E-3</c:v>
                </c:pt>
                <c:pt idx="24">
                  <c:v>-2.8659958482585512E-2</c:v>
                </c:pt>
                <c:pt idx="25">
                  <c:v>-0.22448123904777284</c:v>
                </c:pt>
                <c:pt idx="26">
                  <c:v>0.1963993004731126</c:v>
                </c:pt>
                <c:pt idx="27">
                  <c:v>0.12505384128962493</c:v>
                </c:pt>
                <c:pt idx="28">
                  <c:v>-5.2711495774361072E-2</c:v>
                </c:pt>
                <c:pt idx="29">
                  <c:v>4.4370824850878954E-3</c:v>
                </c:pt>
                <c:pt idx="30">
                  <c:v>3.1714573122445078E-2</c:v>
                </c:pt>
                <c:pt idx="31">
                  <c:v>0.10816760986457785</c:v>
                </c:pt>
                <c:pt idx="32">
                  <c:v>-8.8833526978547961E-2</c:v>
                </c:pt>
                <c:pt idx="33">
                  <c:v>-9.7494329574964733E-2</c:v>
                </c:pt>
                <c:pt idx="34">
                  <c:v>5.3801430516160487E-2</c:v>
                </c:pt>
                <c:pt idx="35">
                  <c:v>-7.7845656663411922E-2</c:v>
                </c:pt>
                <c:pt idx="36">
                  <c:v>-1.9438718140929678E-2</c:v>
                </c:pt>
                <c:pt idx="37">
                  <c:v>-0.17012193548695342</c:v>
                </c:pt>
                <c:pt idx="38">
                  <c:v>-0.25333652376492499</c:v>
                </c:pt>
                <c:pt idx="39">
                  <c:v>1.2653737903381312E-2</c:v>
                </c:pt>
                <c:pt idx="40">
                  <c:v>7.0534395321566246E-2</c:v>
                </c:pt>
                <c:pt idx="41">
                  <c:v>-6.5204247843003271E-2</c:v>
                </c:pt>
                <c:pt idx="42">
                  <c:v>-0.24302399902603833</c:v>
                </c:pt>
                <c:pt idx="43">
                  <c:v>8.147799680951473E-2</c:v>
                </c:pt>
                <c:pt idx="44">
                  <c:v>0.19064216602068984</c:v>
                </c:pt>
                <c:pt idx="45">
                  <c:v>-4.2615144418423179E-2</c:v>
                </c:pt>
                <c:pt idx="46">
                  <c:v>8.7336208935021808E-2</c:v>
                </c:pt>
                <c:pt idx="47">
                  <c:v>-2.1709460675505499E-2</c:v>
                </c:pt>
                <c:pt idx="48">
                  <c:v>8.0624266999854255E-2</c:v>
                </c:pt>
                <c:pt idx="49">
                  <c:v>2.601170420287291E-2</c:v>
                </c:pt>
                <c:pt idx="50">
                  <c:v>1.0667717537091503E-2</c:v>
                </c:pt>
                <c:pt idx="51">
                  <c:v>-1.6499640866025844E-2</c:v>
                </c:pt>
                <c:pt idx="52">
                  <c:v>1.5434052290763889E-2</c:v>
                </c:pt>
                <c:pt idx="53">
                  <c:v>-8.8991177598772508E-2</c:v>
                </c:pt>
                <c:pt idx="54">
                  <c:v>4.2105263157894646E-2</c:v>
                </c:pt>
                <c:pt idx="55">
                  <c:v>7.3593073593073655E-2</c:v>
                </c:pt>
                <c:pt idx="56">
                  <c:v>-5.2419354838709742E-2</c:v>
                </c:pt>
                <c:pt idx="57">
                  <c:v>8.7234042553191449E-2</c:v>
                </c:pt>
                <c:pt idx="58">
                  <c:v>2.6092628832354858E-2</c:v>
                </c:pt>
                <c:pt idx="59">
                  <c:v>5.9122695486331756E-2</c:v>
                </c:pt>
                <c:pt idx="60">
                  <c:v>4.3817466986794784E-2</c:v>
                </c:pt>
              </c:numCache>
            </c:numRef>
          </c:yVal>
          <c:smooth val="0"/>
        </c:ser>
        <c:dLbls>
          <c:showLegendKey val="0"/>
          <c:showVal val="0"/>
          <c:showCatName val="0"/>
          <c:showSerName val="0"/>
          <c:showPercent val="0"/>
          <c:showBubbleSize val="0"/>
        </c:dLbls>
        <c:axId val="800357872"/>
        <c:axId val="867050128"/>
      </c:scatterChart>
      <c:valAx>
        <c:axId val="800357872"/>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7050128"/>
        <c:crosses val="autoZero"/>
        <c:crossBetween val="midCat"/>
      </c:valAx>
      <c:valAx>
        <c:axId val="86705012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35787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Sensitivity to Terminal</a:t>
            </a:r>
            <a:r>
              <a:rPr lang="en-US" baseline="0"/>
              <a:t> growth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DDM!$A$11</c:f>
              <c:strCache>
                <c:ptCount val="1"/>
                <c:pt idx="0">
                  <c:v>Intrinsic value</c:v>
                </c:pt>
              </c:strCache>
            </c:strRef>
          </c:tx>
          <c:spPr>
            <a:ln w="28575" cap="rnd">
              <a:solidFill>
                <a:schemeClr val="tx1"/>
              </a:solidFill>
              <a:round/>
            </a:ln>
            <a:effectLst/>
          </c:spPr>
          <c:marker>
            <c:symbol val="diamond"/>
            <c:size val="6"/>
            <c:spPr>
              <a:solidFill>
                <a:schemeClr val="tx1"/>
              </a:solidFill>
              <a:ln w="9525">
                <a:noFill/>
              </a:ln>
              <a:effectLst/>
            </c:spPr>
          </c:marker>
          <c:dLbls>
            <c:dLbl>
              <c:idx val="3"/>
              <c:layout>
                <c:manualLayout>
                  <c:x val="0.211981566820276"/>
                  <c:y val="0"/>
                </c:manualLayout>
              </c:layout>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DDM!$B$29:$B$35</c:f>
              <c:numCache>
                <c:formatCode>0.0%</c:formatCode>
                <c:ptCount val="7"/>
                <c:pt idx="0">
                  <c:v>2.3999999999999994E-2</c:v>
                </c:pt>
                <c:pt idx="1">
                  <c:v>2.5999999999999995E-2</c:v>
                </c:pt>
                <c:pt idx="2">
                  <c:v>2.7999999999999997E-2</c:v>
                </c:pt>
                <c:pt idx="3">
                  <c:v>0.03</c:v>
                </c:pt>
                <c:pt idx="4">
                  <c:v>3.2000000000000001E-2</c:v>
                </c:pt>
                <c:pt idx="5">
                  <c:v>3.4000000000000002E-2</c:v>
                </c:pt>
                <c:pt idx="6">
                  <c:v>3.6000000000000004E-2</c:v>
                </c:pt>
              </c:numCache>
            </c:numRef>
          </c:cat>
          <c:val>
            <c:numRef>
              <c:f>DDM!$C$29:$C$35</c:f>
              <c:numCache>
                <c:formatCode>0.00</c:formatCode>
                <c:ptCount val="7"/>
                <c:pt idx="0">
                  <c:v>14.425357810395646</c:v>
                </c:pt>
                <c:pt idx="1">
                  <c:v>14.720739392641859</c:v>
                </c:pt>
                <c:pt idx="2">
                  <c:v>15.032030194855947</c:v>
                </c:pt>
                <c:pt idx="3">
                  <c:v>15.360551091404684</c:v>
                </c:pt>
                <c:pt idx="4">
                  <c:v>15.70777334061896</c:v>
                </c:pt>
                <c:pt idx="5">
                  <c:v>16.075340613662473</c:v>
                </c:pt>
                <c:pt idx="6">
                  <c:v>16.465095012525556</c:v>
                </c:pt>
              </c:numCache>
            </c:numRef>
          </c:val>
          <c:smooth val="0"/>
        </c:ser>
        <c:dLbls>
          <c:showLegendKey val="0"/>
          <c:showVal val="0"/>
          <c:showCatName val="0"/>
          <c:showSerName val="0"/>
          <c:showPercent val="0"/>
          <c:showBubbleSize val="0"/>
        </c:dLbls>
        <c:marker val="1"/>
        <c:smooth val="0"/>
        <c:axId val="867044688"/>
        <c:axId val="867043600"/>
      </c:lineChart>
      <c:catAx>
        <c:axId val="867044688"/>
        <c:scaling>
          <c:orientation val="minMax"/>
        </c:scaling>
        <c:delete val="0"/>
        <c:axPos val="b"/>
        <c:numFmt formatCode="0.0%"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7043600"/>
        <c:crosses val="autoZero"/>
        <c:auto val="1"/>
        <c:lblAlgn val="ctr"/>
        <c:lblOffset val="100"/>
        <c:noMultiLvlLbl val="0"/>
      </c:catAx>
      <c:valAx>
        <c:axId val="867043600"/>
        <c:scaling>
          <c:orientation val="minMax"/>
          <c:min val="10"/>
        </c:scaling>
        <c:delete val="0"/>
        <c:axPos val="l"/>
        <c:majorGridlines>
          <c:spPr>
            <a:ln w="9525" cap="flat" cmpd="sng" algn="ctr">
              <a:solidFill>
                <a:schemeClr val="tx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7044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Sensitivity</a:t>
            </a:r>
            <a:r>
              <a:rPr lang="en-US" baseline="0"/>
              <a:t> to </a:t>
            </a:r>
            <a:r>
              <a:rPr lang="en-US"/>
              <a:t>Cost of equity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DDM!$A$11</c:f>
              <c:strCache>
                <c:ptCount val="1"/>
                <c:pt idx="0">
                  <c:v>Intrinsic value</c:v>
                </c:pt>
              </c:strCache>
            </c:strRef>
          </c:tx>
          <c:spPr>
            <a:ln w="28575" cap="rnd">
              <a:solidFill>
                <a:schemeClr val="tx1"/>
              </a:solidFill>
              <a:round/>
            </a:ln>
            <a:effectLst/>
          </c:spPr>
          <c:marker>
            <c:symbol val="diamond"/>
            <c:size val="6"/>
            <c:spPr>
              <a:solidFill>
                <a:schemeClr val="tx1"/>
              </a:solidFill>
              <a:ln w="9525">
                <a:noFill/>
              </a:ln>
              <a:effectLst/>
            </c:spPr>
          </c:marker>
          <c:dLbls>
            <c:dLbl>
              <c:idx val="3"/>
              <c:layout>
                <c:manualLayout>
                  <c:x val="0.216589861751152"/>
                  <c:y val="-4.2437781360066697E-17"/>
                </c:manualLayout>
              </c:layout>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DDM!$E$29:$E$35</c:f>
              <c:numCache>
                <c:formatCode>0.00%</c:formatCode>
                <c:ptCount val="7"/>
                <c:pt idx="0">
                  <c:v>8.7266766778664295E-2</c:v>
                </c:pt>
                <c:pt idx="1">
                  <c:v>9.22667667786643E-2</c:v>
                </c:pt>
                <c:pt idx="2">
                  <c:v>9.7266766778664304E-2</c:v>
                </c:pt>
                <c:pt idx="3">
                  <c:v>0.10226676677866431</c:v>
                </c:pt>
                <c:pt idx="4">
                  <c:v>0.10726676677866431</c:v>
                </c:pt>
                <c:pt idx="5">
                  <c:v>0.11226676677866432</c:v>
                </c:pt>
                <c:pt idx="6">
                  <c:v>0.11726676677866432</c:v>
                </c:pt>
              </c:numCache>
            </c:numRef>
          </c:cat>
          <c:val>
            <c:numRef>
              <c:f>DDM!$F$29:$F$35</c:f>
              <c:numCache>
                <c:formatCode>0.00</c:formatCode>
                <c:ptCount val="7"/>
                <c:pt idx="0">
                  <c:v>19.695269196849445</c:v>
                </c:pt>
                <c:pt idx="1">
                  <c:v>18.014892735557762</c:v>
                </c:pt>
                <c:pt idx="2">
                  <c:v>16.587527575447844</c:v>
                </c:pt>
                <c:pt idx="3">
                  <c:v>15.360551091404684</c:v>
                </c:pt>
                <c:pt idx="4">
                  <c:v>14.294965551473179</c:v>
                </c:pt>
                <c:pt idx="5">
                  <c:v>13.361257502062191</c:v>
                </c:pt>
                <c:pt idx="6">
                  <c:v>12.536680593387791</c:v>
                </c:pt>
              </c:numCache>
            </c:numRef>
          </c:val>
          <c:smooth val="0"/>
        </c:ser>
        <c:dLbls>
          <c:showLegendKey val="0"/>
          <c:showVal val="0"/>
          <c:showCatName val="0"/>
          <c:showSerName val="0"/>
          <c:showPercent val="0"/>
          <c:showBubbleSize val="0"/>
        </c:dLbls>
        <c:marker val="1"/>
        <c:smooth val="0"/>
        <c:axId val="867045776"/>
        <c:axId val="867046864"/>
      </c:lineChart>
      <c:catAx>
        <c:axId val="867045776"/>
        <c:scaling>
          <c:orientation val="minMax"/>
        </c:scaling>
        <c:delete val="0"/>
        <c:axPos val="b"/>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7046864"/>
        <c:crosses val="autoZero"/>
        <c:auto val="1"/>
        <c:lblAlgn val="ctr"/>
        <c:lblOffset val="100"/>
        <c:noMultiLvlLbl val="0"/>
      </c:catAx>
      <c:valAx>
        <c:axId val="867046864"/>
        <c:scaling>
          <c:orientation val="minMax"/>
          <c:min val="9"/>
        </c:scaling>
        <c:delete val="0"/>
        <c:axPos val="l"/>
        <c:majorGridlines>
          <c:spPr>
            <a:ln w="9525" cap="flat" cmpd="sng" algn="ctr">
              <a:solidFill>
                <a:schemeClr val="tx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70457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Sensitivity</a:t>
            </a:r>
            <a:r>
              <a:rPr lang="en-US" baseline="0"/>
              <a:t> to </a:t>
            </a:r>
            <a:r>
              <a:rPr lang="en-US"/>
              <a:t>Beta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DDM!$A$11</c:f>
              <c:strCache>
                <c:ptCount val="1"/>
                <c:pt idx="0">
                  <c:v>Intrinsic value</c:v>
                </c:pt>
              </c:strCache>
            </c:strRef>
          </c:tx>
          <c:spPr>
            <a:ln w="28575" cap="rnd">
              <a:solidFill>
                <a:schemeClr val="tx1"/>
              </a:solidFill>
              <a:round/>
            </a:ln>
            <a:effectLst/>
          </c:spPr>
          <c:marker>
            <c:symbol val="diamond"/>
            <c:size val="6"/>
            <c:spPr>
              <a:solidFill>
                <a:schemeClr val="tx1"/>
              </a:solidFill>
              <a:ln w="9525">
                <a:noFill/>
              </a:ln>
              <a:effectLst/>
            </c:spPr>
          </c:marker>
          <c:dLbls>
            <c:dLbl>
              <c:idx val="3"/>
              <c:layout>
                <c:manualLayout>
                  <c:x val="0.17972350230414699"/>
                  <c:y val="0"/>
                </c:manualLayout>
              </c:layout>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DDM!$H$29:$H$35</c:f>
              <c:numCache>
                <c:formatCode>0.00</c:formatCode>
                <c:ptCount val="7"/>
                <c:pt idx="0">
                  <c:v>2.1</c:v>
                </c:pt>
                <c:pt idx="1">
                  <c:v>1.9</c:v>
                </c:pt>
                <c:pt idx="2">
                  <c:v>1.7</c:v>
                </c:pt>
                <c:pt idx="3">
                  <c:v>1.5</c:v>
                </c:pt>
                <c:pt idx="4">
                  <c:v>1.3</c:v>
                </c:pt>
                <c:pt idx="5">
                  <c:v>1.1000000000000001</c:v>
                </c:pt>
                <c:pt idx="6">
                  <c:v>0.90000000000000013</c:v>
                </c:pt>
              </c:numCache>
            </c:numRef>
          </c:cat>
          <c:val>
            <c:numRef>
              <c:f>DDM!$I$29:$I$35</c:f>
              <c:numCache>
                <c:formatCode>0.00</c:formatCode>
                <c:ptCount val="7"/>
                <c:pt idx="0">
                  <c:v>10.399329253897637</c:v>
                </c:pt>
                <c:pt idx="1">
                  <c:v>11.673053599898465</c:v>
                </c:pt>
                <c:pt idx="2">
                  <c:v>13.278444626563946</c:v>
                </c:pt>
                <c:pt idx="3">
                  <c:v>15.360551091404684</c:v>
                </c:pt>
                <c:pt idx="4">
                  <c:v>18.16286488721089</c:v>
                </c:pt>
                <c:pt idx="5">
                  <c:v>22.127811192199569</c:v>
                </c:pt>
                <c:pt idx="6">
                  <c:v>28.151895552855461</c:v>
                </c:pt>
              </c:numCache>
            </c:numRef>
          </c:val>
          <c:smooth val="0"/>
        </c:ser>
        <c:dLbls>
          <c:showLegendKey val="0"/>
          <c:showVal val="0"/>
          <c:showCatName val="0"/>
          <c:showSerName val="0"/>
          <c:showPercent val="0"/>
          <c:showBubbleSize val="0"/>
        </c:dLbls>
        <c:marker val="1"/>
        <c:smooth val="0"/>
        <c:axId val="867049040"/>
        <c:axId val="867049584"/>
      </c:lineChart>
      <c:catAx>
        <c:axId val="867049040"/>
        <c:scaling>
          <c:orientation val="minMax"/>
        </c:scaling>
        <c:delete val="0"/>
        <c:axPos val="b"/>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7049584"/>
        <c:crosses val="autoZero"/>
        <c:auto val="1"/>
        <c:lblAlgn val="ctr"/>
        <c:lblOffset val="100"/>
        <c:noMultiLvlLbl val="0"/>
      </c:catAx>
      <c:valAx>
        <c:axId val="867049584"/>
        <c:scaling>
          <c:orientation val="minMax"/>
          <c:min val="6"/>
        </c:scaling>
        <c:delete val="0"/>
        <c:axPos val="l"/>
        <c:majorGridlines>
          <c:spPr>
            <a:ln w="9525" cap="flat" cmpd="sng" algn="ctr">
              <a:solidFill>
                <a:schemeClr val="tx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70490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a:t>Credit Suisse Group's composition by net revenue</a:t>
            </a:r>
          </a:p>
        </c:rich>
      </c:tx>
      <c:layout>
        <c:manualLayout>
          <c:xMode val="edge"/>
          <c:yMode val="edge"/>
          <c:x val="0.10140901895604168"/>
          <c:y val="2.6430059001702783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 and tables'!$H$4:$H$10</c:f>
              <c:strCache>
                <c:ptCount val="7"/>
                <c:pt idx="0">
                  <c:v>Swiss Universal Bank</c:v>
                </c:pt>
                <c:pt idx="1">
                  <c:v>International Wealth Management</c:v>
                </c:pt>
                <c:pt idx="2">
                  <c:v>Asia Pacific</c:v>
                </c:pt>
                <c:pt idx="3">
                  <c:v>Global Markets</c:v>
                </c:pt>
                <c:pt idx="4">
                  <c:v>Investment Banking &amp; Capital Markets</c:v>
                </c:pt>
                <c:pt idx="5">
                  <c:v>Strategic Resolution Unit</c:v>
                </c:pt>
                <c:pt idx="6">
                  <c:v>Corporate Center</c:v>
                </c:pt>
              </c:strCache>
            </c:strRef>
          </c:cat>
          <c:val>
            <c:numRef>
              <c:f>'Charts and tables'!$I$4:$I$10</c:f>
              <c:numCache>
                <c:formatCode>0.0%</c:formatCode>
                <c:ptCount val="7"/>
                <c:pt idx="0">
                  <c:v>0.26528559935639584</c:v>
                </c:pt>
                <c:pt idx="1">
                  <c:v>0.25382139983909896</c:v>
                </c:pt>
                <c:pt idx="2">
                  <c:v>0.17900241351568785</c:v>
                </c:pt>
                <c:pt idx="3">
                  <c:v>0.25382139983909896</c:v>
                </c:pt>
                <c:pt idx="4">
                  <c:v>9.1914722445695901E-2</c:v>
                </c:pt>
                <c:pt idx="5">
                  <c:v>-5.1287208366854388E-2</c:v>
                </c:pt>
                <c:pt idx="6">
                  <c:v>7.441673370876911E-3</c:v>
                </c:pt>
              </c:numCache>
            </c:numRef>
          </c:val>
        </c:ser>
        <c:dLbls>
          <c:dLblPos val="outEnd"/>
          <c:showLegendKey val="0"/>
          <c:showVal val="1"/>
          <c:showCatName val="0"/>
          <c:showSerName val="0"/>
          <c:showPercent val="0"/>
          <c:showBubbleSize val="0"/>
        </c:dLbls>
        <c:gapWidth val="86"/>
        <c:overlap val="-27"/>
        <c:axId val="1034811920"/>
        <c:axId val="1034817904"/>
      </c:barChart>
      <c:catAx>
        <c:axId val="1034811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4817904"/>
        <c:crosses val="autoZero"/>
        <c:auto val="1"/>
        <c:lblAlgn val="ctr"/>
        <c:lblOffset val="100"/>
        <c:noMultiLvlLbl val="0"/>
      </c:catAx>
      <c:valAx>
        <c:axId val="10348179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48119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'Charts and tables'!$H$4:$H$10</c:f>
              <c:strCache>
                <c:ptCount val="7"/>
                <c:pt idx="0">
                  <c:v>Swiss Universal Bank</c:v>
                </c:pt>
                <c:pt idx="1">
                  <c:v>International Wealth Management</c:v>
                </c:pt>
                <c:pt idx="2">
                  <c:v>Asia Pacific</c:v>
                </c:pt>
                <c:pt idx="3">
                  <c:v>Global Markets</c:v>
                </c:pt>
                <c:pt idx="4">
                  <c:v>Investment Banking &amp; Capital Markets</c:v>
                </c:pt>
                <c:pt idx="5">
                  <c:v>Strategic Resolution Unit</c:v>
                </c:pt>
                <c:pt idx="6">
                  <c:v>Corporate Center</c:v>
                </c:pt>
              </c:strCache>
            </c:strRef>
          </c:cat>
          <c:val>
            <c:numRef>
              <c:f>'Charts and tables'!$I$4:$I$10</c:f>
              <c:numCache>
                <c:formatCode>0.0%</c:formatCode>
                <c:ptCount val="7"/>
                <c:pt idx="0">
                  <c:v>0.26528559935639584</c:v>
                </c:pt>
                <c:pt idx="1">
                  <c:v>0.25382139983909896</c:v>
                </c:pt>
                <c:pt idx="2">
                  <c:v>0.17900241351568785</c:v>
                </c:pt>
                <c:pt idx="3">
                  <c:v>0.25382139983909896</c:v>
                </c:pt>
                <c:pt idx="4">
                  <c:v>9.1914722445695901E-2</c:v>
                </c:pt>
                <c:pt idx="5">
                  <c:v>-5.1287208366854388E-2</c:v>
                </c:pt>
                <c:pt idx="6">
                  <c:v>7.441673370876911E-3</c:v>
                </c:pt>
              </c:numCache>
            </c:numRef>
          </c:val>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Dividend data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'Charts and tables'!$U$4</c:f>
              <c:strCache>
                <c:ptCount val="1"/>
                <c:pt idx="0">
                  <c:v>DPS (RHS axis)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 and tables'!$R$5:$R$21</c:f>
              <c:strCache>
                <c:ptCount val="17"/>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2017e</c:v>
                </c:pt>
                <c:pt idx="13">
                  <c:v>2018e</c:v>
                </c:pt>
                <c:pt idx="14">
                  <c:v>2019e</c:v>
                </c:pt>
                <c:pt idx="15">
                  <c:v>2020e</c:v>
                </c:pt>
                <c:pt idx="16">
                  <c:v>2021e</c:v>
                </c:pt>
              </c:strCache>
            </c:strRef>
          </c:cat>
          <c:val>
            <c:numRef>
              <c:f>'Charts and tables'!$U$5:$U$21</c:f>
              <c:numCache>
                <c:formatCode>General</c:formatCode>
                <c:ptCount val="17"/>
                <c:pt idx="0">
                  <c:v>2</c:v>
                </c:pt>
                <c:pt idx="1">
                  <c:v>2.2400000000000002</c:v>
                </c:pt>
                <c:pt idx="2">
                  <c:v>2.5</c:v>
                </c:pt>
                <c:pt idx="3">
                  <c:v>0.1</c:v>
                </c:pt>
                <c:pt idx="4">
                  <c:v>2</c:v>
                </c:pt>
                <c:pt idx="5">
                  <c:v>1.3</c:v>
                </c:pt>
                <c:pt idx="6">
                  <c:v>0.75</c:v>
                </c:pt>
                <c:pt idx="7">
                  <c:v>0.75</c:v>
                </c:pt>
                <c:pt idx="8">
                  <c:v>0.7</c:v>
                </c:pt>
                <c:pt idx="9">
                  <c:v>0.7</c:v>
                </c:pt>
                <c:pt idx="10">
                  <c:v>0.7</c:v>
                </c:pt>
                <c:pt idx="11">
                  <c:v>0.7</c:v>
                </c:pt>
                <c:pt idx="12">
                  <c:v>0.7</c:v>
                </c:pt>
                <c:pt idx="13">
                  <c:v>1</c:v>
                </c:pt>
                <c:pt idx="14">
                  <c:v>1</c:v>
                </c:pt>
                <c:pt idx="15">
                  <c:v>1.3</c:v>
                </c:pt>
                <c:pt idx="16" formatCode="0.00">
                  <c:v>1.4</c:v>
                </c:pt>
              </c:numCache>
            </c:numRef>
          </c:val>
        </c:ser>
        <c:dLbls>
          <c:showLegendKey val="0"/>
          <c:showVal val="0"/>
          <c:showCatName val="0"/>
          <c:showSerName val="0"/>
          <c:showPercent val="0"/>
          <c:showBubbleSize val="0"/>
        </c:dLbls>
        <c:gapWidth val="150"/>
        <c:axId val="1034815184"/>
        <c:axId val="1034818448"/>
      </c:barChart>
      <c:lineChart>
        <c:grouping val="standard"/>
        <c:varyColors val="0"/>
        <c:ser>
          <c:idx val="1"/>
          <c:order val="1"/>
          <c:tx>
            <c:strRef>
              <c:f>'Charts and tables'!$V$4</c:f>
              <c:strCache>
                <c:ptCount val="1"/>
                <c:pt idx="0">
                  <c:v>Payout ratio</c:v>
                </c:pt>
              </c:strCache>
            </c:strRef>
          </c:tx>
          <c:spPr>
            <a:ln w="28575" cap="rnd">
              <a:solidFill>
                <a:schemeClr val="accent2"/>
              </a:solidFill>
              <a:round/>
            </a:ln>
            <a:effectLst/>
          </c:spPr>
          <c:marker>
            <c:symbol val="none"/>
          </c:marker>
          <c:cat>
            <c:strRef>
              <c:f>'Charts and tables'!$R$5:$R$21</c:f>
              <c:strCache>
                <c:ptCount val="17"/>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2017e</c:v>
                </c:pt>
                <c:pt idx="13">
                  <c:v>2018e</c:v>
                </c:pt>
                <c:pt idx="14">
                  <c:v>2019e</c:v>
                </c:pt>
                <c:pt idx="15">
                  <c:v>2020e</c:v>
                </c:pt>
                <c:pt idx="16">
                  <c:v>2021e</c:v>
                </c:pt>
              </c:strCache>
            </c:strRef>
          </c:cat>
          <c:val>
            <c:numRef>
              <c:f>'Charts and tables'!$V$5:$V$21</c:f>
              <c:numCache>
                <c:formatCode>0.0%</c:formatCode>
                <c:ptCount val="17"/>
                <c:pt idx="0">
                  <c:v>0.50251256281407031</c:v>
                </c:pt>
                <c:pt idx="1">
                  <c:v>0.29747675962815406</c:v>
                </c:pt>
                <c:pt idx="2">
                  <c:v>0.33647375504710636</c:v>
                </c:pt>
                <c:pt idx="3">
                  <c:v>-1.2484394506866418E-2</c:v>
                </c:pt>
                <c:pt idx="4">
                  <c:v>0.37878787878787878</c:v>
                </c:pt>
                <c:pt idx="5">
                  <c:v>0.33248081841432225</c:v>
                </c:pt>
                <c:pt idx="6">
                  <c:v>0.54744525547445255</c:v>
                </c:pt>
                <c:pt idx="7">
                  <c:v>0.91463414634146345</c:v>
                </c:pt>
                <c:pt idx="8">
                  <c:v>0.63636363636363624</c:v>
                </c:pt>
                <c:pt idx="9">
                  <c:v>1.5217391304347825</c:v>
                </c:pt>
                <c:pt idx="10">
                  <c:v>1.129032258064516</c:v>
                </c:pt>
                <c:pt idx="11">
                  <c:v>-0.53846153846153844</c:v>
                </c:pt>
                <c:pt idx="12">
                  <c:v>1.09375</c:v>
                </c:pt>
                <c:pt idx="13">
                  <c:v>1.1494252873563218</c:v>
                </c:pt>
                <c:pt idx="14">
                  <c:v>0.74626865671641784</c:v>
                </c:pt>
                <c:pt idx="15">
                  <c:v>0.82802547770700641</c:v>
                </c:pt>
                <c:pt idx="16">
                  <c:v>0.81395348837209303</c:v>
                </c:pt>
              </c:numCache>
            </c:numRef>
          </c:val>
          <c:smooth val="0"/>
        </c:ser>
        <c:ser>
          <c:idx val="2"/>
          <c:order val="2"/>
          <c:tx>
            <c:strRef>
              <c:f>'Charts and tables'!$W$4</c:f>
              <c:strCache>
                <c:ptCount val="1"/>
                <c:pt idx="0">
                  <c:v>Median Payout Ratio</c:v>
                </c:pt>
              </c:strCache>
            </c:strRef>
          </c:tx>
          <c:spPr>
            <a:ln w="28575" cap="rnd">
              <a:solidFill>
                <a:schemeClr val="accent3"/>
              </a:solidFill>
              <a:round/>
            </a:ln>
            <a:effectLst/>
          </c:spPr>
          <c:marker>
            <c:symbol val="none"/>
          </c:marker>
          <c:cat>
            <c:strRef>
              <c:f>'Charts and tables'!$R$5:$R$21</c:f>
              <c:strCache>
                <c:ptCount val="17"/>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2017e</c:v>
                </c:pt>
                <c:pt idx="13">
                  <c:v>2018e</c:v>
                </c:pt>
                <c:pt idx="14">
                  <c:v>2019e</c:v>
                </c:pt>
                <c:pt idx="15">
                  <c:v>2020e</c:v>
                </c:pt>
                <c:pt idx="16">
                  <c:v>2021e</c:v>
                </c:pt>
              </c:strCache>
            </c:strRef>
          </c:cat>
          <c:val>
            <c:numRef>
              <c:f>'Charts and tables'!$W$5:$W$21</c:f>
              <c:numCache>
                <c:formatCode>0.0%</c:formatCode>
                <c:ptCount val="17"/>
                <c:pt idx="0">
                  <c:v>0.52497890914426137</c:v>
                </c:pt>
                <c:pt idx="1">
                  <c:v>0.52497890914426137</c:v>
                </c:pt>
                <c:pt idx="2">
                  <c:v>0.52497890914426137</c:v>
                </c:pt>
                <c:pt idx="3">
                  <c:v>0.52497890914426137</c:v>
                </c:pt>
                <c:pt idx="4">
                  <c:v>0.52497890914426137</c:v>
                </c:pt>
                <c:pt idx="5">
                  <c:v>0.52497890914426137</c:v>
                </c:pt>
                <c:pt idx="6">
                  <c:v>0.52497890914426137</c:v>
                </c:pt>
                <c:pt idx="7">
                  <c:v>0.52497890914426137</c:v>
                </c:pt>
                <c:pt idx="8">
                  <c:v>0.52497890914426137</c:v>
                </c:pt>
                <c:pt idx="9">
                  <c:v>0.52497890914426137</c:v>
                </c:pt>
                <c:pt idx="10">
                  <c:v>0.52497890914426137</c:v>
                </c:pt>
                <c:pt idx="11">
                  <c:v>0.52497890914426137</c:v>
                </c:pt>
                <c:pt idx="12">
                  <c:v>0.52497890914426137</c:v>
                </c:pt>
                <c:pt idx="13">
                  <c:v>0.52497890914426137</c:v>
                </c:pt>
                <c:pt idx="14">
                  <c:v>0.52497890914426137</c:v>
                </c:pt>
                <c:pt idx="15">
                  <c:v>0.52497890914426137</c:v>
                </c:pt>
                <c:pt idx="16">
                  <c:v>0.52497890914426137</c:v>
                </c:pt>
              </c:numCache>
            </c:numRef>
          </c:val>
          <c:smooth val="0"/>
        </c:ser>
        <c:dLbls>
          <c:showLegendKey val="0"/>
          <c:showVal val="0"/>
          <c:showCatName val="0"/>
          <c:showSerName val="0"/>
          <c:showPercent val="0"/>
          <c:showBubbleSize val="0"/>
        </c:dLbls>
        <c:marker val="1"/>
        <c:smooth val="0"/>
        <c:axId val="1034813008"/>
        <c:axId val="1034812464"/>
      </c:lineChart>
      <c:catAx>
        <c:axId val="1034813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4812464"/>
        <c:crosses val="autoZero"/>
        <c:auto val="1"/>
        <c:lblAlgn val="ctr"/>
        <c:lblOffset val="100"/>
        <c:noMultiLvlLbl val="0"/>
      </c:catAx>
      <c:valAx>
        <c:axId val="1034812464"/>
        <c:scaling>
          <c:orientation val="minMax"/>
          <c:max val="3"/>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4813008"/>
        <c:crosses val="autoZero"/>
        <c:crossBetween val="between"/>
      </c:valAx>
      <c:valAx>
        <c:axId val="1034818448"/>
        <c:scaling>
          <c:orientation val="minMax"/>
          <c:max val="3"/>
          <c:min val="-1"/>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4815184"/>
        <c:crosses val="max"/>
        <c:crossBetween val="between"/>
      </c:valAx>
      <c:catAx>
        <c:axId val="1034815184"/>
        <c:scaling>
          <c:orientation val="minMax"/>
        </c:scaling>
        <c:delete val="1"/>
        <c:axPos val="b"/>
        <c:numFmt formatCode="General" sourceLinked="1"/>
        <c:majorTickMark val="out"/>
        <c:minorTickMark val="none"/>
        <c:tickLblPos val="nextTo"/>
        <c:crossAx val="103481844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Geographical</a:t>
            </a:r>
            <a:r>
              <a:rPr lang="en-US" baseline="0"/>
              <a:t> revenue composition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'Charts and tables'!$H$40</c:f>
              <c:strCache>
                <c:ptCount val="1"/>
                <c:pt idx="0">
                  <c:v>Switzerland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'Charts and tables'!$I$39:$L$39</c:f>
              <c:numCache>
                <c:formatCode>General</c:formatCode>
                <c:ptCount val="4"/>
                <c:pt idx="0">
                  <c:v>2016</c:v>
                </c:pt>
                <c:pt idx="1">
                  <c:v>2015</c:v>
                </c:pt>
                <c:pt idx="2">
                  <c:v>2014</c:v>
                </c:pt>
                <c:pt idx="3">
                  <c:v>2013</c:v>
                </c:pt>
              </c:numCache>
            </c:numRef>
          </c:cat>
          <c:val>
            <c:numRef>
              <c:f>'Charts and tables'!$I$40:$L$40</c:f>
              <c:numCache>
                <c:formatCode>0%</c:formatCode>
                <c:ptCount val="4"/>
                <c:pt idx="0">
                  <c:v>0.41460414308911087</c:v>
                </c:pt>
                <c:pt idx="1">
                  <c:v>0.3592049417993865</c:v>
                </c:pt>
                <c:pt idx="2">
                  <c:v>0.31426720524350277</c:v>
                </c:pt>
                <c:pt idx="3">
                  <c:v>0.31075959158415839</c:v>
                </c:pt>
              </c:numCache>
            </c:numRef>
          </c:val>
        </c:ser>
        <c:ser>
          <c:idx val="1"/>
          <c:order val="1"/>
          <c:tx>
            <c:strRef>
              <c:f>'Charts and tables'!$H$41</c:f>
              <c:strCache>
                <c:ptCount val="1"/>
                <c:pt idx="0">
                  <c:v>EMEA</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'Charts and tables'!$I$39:$L$39</c:f>
              <c:numCache>
                <c:formatCode>General</c:formatCode>
                <c:ptCount val="4"/>
                <c:pt idx="0">
                  <c:v>2016</c:v>
                </c:pt>
                <c:pt idx="1">
                  <c:v>2015</c:v>
                </c:pt>
                <c:pt idx="2">
                  <c:v>2014</c:v>
                </c:pt>
                <c:pt idx="3">
                  <c:v>2013</c:v>
                </c:pt>
              </c:numCache>
            </c:numRef>
          </c:cat>
          <c:val>
            <c:numRef>
              <c:f>'Charts and tables'!$I$41:$L$41</c:f>
              <c:numCache>
                <c:formatCode>0%</c:formatCode>
                <c:ptCount val="4"/>
                <c:pt idx="0">
                  <c:v>0.10155980908330463</c:v>
                </c:pt>
                <c:pt idx="1">
                  <c:v>0.16161701054754801</c:v>
                </c:pt>
                <c:pt idx="2">
                  <c:v>0.1660696593247466</c:v>
                </c:pt>
                <c:pt idx="3">
                  <c:v>0.18347772277227722</c:v>
                </c:pt>
              </c:numCache>
            </c:numRef>
          </c:val>
        </c:ser>
        <c:ser>
          <c:idx val="2"/>
          <c:order val="2"/>
          <c:tx>
            <c:strRef>
              <c:f>'Charts and tables'!$H$42</c:f>
              <c:strCache>
                <c:ptCount val="1"/>
                <c:pt idx="0">
                  <c:v>Americas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'Charts and tables'!$I$39:$L$39</c:f>
              <c:numCache>
                <c:formatCode>General</c:formatCode>
                <c:ptCount val="4"/>
                <c:pt idx="0">
                  <c:v>2016</c:v>
                </c:pt>
                <c:pt idx="1">
                  <c:v>2015</c:v>
                </c:pt>
                <c:pt idx="2">
                  <c:v>2014</c:v>
                </c:pt>
                <c:pt idx="3">
                  <c:v>2013</c:v>
                </c:pt>
              </c:numCache>
            </c:numRef>
          </c:cat>
          <c:val>
            <c:numRef>
              <c:f>'Charts and tables'!$I$42:$L$42</c:f>
              <c:numCache>
                <c:formatCode>0%</c:formatCode>
                <c:ptCount val="4"/>
                <c:pt idx="0">
                  <c:v>0.35511489445455885</c:v>
                </c:pt>
                <c:pt idx="1">
                  <c:v>0.35592721771651886</c:v>
                </c:pt>
                <c:pt idx="2">
                  <c:v>0.42287173233747427</c:v>
                </c:pt>
                <c:pt idx="3">
                  <c:v>0.41808477722772275</c:v>
                </c:pt>
              </c:numCache>
            </c:numRef>
          </c:val>
        </c:ser>
        <c:ser>
          <c:idx val="3"/>
          <c:order val="3"/>
          <c:tx>
            <c:strRef>
              <c:f>'Charts and tables'!$H$43</c:f>
              <c:strCache>
                <c:ptCount val="1"/>
                <c:pt idx="0">
                  <c:v>Asia Pacific</c:v>
                </c:pt>
              </c:strCache>
            </c:strRef>
          </c:tx>
          <c:spPr>
            <a:solidFill>
              <a:schemeClr val="accent4"/>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'Charts and tables'!$I$39:$L$39</c:f>
              <c:numCache>
                <c:formatCode>General</c:formatCode>
                <c:ptCount val="4"/>
                <c:pt idx="0">
                  <c:v>2016</c:v>
                </c:pt>
                <c:pt idx="1">
                  <c:v>2015</c:v>
                </c:pt>
                <c:pt idx="2">
                  <c:v>2014</c:v>
                </c:pt>
                <c:pt idx="3">
                  <c:v>2013</c:v>
                </c:pt>
              </c:numCache>
            </c:numRef>
          </c:cat>
          <c:val>
            <c:numRef>
              <c:f>'Charts and tables'!$I$43:$L$43</c:f>
              <c:numCache>
                <c:formatCode>0%</c:formatCode>
                <c:ptCount val="4"/>
                <c:pt idx="0">
                  <c:v>0.12872115337302564</c:v>
                </c:pt>
                <c:pt idx="1">
                  <c:v>0.12325082993654662</c:v>
                </c:pt>
                <c:pt idx="2">
                  <c:v>9.6791403094276349E-2</c:v>
                </c:pt>
                <c:pt idx="3">
                  <c:v>8.7677908415841582E-2</c:v>
                </c:pt>
              </c:numCache>
            </c:numRef>
          </c:val>
        </c:ser>
        <c:dLbls>
          <c:dLblPos val="ctr"/>
          <c:showLegendKey val="0"/>
          <c:showVal val="1"/>
          <c:showCatName val="0"/>
          <c:showSerName val="0"/>
          <c:showPercent val="0"/>
          <c:showBubbleSize val="0"/>
        </c:dLbls>
        <c:gapWidth val="150"/>
        <c:overlap val="100"/>
        <c:axId val="1034816272"/>
        <c:axId val="951695328"/>
      </c:barChart>
      <c:catAx>
        <c:axId val="1034816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695328"/>
        <c:crosses val="autoZero"/>
        <c:auto val="1"/>
        <c:lblAlgn val="ctr"/>
        <c:lblOffset val="100"/>
        <c:noMultiLvlLbl val="0"/>
      </c:catAx>
      <c:valAx>
        <c:axId val="95169532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48162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GBox" noThreeD="1"/>
</file>

<file path=xl/ctrlProps/ctrlProp2.xml><?xml version="1.0" encoding="utf-8"?>
<formControlPr xmlns="http://schemas.microsoft.com/office/spreadsheetml/2009/9/main" objectType="Radio" checked="Checked" firstButton="1" fmlaLink="$A$4" lockText="1" noThreeD="1"/>
</file>

<file path=xl/ctrlProps/ctrlProp3.xml><?xml version="1.0" encoding="utf-8"?>
<formControlPr xmlns="http://schemas.microsoft.com/office/spreadsheetml/2009/9/main" objectType="Radio" lockText="1" noThreeD="1"/>
</file>

<file path=xl/ctrlProps/ctrlProp4.xml><?xml version="1.0" encoding="utf-8"?>
<formControlPr xmlns="http://schemas.microsoft.com/office/spreadsheetml/2009/9/main" objectType="Radio" lockText="1" noThreeD="1"/>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tiff"/><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tiff"/><Relationship Id="rId5" Type="http://schemas.openxmlformats.org/officeDocument/2006/relationships/image" Target="../media/image5.tif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35</xdr:col>
          <xdr:colOff>619125</xdr:colOff>
          <xdr:row>4</xdr:row>
          <xdr:rowOff>126206</xdr:rowOff>
        </xdr:from>
        <xdr:to>
          <xdr:col>41</xdr:col>
          <xdr:colOff>357188</xdr:colOff>
          <xdr:row>7</xdr:row>
          <xdr:rowOff>75406</xdr:rowOff>
        </xdr:to>
        <xdr:grpSp>
          <xdr:nvGrpSpPr>
            <xdr:cNvPr id="2" name="Group 1"/>
            <xdr:cNvGrpSpPr/>
          </xdr:nvGrpSpPr>
          <xdr:grpSpPr>
            <a:xfrm>
              <a:off x="7453313" y="328612"/>
              <a:ext cx="4738688" cy="615950"/>
              <a:chOff x="5003798" y="253999"/>
              <a:chExt cx="4479636" cy="622300"/>
            </a:xfrm>
            <a:noFill/>
          </xdr:grpSpPr>
          <xdr:sp macro="" textlink="">
            <xdr:nvSpPr>
              <xdr:cNvPr id="30721" name="Group Box 1" hidden="1">
                <a:extLst>
                  <a:ext uri="{63B3BB69-23CF-44E3-9099-C40C66FF867C}">
                    <a14:compatExt spid="_x0000_s30721"/>
                  </a:ext>
                </a:extLst>
              </xdr:cNvPr>
              <xdr:cNvSpPr/>
            </xdr:nvSpPr>
            <xdr:spPr bwMode="auto">
              <a:xfrm>
                <a:off x="5003798" y="253999"/>
                <a:ext cx="4479636" cy="622300"/>
              </a:xfrm>
              <a:prstGeom prst="rect">
                <a:avLst/>
              </a:prstGeom>
              <a:noFill/>
              <a:ln w="9525">
                <a:miter lim="800000"/>
                <a:headEnd/>
                <a:tailEnd/>
              </a:ln>
              <a:extLst>
                <a:ext uri="{909E8E84-426E-40DD-AFC4-6F175D3DCCD1}">
                  <a14:hiddenFill>
                    <a:noFill/>
                  </a14:hiddenFill>
                </a:ext>
              </a:extLst>
            </xdr:spPr>
            <xdr:txBody>
              <a:bodyPr vertOverflow="clip" wrap="none" lIns="36576" tIns="27432" rIns="0" bIns="0" anchor="t" upright="1"/>
              <a:lstStyle/>
              <a:p>
                <a:pPr algn="l" rtl="0">
                  <a:defRPr sz="1000"/>
                </a:pPr>
                <a:r>
                  <a:rPr lang="en-US" sz="1300" b="0" i="0" u="none" strike="noStrike" baseline="0">
                    <a:solidFill>
                      <a:srgbClr val="000000"/>
                    </a:solidFill>
                    <a:latin typeface="Lucida Grande"/>
                  </a:rPr>
                  <a:t>Choose Scenario</a:t>
                </a:r>
              </a:p>
            </xdr:txBody>
          </xdr:sp>
          <xdr:sp macro="" textlink="">
            <xdr:nvSpPr>
              <xdr:cNvPr id="30722" name="Option Button 2" hidden="1">
                <a:extLst>
                  <a:ext uri="{63B3BB69-23CF-44E3-9099-C40C66FF867C}">
                    <a14:compatExt spid="_x0000_s30722"/>
                  </a:ext>
                </a:extLst>
              </xdr:cNvPr>
              <xdr:cNvSpPr/>
            </xdr:nvSpPr>
            <xdr:spPr bwMode="auto">
              <a:xfrm>
                <a:off x="5194300" y="310900"/>
                <a:ext cx="1260000" cy="54000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7432" rIns="0" bIns="27432" anchor="ctr" upright="1"/>
              <a:lstStyle/>
              <a:p>
                <a:pPr algn="l" rtl="0">
                  <a:defRPr sz="1000"/>
                </a:pPr>
                <a:r>
                  <a:rPr lang="en-US" sz="1300" b="0" i="0" u="none" strike="noStrike" baseline="0">
                    <a:solidFill>
                      <a:srgbClr val="000000"/>
                    </a:solidFill>
                    <a:latin typeface="Lucida Grande"/>
                  </a:rPr>
                  <a:t>Base Case</a:t>
                </a:r>
              </a:p>
            </xdr:txBody>
          </xdr:sp>
          <xdr:sp macro="" textlink="">
            <xdr:nvSpPr>
              <xdr:cNvPr id="30723" name="Option Button 3" hidden="1">
                <a:extLst>
                  <a:ext uri="{63B3BB69-23CF-44E3-9099-C40C66FF867C}">
                    <a14:compatExt spid="_x0000_s30723"/>
                  </a:ext>
                </a:extLst>
              </xdr:cNvPr>
              <xdr:cNvSpPr/>
            </xdr:nvSpPr>
            <xdr:spPr bwMode="auto">
              <a:xfrm>
                <a:off x="6654800" y="310900"/>
                <a:ext cx="1260000" cy="54000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7432" rIns="0" bIns="27432" anchor="ctr" upright="1"/>
              <a:lstStyle/>
              <a:p>
                <a:pPr algn="l" rtl="0">
                  <a:defRPr sz="1000"/>
                </a:pPr>
                <a:r>
                  <a:rPr lang="en-US" sz="1300" b="0" i="0" u="none" strike="noStrike" baseline="0">
                    <a:solidFill>
                      <a:srgbClr val="000000"/>
                    </a:solidFill>
                    <a:latin typeface="Lucida Grande"/>
                  </a:rPr>
                  <a:t>Upside</a:t>
                </a:r>
              </a:p>
            </xdr:txBody>
          </xdr:sp>
          <xdr:sp macro="" textlink="">
            <xdr:nvSpPr>
              <xdr:cNvPr id="30724" name="Option Button 4" hidden="1">
                <a:extLst>
                  <a:ext uri="{63B3BB69-23CF-44E3-9099-C40C66FF867C}">
                    <a14:compatExt spid="_x0000_s30724"/>
                  </a:ext>
                </a:extLst>
              </xdr:cNvPr>
              <xdr:cNvSpPr/>
            </xdr:nvSpPr>
            <xdr:spPr bwMode="auto">
              <a:xfrm>
                <a:off x="8115300" y="310900"/>
                <a:ext cx="1261872" cy="54000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7432" rIns="0" bIns="27432" anchor="ctr" upright="1"/>
              <a:lstStyle/>
              <a:p>
                <a:pPr algn="l" rtl="0">
                  <a:defRPr sz="1000"/>
                </a:pPr>
                <a:r>
                  <a:rPr lang="en-US" sz="1300" b="0" i="0" u="none" strike="noStrike" baseline="0">
                    <a:solidFill>
                      <a:srgbClr val="000000"/>
                    </a:solidFill>
                    <a:latin typeface="Lucida Grande"/>
                  </a:rPr>
                  <a:t>Downside</a:t>
                </a:r>
              </a:p>
            </xdr:txBody>
          </xdr:sp>
        </xdr:grp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11</xdr:col>
      <xdr:colOff>19050</xdr:colOff>
      <xdr:row>11</xdr:row>
      <xdr:rowOff>14287</xdr:rowOff>
    </xdr:from>
    <xdr:to>
      <xdr:col>15</xdr:col>
      <xdr:colOff>0</xdr:colOff>
      <xdr:row>24</xdr:row>
      <xdr:rowOff>95250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596900</xdr:colOff>
      <xdr:row>35</xdr:row>
      <xdr:rowOff>127000</xdr:rowOff>
    </xdr:from>
    <xdr:to>
      <xdr:col>2</xdr:col>
      <xdr:colOff>292100</xdr:colOff>
      <xdr:row>49</xdr:row>
      <xdr:rowOff>25400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279400</xdr:colOff>
      <xdr:row>35</xdr:row>
      <xdr:rowOff>114300</xdr:rowOff>
    </xdr:from>
    <xdr:to>
      <xdr:col>6</xdr:col>
      <xdr:colOff>558800</xdr:colOff>
      <xdr:row>49</xdr:row>
      <xdr:rowOff>12700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787400</xdr:colOff>
      <xdr:row>35</xdr:row>
      <xdr:rowOff>114300</xdr:rowOff>
    </xdr:from>
    <xdr:to>
      <xdr:col>10</xdr:col>
      <xdr:colOff>241300</xdr:colOff>
      <xdr:row>49</xdr:row>
      <xdr:rowOff>12700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225777</xdr:colOff>
      <xdr:row>2</xdr:row>
      <xdr:rowOff>53624</xdr:rowOff>
    </xdr:from>
    <xdr:to>
      <xdr:col>5</xdr:col>
      <xdr:colOff>634999</xdr:colOff>
      <xdr:row>19</xdr:row>
      <xdr:rowOff>70558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355600</xdr:colOff>
      <xdr:row>2</xdr:row>
      <xdr:rowOff>76200</xdr:rowOff>
    </xdr:from>
    <xdr:to>
      <xdr:col>16</xdr:col>
      <xdr:colOff>304800</xdr:colOff>
      <xdr:row>17</xdr:row>
      <xdr:rowOff>139700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19050</xdr:colOff>
      <xdr:row>26</xdr:row>
      <xdr:rowOff>14287</xdr:rowOff>
    </xdr:from>
    <xdr:to>
      <xdr:col>22</xdr:col>
      <xdr:colOff>390525</xdr:colOff>
      <xdr:row>39</xdr:row>
      <xdr:rowOff>157162</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39</xdr:row>
      <xdr:rowOff>0</xdr:rowOff>
    </xdr:from>
    <xdr:to>
      <xdr:col>5</xdr:col>
      <xdr:colOff>444500</xdr:colOff>
      <xdr:row>52</xdr:row>
      <xdr:rowOff>101600</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c:userShapes xmlns:c="http://schemas.openxmlformats.org/drawingml/2006/chart">
  <cdr:relSizeAnchor xmlns:cdr="http://schemas.openxmlformats.org/drawingml/2006/chartDrawing">
    <cdr:from>
      <cdr:x>0.92708</cdr:x>
      <cdr:y>0.72396</cdr:y>
    </cdr:from>
    <cdr:to>
      <cdr:x>0.98958</cdr:x>
      <cdr:y>0.93576</cdr:y>
    </cdr:to>
    <cdr:sp macro="" textlink="">
      <cdr:nvSpPr>
        <cdr:cNvPr id="2" name="Rectangle 1"/>
        <cdr:cNvSpPr/>
      </cdr:nvSpPr>
      <cdr:spPr>
        <a:xfrm xmlns:a="http://schemas.openxmlformats.org/drawingml/2006/main">
          <a:off x="4238625" y="1985963"/>
          <a:ext cx="285750" cy="581025"/>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0.49583</cdr:x>
      <cdr:y>0.30035</cdr:y>
    </cdr:from>
    <cdr:to>
      <cdr:x>0.85417</cdr:x>
      <cdr:y>0.39062</cdr:y>
    </cdr:to>
    <cdr:sp macro="" textlink="">
      <cdr:nvSpPr>
        <cdr:cNvPr id="3" name="TextBox 2"/>
        <cdr:cNvSpPr txBox="1"/>
      </cdr:nvSpPr>
      <cdr:spPr>
        <a:xfrm xmlns:a="http://schemas.openxmlformats.org/drawingml/2006/main">
          <a:off x="2266950" y="823913"/>
          <a:ext cx="1638300" cy="247649"/>
        </a:xfrm>
        <a:prstGeom xmlns:a="http://schemas.openxmlformats.org/drawingml/2006/main" prst="rect">
          <a:avLst/>
        </a:prstGeom>
        <a:ln xmlns:a="http://schemas.openxmlformats.org/drawingml/2006/main">
          <a:solidFill>
            <a:sysClr val="windowText" lastClr="000000"/>
          </a:solidFill>
        </a:ln>
      </cdr:spPr>
      <cdr:txBody>
        <a:bodyPr xmlns:a="http://schemas.openxmlformats.org/drawingml/2006/main" vertOverflow="clip" wrap="square" rtlCol="0"/>
        <a:lstStyle xmlns:a="http://schemas.openxmlformats.org/drawingml/2006/main"/>
        <a:p xmlns:a="http://schemas.openxmlformats.org/drawingml/2006/main">
          <a:r>
            <a:rPr lang="en-US" sz="1000"/>
            <a:t>Median Payout Ratio 53%</a:t>
          </a:r>
        </a:p>
      </cdr:txBody>
    </cdr:sp>
  </cdr:relSizeAnchor>
  <cdr:relSizeAnchor xmlns:cdr="http://schemas.openxmlformats.org/drawingml/2006/chartDrawing">
    <cdr:from>
      <cdr:x>0.67083</cdr:x>
      <cdr:y>0.39062</cdr:y>
    </cdr:from>
    <cdr:to>
      <cdr:x>0.675</cdr:x>
      <cdr:y>0.58854</cdr:y>
    </cdr:to>
    <cdr:cxnSp macro="">
      <cdr:nvCxnSpPr>
        <cdr:cNvPr id="5" name="Straight Connector 4"/>
        <cdr:cNvCxnSpPr>
          <a:stCxn xmlns:a="http://schemas.openxmlformats.org/drawingml/2006/main" id="3" idx="2"/>
        </cdr:cNvCxnSpPr>
      </cdr:nvCxnSpPr>
      <cdr:spPr>
        <a:xfrm xmlns:a="http://schemas.openxmlformats.org/drawingml/2006/main" flipH="1">
          <a:off x="3067050" y="1071562"/>
          <a:ext cx="19050" cy="542926"/>
        </a:xfrm>
        <a:prstGeom xmlns:a="http://schemas.openxmlformats.org/drawingml/2006/main" prst="line">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589705</xdr:colOff>
      <xdr:row>10</xdr:row>
      <xdr:rowOff>370933</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6761905" cy="4333333"/>
        </a:xfrm>
        <a:prstGeom prst="rect">
          <a:avLst/>
        </a:prstGeom>
      </xdr:spPr>
    </xdr:pic>
    <xdr:clientData/>
  </xdr:twoCellAnchor>
  <xdr:twoCellAnchor editAs="oneCell">
    <xdr:from>
      <xdr:col>19</xdr:col>
      <xdr:colOff>553571</xdr:colOff>
      <xdr:row>0</xdr:row>
      <xdr:rowOff>0</xdr:rowOff>
    </xdr:from>
    <xdr:to>
      <xdr:col>28</xdr:col>
      <xdr:colOff>371847</xdr:colOff>
      <xdr:row>11</xdr:row>
      <xdr:rowOff>199456</xdr:rowOff>
    </xdr:to>
    <xdr:pic>
      <xdr:nvPicPr>
        <xdr:cNvPr id="3" name="Picture 2"/>
        <xdr:cNvPicPr>
          <a:picLocks noChangeAspect="1"/>
        </xdr:cNvPicPr>
      </xdr:nvPicPr>
      <xdr:blipFill>
        <a:blip xmlns:r="http://schemas.openxmlformats.org/officeDocument/2006/relationships" r:embed="rId2"/>
        <a:stretch>
          <a:fillRect/>
        </a:stretch>
      </xdr:blipFill>
      <xdr:spPr>
        <a:xfrm>
          <a:off x="13583771" y="0"/>
          <a:ext cx="5990476" cy="4552381"/>
        </a:xfrm>
        <a:prstGeom prst="rect">
          <a:avLst/>
        </a:prstGeom>
      </xdr:spPr>
    </xdr:pic>
    <xdr:clientData/>
  </xdr:twoCellAnchor>
  <xdr:twoCellAnchor editAs="oneCell">
    <xdr:from>
      <xdr:col>11</xdr:col>
      <xdr:colOff>0</xdr:colOff>
      <xdr:row>0</xdr:row>
      <xdr:rowOff>44823</xdr:rowOff>
    </xdr:from>
    <xdr:to>
      <xdr:col>19</xdr:col>
      <xdr:colOff>570743</xdr:colOff>
      <xdr:row>11</xdr:row>
      <xdr:rowOff>91898</xdr:rowOff>
    </xdr:to>
    <xdr:pic>
      <xdr:nvPicPr>
        <xdr:cNvPr id="4" name="Picture 3"/>
        <xdr:cNvPicPr>
          <a:picLocks noChangeAspect="1"/>
        </xdr:cNvPicPr>
      </xdr:nvPicPr>
      <xdr:blipFill>
        <a:blip xmlns:r="http://schemas.openxmlformats.org/officeDocument/2006/relationships" r:embed="rId3"/>
        <a:stretch>
          <a:fillRect/>
        </a:stretch>
      </xdr:blipFill>
      <xdr:spPr>
        <a:xfrm>
          <a:off x="7543800" y="44823"/>
          <a:ext cx="6057143" cy="4400000"/>
        </a:xfrm>
        <a:prstGeom prst="rect">
          <a:avLst/>
        </a:prstGeom>
      </xdr:spPr>
    </xdr:pic>
    <xdr:clientData/>
  </xdr:twoCellAnchor>
  <xdr:twoCellAnchor editAs="oneCell">
    <xdr:from>
      <xdr:col>29</xdr:col>
      <xdr:colOff>0</xdr:colOff>
      <xdr:row>0</xdr:row>
      <xdr:rowOff>0</xdr:rowOff>
    </xdr:from>
    <xdr:to>
      <xdr:col>39</xdr:col>
      <xdr:colOff>222121</xdr:colOff>
      <xdr:row>8</xdr:row>
      <xdr:rowOff>96924</xdr:rowOff>
    </xdr:to>
    <xdr:pic>
      <xdr:nvPicPr>
        <xdr:cNvPr id="5" name="Picture 4"/>
        <xdr:cNvPicPr>
          <a:picLocks noChangeAspect="1"/>
        </xdr:cNvPicPr>
      </xdr:nvPicPr>
      <xdr:blipFill>
        <a:blip xmlns:r="http://schemas.openxmlformats.org/officeDocument/2006/relationships" r:embed="rId4"/>
        <a:stretch>
          <a:fillRect/>
        </a:stretch>
      </xdr:blipFill>
      <xdr:spPr>
        <a:xfrm>
          <a:off x="19888200" y="0"/>
          <a:ext cx="7080121" cy="3249699"/>
        </a:xfrm>
        <a:prstGeom prst="rect">
          <a:avLst/>
        </a:prstGeom>
      </xdr:spPr>
    </xdr:pic>
    <xdr:clientData/>
  </xdr:twoCellAnchor>
  <xdr:twoCellAnchor editAs="oneCell">
    <xdr:from>
      <xdr:col>0</xdr:col>
      <xdr:colOff>0</xdr:colOff>
      <xdr:row>36</xdr:row>
      <xdr:rowOff>177892</xdr:rowOff>
    </xdr:from>
    <xdr:to>
      <xdr:col>10</xdr:col>
      <xdr:colOff>344846</xdr:colOff>
      <xdr:row>49</xdr:row>
      <xdr:rowOff>341908</xdr:rowOff>
    </xdr:to>
    <xdr:pic>
      <xdr:nvPicPr>
        <xdr:cNvPr id="7" name="Picture 6"/>
        <xdr:cNvPicPr>
          <a:picLocks noChangeAspect="1"/>
        </xdr:cNvPicPr>
      </xdr:nvPicPr>
      <xdr:blipFill>
        <a:blip xmlns:r="http://schemas.openxmlformats.org/officeDocument/2006/relationships" r:embed="rId5"/>
        <a:stretch>
          <a:fillRect/>
        </a:stretch>
      </xdr:blipFill>
      <xdr:spPr>
        <a:xfrm>
          <a:off x="0" y="20132767"/>
          <a:ext cx="7250471" cy="5307516"/>
        </a:xfrm>
        <a:prstGeom prst="rect">
          <a:avLst/>
        </a:prstGeom>
      </xdr:spPr>
    </xdr:pic>
    <xdr:clientData/>
  </xdr:twoCellAnchor>
  <xdr:twoCellAnchor editAs="oneCell">
    <xdr:from>
      <xdr:col>8</xdr:col>
      <xdr:colOff>81242</xdr:colOff>
      <xdr:row>25</xdr:row>
      <xdr:rowOff>34364</xdr:rowOff>
    </xdr:from>
    <xdr:to>
      <xdr:col>16</xdr:col>
      <xdr:colOff>57979</xdr:colOff>
      <xdr:row>33</xdr:row>
      <xdr:rowOff>313763</xdr:rowOff>
    </xdr:to>
    <xdr:pic>
      <xdr:nvPicPr>
        <xdr:cNvPr id="8" name="Picture 7"/>
        <xdr:cNvPicPr>
          <a:picLocks noChangeAspect="1"/>
        </xdr:cNvPicPr>
      </xdr:nvPicPr>
      <xdr:blipFill>
        <a:blip xmlns:r="http://schemas.openxmlformats.org/officeDocument/2006/relationships" r:embed="rId6"/>
        <a:stretch>
          <a:fillRect/>
        </a:stretch>
      </xdr:blipFill>
      <xdr:spPr>
        <a:xfrm>
          <a:off x="5605742" y="8035364"/>
          <a:ext cx="5501237" cy="3517899"/>
        </a:xfrm>
        <a:prstGeom prst="rect">
          <a:avLst/>
        </a:prstGeom>
      </xdr:spPr>
    </xdr:pic>
    <xdr:clientData/>
  </xdr:twoCellAnchor>
  <xdr:twoCellAnchor editAs="oneCell">
    <xdr:from>
      <xdr:col>0</xdr:col>
      <xdr:colOff>0</xdr:colOff>
      <xdr:row>25</xdr:row>
      <xdr:rowOff>0</xdr:rowOff>
    </xdr:from>
    <xdr:to>
      <xdr:col>8</xdr:col>
      <xdr:colOff>64589</xdr:colOff>
      <xdr:row>33</xdr:row>
      <xdr:rowOff>336176</xdr:rowOff>
    </xdr:to>
    <xdr:pic>
      <xdr:nvPicPr>
        <xdr:cNvPr id="9" name="Picture 8"/>
        <xdr:cNvPicPr>
          <a:picLocks noChangeAspect="1"/>
        </xdr:cNvPicPr>
      </xdr:nvPicPr>
      <xdr:blipFill>
        <a:blip xmlns:r="http://schemas.openxmlformats.org/officeDocument/2006/relationships" r:embed="rId7"/>
        <a:stretch>
          <a:fillRect/>
        </a:stretch>
      </xdr:blipFill>
      <xdr:spPr>
        <a:xfrm>
          <a:off x="0" y="8001000"/>
          <a:ext cx="5589089" cy="3574676"/>
        </a:xfrm>
        <a:prstGeom prst="rect">
          <a:avLst/>
        </a:prstGeom>
      </xdr:spPr>
    </xdr:pic>
    <xdr:clientData/>
  </xdr:twoCellAnchor>
  <xdr:twoCellAnchor editAs="oneCell">
    <xdr:from>
      <xdr:col>0</xdr:col>
      <xdr:colOff>0</xdr:colOff>
      <xdr:row>13</xdr:row>
      <xdr:rowOff>0</xdr:rowOff>
    </xdr:from>
    <xdr:to>
      <xdr:col>6</xdr:col>
      <xdr:colOff>324021</xdr:colOff>
      <xdr:row>20</xdr:row>
      <xdr:rowOff>112058</xdr:rowOff>
    </xdr:to>
    <xdr:pic>
      <xdr:nvPicPr>
        <xdr:cNvPr id="10" name="Picture 9"/>
        <xdr:cNvPicPr>
          <a:picLocks noChangeAspect="1"/>
        </xdr:cNvPicPr>
      </xdr:nvPicPr>
      <xdr:blipFill>
        <a:blip xmlns:r="http://schemas.openxmlformats.org/officeDocument/2006/relationships" r:embed="rId8"/>
        <a:stretch>
          <a:fillRect/>
        </a:stretch>
      </xdr:blipFill>
      <xdr:spPr>
        <a:xfrm>
          <a:off x="0" y="4905375"/>
          <a:ext cx="4467396" cy="316005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7" Type="http://schemas.openxmlformats.org/officeDocument/2006/relationships/ctrlProp" Target="../ctrlProps/ctrlProp4.xml"/><Relationship Id="rId2" Type="http://schemas.openxmlformats.org/officeDocument/2006/relationships/drawing" Target="../drawings/drawing1.xml"/><Relationship Id="rId1" Type="http://schemas.openxmlformats.org/officeDocument/2006/relationships/printerSettings" Target="../printerSettings/printerSettings2.bin"/><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8" Type="http://schemas.openxmlformats.org/officeDocument/2006/relationships/hyperlink" Target="https://www.bloomberg.com/quote/BAC:US" TargetMode="External"/><Relationship Id="rId3" Type="http://schemas.openxmlformats.org/officeDocument/2006/relationships/hyperlink" Target="https://www.reuters.com/finance/stocks/financial-highlights/CSGN.S" TargetMode="External"/><Relationship Id="rId7" Type="http://schemas.openxmlformats.org/officeDocument/2006/relationships/hyperlink" Target="https://www.bloomberg.com/quote/CSGN:SW" TargetMode="External"/><Relationship Id="rId12" Type="http://schemas.openxmlformats.org/officeDocument/2006/relationships/hyperlink" Target="https://www.bloomberg.com/quote/UBS:US" TargetMode="External"/><Relationship Id="rId2" Type="http://schemas.openxmlformats.org/officeDocument/2006/relationships/hyperlink" Target="https://www.reuters.com/finance/stocks/financial-highlights/BAC.N" TargetMode="External"/><Relationship Id="rId1" Type="http://schemas.openxmlformats.org/officeDocument/2006/relationships/hyperlink" Target="https://www.reuters.com/finance/stocks/financial-highlights/C.N" TargetMode="External"/><Relationship Id="rId6" Type="http://schemas.openxmlformats.org/officeDocument/2006/relationships/hyperlink" Target="https://www.reuters.com/finance/stocks/financial-highlights/UBS" TargetMode="External"/><Relationship Id="rId11" Type="http://schemas.openxmlformats.org/officeDocument/2006/relationships/hyperlink" Target="https://www.bloomberg.com/quote/MS:US" TargetMode="External"/><Relationship Id="rId5" Type="http://schemas.openxmlformats.org/officeDocument/2006/relationships/hyperlink" Target="https://www.reuters.com/finance/stocks/financial-highlights/MS.N" TargetMode="External"/><Relationship Id="rId10" Type="http://schemas.openxmlformats.org/officeDocument/2006/relationships/hyperlink" Target="https://www.bloomberg.com/quote/C:US" TargetMode="External"/><Relationship Id="rId4" Type="http://schemas.openxmlformats.org/officeDocument/2006/relationships/hyperlink" Target="https://www.reuters.com/finance/stocks/financial-highlights/BARC.L" TargetMode="External"/><Relationship Id="rId9" Type="http://schemas.openxmlformats.org/officeDocument/2006/relationships/hyperlink" Target="https://www.bloomberg.com/quote/BARC:LN"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6.v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pageSetUpPr autoPageBreaks="0"/>
  </sheetPr>
  <dimension ref="A1:BA621"/>
  <sheetViews>
    <sheetView zoomScale="70" zoomScaleNormal="70" workbookViewId="0">
      <pane xSplit="13" ySplit="4" topLeftCell="AC5" activePane="bottomRight" state="frozen"/>
      <selection activeCell="A4" sqref="A4"/>
      <selection pane="topRight" activeCell="N4" sqref="N4"/>
      <selection pane="bottomLeft" activeCell="A5" sqref="A5"/>
      <selection pane="bottomRight" activeCell="AG142" sqref="AD142:AG142"/>
    </sheetView>
  </sheetViews>
  <sheetFormatPr defaultColWidth="11" defaultRowHeight="15.75" outlineLevelRow="1"/>
  <cols>
    <col min="1" max="1" width="47.875" customWidth="1"/>
    <col min="2" max="13" width="11" hidden="1" customWidth="1"/>
    <col min="14" max="14" width="11" bestFit="1" customWidth="1"/>
    <col min="28" max="28" width="10.625" style="18" customWidth="1"/>
    <col min="29" max="29" width="11.625" style="18" bestFit="1" customWidth="1"/>
    <col min="30" max="32" width="10.875" style="18"/>
    <col min="33" max="33" width="10.875" style="18" bestFit="1" customWidth="1"/>
    <col min="34" max="45" width="10.875" style="18"/>
  </cols>
  <sheetData>
    <row r="1" spans="1:53" hidden="1">
      <c r="B1" s="3">
        <v>40179</v>
      </c>
      <c r="C1" s="3">
        <v>40269</v>
      </c>
      <c r="D1" s="3">
        <v>40360</v>
      </c>
      <c r="E1" s="3">
        <v>40452</v>
      </c>
      <c r="F1" s="3">
        <v>40544</v>
      </c>
      <c r="G1" s="3">
        <v>40634</v>
      </c>
      <c r="H1" s="3">
        <v>40725</v>
      </c>
      <c r="I1" s="3">
        <v>40817</v>
      </c>
      <c r="J1" s="3">
        <v>40909</v>
      </c>
      <c r="K1" s="3">
        <v>41000</v>
      </c>
      <c r="L1" s="3">
        <v>41091</v>
      </c>
      <c r="M1" s="3">
        <v>41183</v>
      </c>
      <c r="N1" s="3">
        <v>41275</v>
      </c>
      <c r="O1" s="3">
        <v>41365</v>
      </c>
      <c r="P1" s="3">
        <v>41456</v>
      </c>
      <c r="Q1" s="3">
        <v>41548</v>
      </c>
      <c r="R1" s="3">
        <v>41640</v>
      </c>
      <c r="S1" s="3">
        <v>41730</v>
      </c>
      <c r="T1" s="3">
        <v>41821</v>
      </c>
      <c r="U1" s="3">
        <v>41913</v>
      </c>
      <c r="V1" s="3">
        <v>42005</v>
      </c>
      <c r="W1" s="3">
        <v>42095</v>
      </c>
      <c r="X1" s="3">
        <v>42186</v>
      </c>
      <c r="Y1" s="3">
        <v>42278</v>
      </c>
      <c r="Z1" s="3">
        <v>42370</v>
      </c>
      <c r="AA1" s="3">
        <v>42461</v>
      </c>
      <c r="AB1" s="17">
        <v>42552</v>
      </c>
      <c r="AC1" s="17">
        <v>42644</v>
      </c>
      <c r="AD1" s="17">
        <v>42736</v>
      </c>
      <c r="AE1" s="17">
        <v>42826</v>
      </c>
      <c r="AF1" s="17">
        <v>42917</v>
      </c>
      <c r="AG1" s="17">
        <v>43009</v>
      </c>
      <c r="AH1" s="17">
        <v>43101</v>
      </c>
      <c r="AI1" s="17">
        <v>43191</v>
      </c>
      <c r="AJ1" s="17">
        <v>43282</v>
      </c>
      <c r="AK1" s="17">
        <v>43374</v>
      </c>
      <c r="AL1" s="17">
        <v>43466</v>
      </c>
      <c r="AM1" s="17">
        <v>43556</v>
      </c>
      <c r="AN1" s="17">
        <v>43647</v>
      </c>
      <c r="AO1" s="17">
        <v>43739</v>
      </c>
      <c r="AP1" s="17">
        <v>43831</v>
      </c>
      <c r="AQ1" s="17">
        <v>43922</v>
      </c>
      <c r="AR1" s="17">
        <v>44013</v>
      </c>
      <c r="AS1" s="17">
        <v>44105</v>
      </c>
      <c r="AT1" s="17">
        <v>44197</v>
      </c>
      <c r="AU1" s="17">
        <v>44287</v>
      </c>
      <c r="AV1" s="17">
        <v>44378</v>
      </c>
      <c r="AW1" s="17">
        <v>44470</v>
      </c>
      <c r="AX1" s="17">
        <v>44562</v>
      </c>
      <c r="AY1" s="17">
        <v>44652</v>
      </c>
      <c r="AZ1" s="17">
        <v>44743</v>
      </c>
      <c r="BA1" s="17">
        <v>44835</v>
      </c>
    </row>
    <row r="2" spans="1:53" hidden="1">
      <c r="B2">
        <f t="shared" ref="B2:AS2" si="0">YEAR(B1)</f>
        <v>2010</v>
      </c>
      <c r="C2">
        <f t="shared" si="0"/>
        <v>2010</v>
      </c>
      <c r="D2">
        <f t="shared" si="0"/>
        <v>2010</v>
      </c>
      <c r="E2">
        <f t="shared" si="0"/>
        <v>2010</v>
      </c>
      <c r="F2">
        <f t="shared" si="0"/>
        <v>2011</v>
      </c>
      <c r="G2">
        <f t="shared" si="0"/>
        <v>2011</v>
      </c>
      <c r="H2">
        <f t="shared" si="0"/>
        <v>2011</v>
      </c>
      <c r="I2">
        <f t="shared" si="0"/>
        <v>2011</v>
      </c>
      <c r="J2">
        <f t="shared" si="0"/>
        <v>2012</v>
      </c>
      <c r="K2">
        <f t="shared" si="0"/>
        <v>2012</v>
      </c>
      <c r="L2">
        <f t="shared" si="0"/>
        <v>2012</v>
      </c>
      <c r="M2">
        <f t="shared" si="0"/>
        <v>2012</v>
      </c>
      <c r="N2">
        <f t="shared" si="0"/>
        <v>2013</v>
      </c>
      <c r="O2">
        <f t="shared" si="0"/>
        <v>2013</v>
      </c>
      <c r="P2">
        <f t="shared" si="0"/>
        <v>2013</v>
      </c>
      <c r="Q2">
        <f t="shared" si="0"/>
        <v>2013</v>
      </c>
      <c r="R2">
        <f t="shared" si="0"/>
        <v>2014</v>
      </c>
      <c r="S2">
        <f t="shared" si="0"/>
        <v>2014</v>
      </c>
      <c r="T2">
        <f t="shared" si="0"/>
        <v>2014</v>
      </c>
      <c r="U2">
        <f t="shared" si="0"/>
        <v>2014</v>
      </c>
      <c r="V2">
        <f t="shared" si="0"/>
        <v>2015</v>
      </c>
      <c r="W2">
        <f t="shared" si="0"/>
        <v>2015</v>
      </c>
      <c r="X2">
        <f t="shared" si="0"/>
        <v>2015</v>
      </c>
      <c r="Y2">
        <f t="shared" si="0"/>
        <v>2015</v>
      </c>
      <c r="Z2">
        <f t="shared" si="0"/>
        <v>2016</v>
      </c>
      <c r="AA2">
        <f t="shared" si="0"/>
        <v>2016</v>
      </c>
      <c r="AB2" s="18">
        <f t="shared" si="0"/>
        <v>2016</v>
      </c>
      <c r="AC2" s="18">
        <f t="shared" si="0"/>
        <v>2016</v>
      </c>
      <c r="AD2" s="18">
        <f t="shared" si="0"/>
        <v>2017</v>
      </c>
      <c r="AE2" s="18">
        <f t="shared" si="0"/>
        <v>2017</v>
      </c>
      <c r="AF2" s="18">
        <f t="shared" si="0"/>
        <v>2017</v>
      </c>
      <c r="AG2" s="18">
        <f t="shared" si="0"/>
        <v>2017</v>
      </c>
      <c r="AH2" s="18">
        <f t="shared" si="0"/>
        <v>2018</v>
      </c>
      <c r="AI2" s="18">
        <f t="shared" si="0"/>
        <v>2018</v>
      </c>
      <c r="AJ2" s="18">
        <f t="shared" si="0"/>
        <v>2018</v>
      </c>
      <c r="AK2" s="18">
        <f t="shared" si="0"/>
        <v>2018</v>
      </c>
      <c r="AL2" s="18">
        <f t="shared" si="0"/>
        <v>2019</v>
      </c>
      <c r="AM2" s="18">
        <f t="shared" si="0"/>
        <v>2019</v>
      </c>
      <c r="AN2" s="18">
        <f t="shared" si="0"/>
        <v>2019</v>
      </c>
      <c r="AO2" s="18">
        <f t="shared" si="0"/>
        <v>2019</v>
      </c>
      <c r="AP2" s="18">
        <f t="shared" si="0"/>
        <v>2020</v>
      </c>
      <c r="AQ2" s="18">
        <f t="shared" si="0"/>
        <v>2020</v>
      </c>
      <c r="AR2" s="18">
        <f t="shared" si="0"/>
        <v>2020</v>
      </c>
      <c r="AS2" s="18">
        <f t="shared" si="0"/>
        <v>2020</v>
      </c>
      <c r="AT2" s="18">
        <v>2021</v>
      </c>
      <c r="AU2" s="18">
        <v>2021</v>
      </c>
      <c r="AV2" s="18">
        <v>2021</v>
      </c>
      <c r="AW2" s="18">
        <f>YEAR(AW1)</f>
        <v>2021</v>
      </c>
      <c r="AX2" s="18">
        <f t="shared" ref="AX2:BA2" si="1">YEAR(AX1)</f>
        <v>2022</v>
      </c>
      <c r="AY2" s="18">
        <f t="shared" si="1"/>
        <v>2022</v>
      </c>
      <c r="AZ2" s="18">
        <f t="shared" si="1"/>
        <v>2022</v>
      </c>
      <c r="BA2" s="18">
        <f t="shared" si="1"/>
        <v>2022</v>
      </c>
    </row>
    <row r="3" spans="1:53" hidden="1">
      <c r="B3" s="4" t="s">
        <v>0</v>
      </c>
      <c r="C3" s="4" t="s">
        <v>1</v>
      </c>
      <c r="D3" s="4" t="s">
        <v>2</v>
      </c>
      <c r="E3" s="4" t="s">
        <v>3</v>
      </c>
      <c r="F3" s="4" t="s">
        <v>0</v>
      </c>
      <c r="G3" s="4" t="s">
        <v>1</v>
      </c>
      <c r="H3" s="4" t="s">
        <v>2</v>
      </c>
      <c r="I3" s="4" t="s">
        <v>3</v>
      </c>
      <c r="J3" s="4" t="s">
        <v>0</v>
      </c>
      <c r="K3" s="4" t="s">
        <v>1</v>
      </c>
      <c r="L3" s="4" t="s">
        <v>2</v>
      </c>
      <c r="M3" s="5" t="s">
        <v>3</v>
      </c>
      <c r="N3" s="4" t="s">
        <v>0</v>
      </c>
      <c r="O3" s="4" t="s">
        <v>1</v>
      </c>
      <c r="P3" s="4" t="s">
        <v>2</v>
      </c>
      <c r="Q3" s="5" t="s">
        <v>3</v>
      </c>
      <c r="R3" s="4" t="s">
        <v>0</v>
      </c>
      <c r="S3" s="4" t="s">
        <v>1</v>
      </c>
      <c r="T3" s="4" t="s">
        <v>2</v>
      </c>
      <c r="U3" s="5" t="s">
        <v>3</v>
      </c>
      <c r="V3" s="4" t="s">
        <v>0</v>
      </c>
      <c r="W3" s="4" t="s">
        <v>1</v>
      </c>
      <c r="X3" s="4" t="s">
        <v>2</v>
      </c>
      <c r="Y3" s="5" t="s">
        <v>3</v>
      </c>
      <c r="Z3" s="4" t="s">
        <v>0</v>
      </c>
      <c r="AA3" s="4" t="s">
        <v>1</v>
      </c>
      <c r="AB3" s="19" t="s">
        <v>2</v>
      </c>
      <c r="AC3" s="19" t="s">
        <v>3</v>
      </c>
      <c r="AD3" s="19" t="s">
        <v>0</v>
      </c>
      <c r="AE3" s="19" t="s">
        <v>1</v>
      </c>
      <c r="AF3" s="19" t="s">
        <v>2</v>
      </c>
      <c r="AG3" s="19" t="s">
        <v>3</v>
      </c>
      <c r="AH3" s="19" t="s">
        <v>0</v>
      </c>
      <c r="AI3" s="19" t="s">
        <v>1</v>
      </c>
      <c r="AJ3" s="19" t="s">
        <v>2</v>
      </c>
      <c r="AK3" s="19" t="s">
        <v>3</v>
      </c>
      <c r="AL3" s="19" t="s">
        <v>0</v>
      </c>
      <c r="AM3" s="19" t="s">
        <v>1</v>
      </c>
      <c r="AN3" s="19" t="s">
        <v>2</v>
      </c>
      <c r="AO3" s="19" t="s">
        <v>3</v>
      </c>
      <c r="AP3" s="19" t="s">
        <v>0</v>
      </c>
      <c r="AQ3" s="19" t="s">
        <v>1</v>
      </c>
      <c r="AR3" s="19" t="s">
        <v>2</v>
      </c>
      <c r="AS3" s="19" t="s">
        <v>3</v>
      </c>
      <c r="AT3" s="19" t="s">
        <v>0</v>
      </c>
      <c r="AU3" s="19" t="s">
        <v>1</v>
      </c>
      <c r="AV3" s="19" t="s">
        <v>2</v>
      </c>
      <c r="AW3" s="19" t="s">
        <v>3</v>
      </c>
      <c r="AX3" s="19" t="s">
        <v>0</v>
      </c>
      <c r="AY3" s="19" t="s">
        <v>1</v>
      </c>
      <c r="AZ3" s="19" t="s">
        <v>2</v>
      </c>
      <c r="BA3" s="19" t="s">
        <v>3</v>
      </c>
    </row>
    <row r="4" spans="1:53">
      <c r="B4" s="4" t="str">
        <f>B2&amp;"-"&amp;B3&amp;IF(B1&gt;'Reference dates'!$B$1,"e","")</f>
        <v>2010-1Q</v>
      </c>
      <c r="C4" s="4" t="str">
        <f>C2&amp;"-"&amp;C3&amp;IF(C1&gt;'Reference dates'!$B$1,"e","")</f>
        <v>2010-2Q</v>
      </c>
      <c r="D4" s="4" t="str">
        <f>D2&amp;"-"&amp;D3&amp;IF(D1&gt;'Reference dates'!$B$1,"e","")</f>
        <v>2010-3Q</v>
      </c>
      <c r="E4" s="4" t="str">
        <f>E2&amp;"-"&amp;E3&amp;IF(E1&gt;'Reference dates'!$B$1,"e","")</f>
        <v>2010-4Q</v>
      </c>
      <c r="F4" s="4" t="str">
        <f>F2&amp;"-"&amp;F3&amp;IF(F1&gt;'Reference dates'!$B$1,"e","")</f>
        <v>2011-1Q</v>
      </c>
      <c r="G4" s="4" t="str">
        <f>G2&amp;"-"&amp;G3&amp;IF(G1&gt;'Reference dates'!$B$1,"e","")</f>
        <v>2011-2Q</v>
      </c>
      <c r="H4" s="4" t="str">
        <f>H2&amp;"-"&amp;H3&amp;IF(H1&gt;'Reference dates'!$B$1,"e","")</f>
        <v>2011-3Q</v>
      </c>
      <c r="I4" s="4" t="str">
        <f>I2&amp;"-"&amp;I3&amp;IF(I1&gt;'Reference dates'!$B$1,"e","")</f>
        <v>2011-4Q</v>
      </c>
      <c r="J4" s="4" t="str">
        <f>J2&amp;"-"&amp;J3&amp;IF(J1&gt;'Reference dates'!$B$1,"e","")</f>
        <v>2012-1Q</v>
      </c>
      <c r="K4" s="4" t="str">
        <f>K2&amp;"-"&amp;K3&amp;IF(K1&gt;'Reference dates'!$B$1,"e","")</f>
        <v>2012-2Q</v>
      </c>
      <c r="L4" s="4" t="str">
        <f>L2&amp;"-"&amp;L3&amp;IF(L1&gt;'Reference dates'!$B$1,"e","")</f>
        <v>2012-3Q</v>
      </c>
      <c r="M4" s="4" t="str">
        <f>M2&amp;"-"&amp;M3&amp;IF(M1&gt;'Reference dates'!$B$1,"e","")</f>
        <v>2012-4Q</v>
      </c>
      <c r="N4" s="4" t="str">
        <f>N2&amp;"-"&amp;N3&amp;IF(N1&gt;'Reference dates'!$B$1,"e","")</f>
        <v>2013-1Q</v>
      </c>
      <c r="O4" s="4" t="str">
        <f>O2&amp;"-"&amp;O3&amp;IF(O1&gt;'Reference dates'!$B$1,"e","")</f>
        <v>2013-2Q</v>
      </c>
      <c r="P4" s="4" t="str">
        <f>P2&amp;"-"&amp;P3&amp;IF(P1&gt;'Reference dates'!$B$1,"e","")</f>
        <v>2013-3Q</v>
      </c>
      <c r="Q4" s="4" t="str">
        <f>Q2&amp;"-"&amp;Q3&amp;IF(Q1&gt;'Reference dates'!$B$1,"e","")</f>
        <v>2013-4Q</v>
      </c>
      <c r="R4" s="4" t="str">
        <f>R2&amp;"-"&amp;R3&amp;IF(R1&gt;'Reference dates'!$B$1,"e","")</f>
        <v>2014-1Q</v>
      </c>
      <c r="S4" s="4" t="str">
        <f>S2&amp;"-"&amp;S3&amp;IF(S1&gt;'Reference dates'!$B$1,"e","")</f>
        <v>2014-2Q</v>
      </c>
      <c r="T4" s="4" t="str">
        <f>T2&amp;"-"&amp;T3&amp;IF(T1&gt;'Reference dates'!$B$1,"e","")</f>
        <v>2014-3Q</v>
      </c>
      <c r="U4" s="4" t="str">
        <f>U2&amp;"-"&amp;U3&amp;IF(U1&gt;'Reference dates'!$B$1,"e","")</f>
        <v>2014-4Q</v>
      </c>
      <c r="V4" s="4" t="str">
        <f>V2&amp;"-"&amp;V3&amp;IF(V1&gt;'Reference dates'!$B$1,"e","")</f>
        <v>2015-1Q</v>
      </c>
      <c r="W4" s="4" t="str">
        <f>W2&amp;"-"&amp;W3&amp;IF(W1&gt;'Reference dates'!$B$1,"e","")</f>
        <v>2015-2Q</v>
      </c>
      <c r="X4" s="4" t="str">
        <f>X2&amp;"-"&amp;X3&amp;IF(X1&gt;'Reference dates'!$B$1,"e","")</f>
        <v>2015-3Q</v>
      </c>
      <c r="Y4" s="4" t="str">
        <f>Y2&amp;"-"&amp;Y3&amp;IF(Y1&gt;'Reference dates'!$B$1,"e","")</f>
        <v>2015-4Q</v>
      </c>
      <c r="Z4" s="4" t="str">
        <f>Z2&amp;"-"&amp;Z3&amp;IF(Z1&gt;'Reference dates'!$B$1,"e","")</f>
        <v>2016-1Q</v>
      </c>
      <c r="AA4" s="4" t="str">
        <f>AA2&amp;"-"&amp;AA3&amp;IF(AA1&gt;'Reference dates'!$B$1,"e","")</f>
        <v>2016-2Q</v>
      </c>
      <c r="AB4" s="936" t="str">
        <f>AB2&amp;"-"&amp;AB3&amp;IF(AB1&gt;'Reference dates'!$B$1,"e","")</f>
        <v>2016-3Q</v>
      </c>
      <c r="AC4" s="936" t="str">
        <f>AC2&amp;"-"&amp;AC3&amp;IF(AC1&gt;'Reference dates'!$B$1,"e","")</f>
        <v>2016-4Q</v>
      </c>
      <c r="AD4" s="936" t="str">
        <f>AD2&amp;"-"&amp;AD3&amp;IF(AD1&gt;'Reference dates'!$B$1,"e","")</f>
        <v>2017-1Q</v>
      </c>
      <c r="AE4" s="936" t="str">
        <f>AE2&amp;"-"&amp;AE3&amp;IF(AE1&gt;'Reference dates'!$B$1,"e","")</f>
        <v>2017-2Q</v>
      </c>
      <c r="AF4" s="936" t="str">
        <f>AF2&amp;"-"&amp;AF3&amp;IF(AF1&gt;'Reference dates'!$B$1,"e","")</f>
        <v>2017-3Q</v>
      </c>
      <c r="AG4" s="19" t="str">
        <f>AG2&amp;"-"&amp;AG3&amp;IF(AG1&gt;'Reference dates'!$B$1,"e","")</f>
        <v>2017-4Qe</v>
      </c>
      <c r="AH4" s="19" t="str">
        <f>AH2&amp;"-"&amp;AH3&amp;IF(AH1&gt;'Reference dates'!$B$1,"e","")</f>
        <v>2018-1Qe</v>
      </c>
      <c r="AI4" s="19" t="str">
        <f>AI2&amp;"-"&amp;AI3&amp;IF(AI1&gt;'Reference dates'!$B$1,"e","")</f>
        <v>2018-2Qe</v>
      </c>
      <c r="AJ4" s="19" t="str">
        <f>AJ2&amp;"-"&amp;AJ3&amp;IF(AJ1&gt;'Reference dates'!$B$1,"e","")</f>
        <v>2018-3Qe</v>
      </c>
      <c r="AK4" s="19" t="str">
        <f>AK2&amp;"-"&amp;AK3&amp;IF(AK1&gt;'Reference dates'!$B$1,"e","")</f>
        <v>2018-4Qe</v>
      </c>
      <c r="AL4" s="19" t="str">
        <f>AL2&amp;"-"&amp;AL3&amp;IF(AL1&gt;'Reference dates'!$B$1,"e","")</f>
        <v>2019-1Qe</v>
      </c>
      <c r="AM4" s="19" t="str">
        <f>AM2&amp;"-"&amp;AM3&amp;IF(AM1&gt;'Reference dates'!$B$1,"e","")</f>
        <v>2019-2Qe</v>
      </c>
      <c r="AN4" s="19" t="str">
        <f>AN2&amp;"-"&amp;AN3&amp;IF(AN1&gt;'Reference dates'!$B$1,"e","")</f>
        <v>2019-3Qe</v>
      </c>
      <c r="AO4" s="19" t="str">
        <f>AO2&amp;"-"&amp;AO3&amp;IF(AO1&gt;'Reference dates'!$B$1,"e","")</f>
        <v>2019-4Qe</v>
      </c>
      <c r="AP4" s="19" t="str">
        <f>AP2&amp;"-"&amp;AP3&amp;IF(AP1&gt;'Reference dates'!$B$1,"e","")</f>
        <v>2020-1Qe</v>
      </c>
      <c r="AQ4" s="19" t="str">
        <f>AQ2&amp;"-"&amp;AQ3&amp;IF(AQ1&gt;'Reference dates'!$B$1,"e","")</f>
        <v>2020-2Qe</v>
      </c>
      <c r="AR4" s="19" t="str">
        <f>AR2&amp;"-"&amp;AR3&amp;IF(AR1&gt;'Reference dates'!$B$1,"e","")</f>
        <v>2020-3Qe</v>
      </c>
      <c r="AS4" s="19" t="str">
        <f>AS2&amp;"-"&amp;AS3&amp;IF(AS1&gt;'Reference dates'!$B$1,"e","")</f>
        <v>2020-4Qe</v>
      </c>
      <c r="AT4" s="19" t="str">
        <f>AT2&amp;"-"&amp;AT3&amp;IF(AT1&gt;'Reference dates'!$B$1,"e","")</f>
        <v>2021-1Qe</v>
      </c>
      <c r="AU4" s="19" t="str">
        <f>AU2&amp;"-"&amp;AU3&amp;IF(AU1&gt;'Reference dates'!$B$1,"e","")</f>
        <v>2021-2Qe</v>
      </c>
      <c r="AV4" s="19" t="str">
        <f>AV2&amp;"-"&amp;AV3&amp;IF(AV1&gt;'Reference dates'!$B$1,"e","")</f>
        <v>2021-3Qe</v>
      </c>
      <c r="AW4" s="19" t="str">
        <f>AW2&amp;"-"&amp;AW3&amp;IF(AW1&gt;'Reference dates'!$B$1,"e","")</f>
        <v>2021-4Qe</v>
      </c>
      <c r="AX4" s="19" t="str">
        <f>AX2&amp;"-"&amp;AX3&amp;IF(AX1&gt;'Reference dates'!$B$1,"e","")</f>
        <v>2022-1Qe</v>
      </c>
      <c r="AY4" s="19" t="str">
        <f>AY2&amp;"-"&amp;AY3&amp;IF(AY1&gt;'Reference dates'!$B$1,"e","")</f>
        <v>2022-2Qe</v>
      </c>
      <c r="AZ4" s="19" t="str">
        <f>AZ2&amp;"-"&amp;AZ3&amp;IF(AZ1&gt;'Reference dates'!$B$1,"e","")</f>
        <v>2022-3Qe</v>
      </c>
      <c r="BA4" s="19" t="str">
        <f>BA2&amp;"-"&amp;BA3&amp;IF(BA1&gt;'Reference dates'!$B$1,"e","")</f>
        <v>2022-4Qe</v>
      </c>
    </row>
    <row r="5" spans="1:53">
      <c r="B5" s="4"/>
      <c r="C5" s="4"/>
      <c r="D5" s="4"/>
      <c r="E5" s="4"/>
      <c r="F5" s="4"/>
      <c r="G5" s="4"/>
      <c r="H5" s="4"/>
      <c r="I5" s="16"/>
      <c r="J5" s="16"/>
      <c r="K5" s="16"/>
      <c r="L5" s="16"/>
      <c r="M5" s="16"/>
      <c r="N5" s="4"/>
      <c r="O5" s="4"/>
      <c r="P5" s="4"/>
      <c r="Q5" s="4"/>
      <c r="R5" s="4"/>
      <c r="S5" s="4"/>
      <c r="T5" s="4"/>
      <c r="U5" s="4"/>
      <c r="V5" s="4"/>
      <c r="W5" s="4"/>
      <c r="X5" s="4"/>
      <c r="Y5" s="4"/>
      <c r="Z5" s="4"/>
      <c r="AA5" s="4"/>
      <c r="AB5" s="19"/>
      <c r="AC5" s="19"/>
      <c r="AD5" s="19"/>
      <c r="AE5" s="19"/>
      <c r="AF5" s="19"/>
      <c r="AG5" s="19"/>
      <c r="AH5" s="19"/>
      <c r="AI5" s="19"/>
      <c r="AJ5" s="19"/>
      <c r="AK5" s="19"/>
      <c r="AL5" s="19"/>
      <c r="AM5" s="19"/>
      <c r="AN5" s="19"/>
      <c r="AO5" s="19"/>
      <c r="AP5" s="19"/>
      <c r="AQ5" s="19"/>
      <c r="AR5" s="19"/>
      <c r="AS5" s="19"/>
      <c r="AT5" s="19"/>
      <c r="AU5" s="19"/>
      <c r="AV5" s="19"/>
      <c r="AW5" s="19"/>
    </row>
    <row r="6" spans="1:53" s="10" customFormat="1" ht="27" thickBot="1">
      <c r="A6" s="102" t="s">
        <v>160</v>
      </c>
      <c r="B6" s="943" t="s">
        <v>566</v>
      </c>
      <c r="C6" s="944"/>
      <c r="D6" s="944"/>
      <c r="E6" s="944"/>
      <c r="F6" s="100"/>
      <c r="G6" s="100"/>
      <c r="H6" s="100"/>
      <c r="I6" s="935"/>
      <c r="J6" s="935"/>
      <c r="K6" s="935"/>
      <c r="L6" s="935"/>
      <c r="M6" s="935"/>
      <c r="N6" s="100"/>
      <c r="O6" s="100"/>
      <c r="P6" s="100"/>
      <c r="Q6" s="100"/>
      <c r="R6" s="100"/>
      <c r="S6" s="100"/>
      <c r="T6" s="100"/>
      <c r="U6" s="100"/>
      <c r="V6" s="100"/>
      <c r="W6" s="100"/>
      <c r="X6" s="100"/>
      <c r="Y6" s="100"/>
      <c r="Z6" s="100"/>
      <c r="AA6" s="100"/>
      <c r="AB6" s="101"/>
      <c r="AC6" s="101"/>
      <c r="AD6" s="101"/>
      <c r="AE6" s="101"/>
      <c r="AF6" s="101"/>
      <c r="AG6" s="101"/>
      <c r="AH6" s="101"/>
      <c r="AI6" s="101"/>
      <c r="AJ6" s="101"/>
      <c r="AK6" s="101"/>
      <c r="AL6" s="101"/>
      <c r="AM6" s="101"/>
      <c r="AN6" s="101"/>
      <c r="AO6" s="101"/>
      <c r="AP6" s="101"/>
      <c r="AQ6" s="101"/>
      <c r="AR6" s="101"/>
      <c r="AS6" s="101"/>
      <c r="AT6" s="101"/>
      <c r="AU6" s="101"/>
      <c r="AV6" s="101"/>
      <c r="AW6" s="101"/>
    </row>
    <row r="7" spans="1:53">
      <c r="B7" s="4"/>
      <c r="C7" s="4"/>
      <c r="D7" s="4"/>
      <c r="E7" s="4"/>
      <c r="F7" s="4"/>
      <c r="G7" s="4"/>
      <c r="H7" s="4"/>
      <c r="I7" s="936"/>
      <c r="J7" s="936"/>
      <c r="K7" s="936"/>
      <c r="L7" s="936"/>
      <c r="M7" s="936"/>
      <c r="N7" s="4"/>
      <c r="O7" s="4"/>
      <c r="P7" s="4"/>
      <c r="Q7" s="4"/>
      <c r="R7" s="4"/>
      <c r="S7" s="4"/>
      <c r="T7" s="4"/>
      <c r="U7" s="4"/>
      <c r="V7" s="4"/>
      <c r="W7" s="4"/>
      <c r="X7" s="4"/>
      <c r="Y7" s="4"/>
      <c r="Z7" s="4"/>
      <c r="AA7" s="4"/>
      <c r="AB7" s="19"/>
      <c r="AC7" s="19"/>
      <c r="AD7" s="19"/>
      <c r="AE7" s="19"/>
      <c r="AF7" s="19"/>
      <c r="AG7" s="19"/>
      <c r="AH7" s="19"/>
      <c r="AI7" s="19"/>
      <c r="AJ7" s="19"/>
      <c r="AK7" s="19"/>
      <c r="AL7" s="19"/>
      <c r="AM7" s="19"/>
      <c r="AN7" s="19"/>
      <c r="AO7" s="19"/>
      <c r="AP7" s="19"/>
      <c r="AQ7" s="19"/>
      <c r="AR7" s="19"/>
      <c r="AS7" s="19"/>
      <c r="AT7" s="19"/>
      <c r="AU7" s="19"/>
      <c r="AV7" s="19"/>
      <c r="AW7" s="19"/>
    </row>
    <row r="8" spans="1:53">
      <c r="A8" t="s">
        <v>67</v>
      </c>
      <c r="B8" s="4">
        <v>1898</v>
      </c>
      <c r="C8" s="4">
        <v>1207</v>
      </c>
      <c r="D8" s="4">
        <v>1699</v>
      </c>
      <c r="E8" s="4">
        <v>1670</v>
      </c>
      <c r="F8" s="4">
        <v>1751</v>
      </c>
      <c r="G8" s="4">
        <v>1375</v>
      </c>
      <c r="H8" s="936">
        <v>1645</v>
      </c>
      <c r="I8" s="936">
        <v>1655</v>
      </c>
      <c r="J8" s="936">
        <v>1882</v>
      </c>
      <c r="K8" s="936">
        <v>1612</v>
      </c>
      <c r="L8" s="936">
        <v>1711</v>
      </c>
      <c r="M8" s="936">
        <v>1938</v>
      </c>
      <c r="N8" s="4">
        <v>1806</v>
      </c>
      <c r="O8" s="4">
        <v>2640</v>
      </c>
      <c r="P8" s="4">
        <v>1922</v>
      </c>
      <c r="Q8" s="4">
        <v>1747</v>
      </c>
      <c r="R8" s="4">
        <v>2178</v>
      </c>
      <c r="S8" s="4">
        <v>2586</v>
      </c>
      <c r="T8" s="4">
        <v>2144</v>
      </c>
      <c r="U8" s="4">
        <v>2126</v>
      </c>
      <c r="V8" s="4">
        <v>2152</v>
      </c>
      <c r="W8" s="4">
        <v>2869</v>
      </c>
      <c r="X8" s="4">
        <v>2084</v>
      </c>
      <c r="Y8" s="4">
        <v>2194</v>
      </c>
      <c r="Z8" s="4">
        <v>2011</v>
      </c>
      <c r="AA8" s="4">
        <v>1999</v>
      </c>
      <c r="AB8" s="4">
        <v>1930</v>
      </c>
      <c r="AC8" s="936">
        <v>1622</v>
      </c>
      <c r="AD8" s="936">
        <v>1633</v>
      </c>
      <c r="AE8" s="936">
        <v>1737</v>
      </c>
      <c r="AF8" s="936">
        <v>1622</v>
      </c>
      <c r="AG8" s="19"/>
      <c r="AH8" s="19"/>
      <c r="AI8" s="19"/>
      <c r="AJ8" s="19"/>
      <c r="AK8" s="19"/>
      <c r="AL8" s="19"/>
      <c r="AM8" s="19"/>
      <c r="AN8" s="19"/>
      <c r="AO8" s="19"/>
      <c r="AP8" s="19"/>
      <c r="AQ8" s="19"/>
      <c r="AR8" s="19"/>
      <c r="AS8" s="19"/>
      <c r="AT8" s="19"/>
      <c r="AU8" s="19"/>
      <c r="AV8" s="19"/>
      <c r="AW8" s="19"/>
    </row>
    <row r="9" spans="1:53">
      <c r="A9" t="s">
        <v>68</v>
      </c>
      <c r="B9" s="4">
        <v>3420</v>
      </c>
      <c r="C9" s="4">
        <v>3604</v>
      </c>
      <c r="D9" s="4">
        <v>3271</v>
      </c>
      <c r="E9" s="4">
        <v>3836</v>
      </c>
      <c r="F9" s="4">
        <v>3588</v>
      </c>
      <c r="G9" s="4">
        <v>3390</v>
      </c>
      <c r="H9" s="936">
        <v>2984</v>
      </c>
      <c r="I9" s="936">
        <v>2676</v>
      </c>
      <c r="J9" s="936">
        <v>3091</v>
      </c>
      <c r="K9" s="936">
        <v>3044</v>
      </c>
      <c r="L9" s="936">
        <v>3134</v>
      </c>
      <c r="M9" s="936">
        <v>3455</v>
      </c>
      <c r="N9" s="4">
        <v>3248</v>
      </c>
      <c r="O9" s="4">
        <v>3538</v>
      </c>
      <c r="P9" s="4">
        <v>3015</v>
      </c>
      <c r="Q9" s="4">
        <v>3425</v>
      </c>
      <c r="R9" s="4">
        <v>3275</v>
      </c>
      <c r="S9" s="4">
        <v>3309</v>
      </c>
      <c r="T9" s="4">
        <v>3254</v>
      </c>
      <c r="U9" s="4">
        <v>3213</v>
      </c>
      <c r="V9" s="4">
        <v>2979</v>
      </c>
      <c r="W9" s="4">
        <v>3259</v>
      </c>
      <c r="X9" s="4">
        <v>2892</v>
      </c>
      <c r="Y9" s="4">
        <v>2914</v>
      </c>
      <c r="Z9" s="4">
        <v>2675</v>
      </c>
      <c r="AA9" s="4">
        <v>2796</v>
      </c>
      <c r="AB9" s="4">
        <v>2680</v>
      </c>
      <c r="AC9" s="936">
        <v>2941</v>
      </c>
      <c r="AD9" s="936">
        <v>3046</v>
      </c>
      <c r="AE9" s="936">
        <v>2905</v>
      </c>
      <c r="AF9" s="936">
        <v>2762</v>
      </c>
      <c r="AG9" s="19"/>
      <c r="AH9" s="19"/>
      <c r="AI9" s="19"/>
      <c r="AJ9" s="19"/>
      <c r="AK9" s="19"/>
      <c r="AL9" s="19"/>
      <c r="AM9" s="19"/>
      <c r="AN9" s="19"/>
      <c r="AO9" s="19"/>
      <c r="AP9" s="19"/>
      <c r="AQ9" s="19"/>
      <c r="AR9" s="19"/>
      <c r="AS9" s="19"/>
      <c r="AT9" s="19"/>
      <c r="AU9" s="19"/>
      <c r="AV9" s="19"/>
      <c r="AW9" s="19"/>
    </row>
    <row r="10" spans="1:53">
      <c r="A10" t="s">
        <v>69</v>
      </c>
      <c r="B10" s="4">
        <v>3453</v>
      </c>
      <c r="C10" s="4">
        <v>3629</v>
      </c>
      <c r="D10" s="4">
        <v>938</v>
      </c>
      <c r="E10" s="4">
        <v>1308</v>
      </c>
      <c r="F10" s="4">
        <v>2011</v>
      </c>
      <c r="G10" s="4">
        <v>1116</v>
      </c>
      <c r="H10" s="936">
        <v>1921</v>
      </c>
      <c r="I10" s="936">
        <v>-27</v>
      </c>
      <c r="J10" s="936">
        <v>190</v>
      </c>
      <c r="K10" s="936">
        <v>1156</v>
      </c>
      <c r="L10" s="936">
        <v>-3</v>
      </c>
      <c r="M10" s="936">
        <v>-147</v>
      </c>
      <c r="N10" s="4">
        <v>1815</v>
      </c>
      <c r="O10" s="4">
        <v>357</v>
      </c>
      <c r="P10" s="4">
        <v>272</v>
      </c>
      <c r="Q10" s="4">
        <v>295</v>
      </c>
      <c r="R10" s="4">
        <v>638</v>
      </c>
      <c r="S10" s="4">
        <v>197</v>
      </c>
      <c r="T10" s="4">
        <v>904</v>
      </c>
      <c r="U10" s="4">
        <v>287</v>
      </c>
      <c r="V10" s="4">
        <v>1390</v>
      </c>
      <c r="W10" s="4">
        <v>498</v>
      </c>
      <c r="X10" s="4">
        <v>801</v>
      </c>
      <c r="Y10" s="4">
        <v>-1349</v>
      </c>
      <c r="Z10" s="4">
        <v>-271</v>
      </c>
      <c r="AA10" s="4">
        <v>94</v>
      </c>
      <c r="AB10" s="4">
        <v>232</v>
      </c>
      <c r="AC10" s="936">
        <v>258</v>
      </c>
      <c r="AD10" s="936">
        <v>574</v>
      </c>
      <c r="AE10" s="936">
        <v>237</v>
      </c>
      <c r="AF10" s="936">
        <v>320</v>
      </c>
      <c r="AG10" s="19"/>
      <c r="AH10" s="19"/>
      <c r="AI10" s="19"/>
      <c r="AJ10" s="19"/>
      <c r="AK10" s="19"/>
      <c r="AL10" s="19"/>
      <c r="AM10" s="19"/>
      <c r="AN10" s="19"/>
      <c r="AO10" s="19"/>
      <c r="AP10" s="19"/>
      <c r="AQ10" s="19"/>
      <c r="AR10" s="19"/>
      <c r="AS10" s="19"/>
      <c r="AT10" s="19"/>
      <c r="AU10" s="19"/>
      <c r="AV10" s="19"/>
      <c r="AW10" s="19"/>
    </row>
    <row r="11" spans="1:53">
      <c r="A11" t="s">
        <v>70</v>
      </c>
      <c r="B11" s="4">
        <v>190</v>
      </c>
      <c r="C11" s="4">
        <v>-20</v>
      </c>
      <c r="D11" s="4">
        <v>376</v>
      </c>
      <c r="E11" s="4">
        <v>146</v>
      </c>
      <c r="F11" s="4">
        <v>726</v>
      </c>
      <c r="G11" s="4">
        <v>928</v>
      </c>
      <c r="H11" s="936">
        <v>55</v>
      </c>
      <c r="I11" s="936">
        <v>97</v>
      </c>
      <c r="J11" s="936">
        <v>802</v>
      </c>
      <c r="K11" s="936">
        <v>375</v>
      </c>
      <c r="L11" s="936">
        <v>911</v>
      </c>
      <c r="M11" s="936">
        <v>460</v>
      </c>
      <c r="N11" s="4">
        <v>220</v>
      </c>
      <c r="O11" s="4">
        <v>417</v>
      </c>
      <c r="P11" s="4">
        <v>467</v>
      </c>
      <c r="Q11" s="4">
        <v>672</v>
      </c>
      <c r="R11" s="4">
        <v>738</v>
      </c>
      <c r="S11" s="4">
        <v>371</v>
      </c>
      <c r="T11" s="4">
        <v>276</v>
      </c>
      <c r="U11" s="4">
        <v>746</v>
      </c>
      <c r="V11" s="4">
        <v>126</v>
      </c>
      <c r="W11" s="4">
        <v>329</v>
      </c>
      <c r="X11" s="4">
        <v>208</v>
      </c>
      <c r="Y11" s="4">
        <v>451</v>
      </c>
      <c r="Z11" s="4">
        <v>223</v>
      </c>
      <c r="AA11" s="4">
        <v>219</v>
      </c>
      <c r="AB11" s="4">
        <v>554</v>
      </c>
      <c r="AC11" s="936">
        <v>360</v>
      </c>
      <c r="AD11" s="936">
        <v>281</v>
      </c>
      <c r="AE11" s="936">
        <v>326</v>
      </c>
      <c r="AF11" s="936">
        <v>268</v>
      </c>
      <c r="AG11" s="19"/>
      <c r="AH11" s="19"/>
      <c r="AI11" s="19"/>
      <c r="AJ11" s="19"/>
      <c r="AK11" s="19"/>
      <c r="AL11" s="19"/>
      <c r="AM11" s="19"/>
      <c r="AN11" s="19"/>
      <c r="AO11" s="19"/>
      <c r="AP11" s="19"/>
      <c r="AQ11" s="19"/>
      <c r="AR11" s="19"/>
      <c r="AS11" s="19"/>
      <c r="AT11" s="19"/>
      <c r="AU11" s="19"/>
      <c r="AV11" s="19"/>
      <c r="AW11" s="19"/>
    </row>
    <row r="12" spans="1:53">
      <c r="B12" s="4"/>
      <c r="C12" s="4"/>
      <c r="D12" s="4"/>
      <c r="E12" s="4"/>
      <c r="F12" s="4"/>
      <c r="G12" s="4"/>
      <c r="H12" s="936"/>
      <c r="I12" s="936"/>
      <c r="J12" s="936"/>
      <c r="K12" s="936"/>
      <c r="L12" s="936"/>
      <c r="M12" s="936"/>
      <c r="N12" s="4"/>
      <c r="O12" s="4"/>
      <c r="P12" s="4"/>
      <c r="Q12" s="4"/>
      <c r="R12" s="4"/>
      <c r="S12" s="4"/>
      <c r="T12" s="4"/>
      <c r="U12" s="4"/>
      <c r="V12" s="4"/>
      <c r="W12" s="4"/>
      <c r="X12" s="4"/>
      <c r="Y12" s="4"/>
      <c r="Z12" s="4"/>
      <c r="AA12" s="4"/>
      <c r="AB12" s="4"/>
      <c r="AC12" s="936"/>
      <c r="AD12" s="19"/>
      <c r="AE12" s="19"/>
      <c r="AF12" s="19"/>
      <c r="AG12" s="19"/>
      <c r="AH12" s="19"/>
      <c r="AI12" s="19"/>
      <c r="AJ12" s="19"/>
      <c r="AK12" s="19"/>
      <c r="AL12" s="19"/>
      <c r="AM12" s="19"/>
      <c r="AN12" s="19"/>
      <c r="AO12" s="19"/>
      <c r="AP12" s="19"/>
      <c r="AQ12" s="19"/>
      <c r="AR12" s="19"/>
      <c r="AS12" s="19"/>
      <c r="AT12" s="19"/>
      <c r="AU12" s="19"/>
      <c r="AV12" s="19"/>
      <c r="AW12" s="19"/>
    </row>
    <row r="13" spans="1:53" s="6" customFormat="1">
      <c r="A13" s="6" t="s">
        <v>5</v>
      </c>
      <c r="B13" s="6">
        <v>8961</v>
      </c>
      <c r="C13" s="6">
        <v>8420</v>
      </c>
      <c r="D13" s="6">
        <v>6284</v>
      </c>
      <c r="E13" s="6">
        <v>6960</v>
      </c>
      <c r="F13" s="6">
        <v>8076</v>
      </c>
      <c r="G13" s="6">
        <v>6809</v>
      </c>
      <c r="H13" s="937">
        <v>6605</v>
      </c>
      <c r="I13" s="937">
        <v>4401</v>
      </c>
      <c r="J13" s="937">
        <v>5965</v>
      </c>
      <c r="K13" s="937">
        <v>6187</v>
      </c>
      <c r="L13" s="937">
        <v>5753</v>
      </c>
      <c r="M13" s="937">
        <v>5706</v>
      </c>
      <c r="N13" s="6">
        <f t="shared" ref="N13:AC13" si="2">SUM(N8:N12)</f>
        <v>7089</v>
      </c>
      <c r="O13" s="6">
        <f t="shared" si="2"/>
        <v>6952</v>
      </c>
      <c r="P13" s="6">
        <f t="shared" si="2"/>
        <v>5676</v>
      </c>
      <c r="Q13" s="6">
        <f t="shared" si="2"/>
        <v>6139</v>
      </c>
      <c r="R13" s="6">
        <f t="shared" si="2"/>
        <v>6829</v>
      </c>
      <c r="S13" s="6">
        <f t="shared" si="2"/>
        <v>6463</v>
      </c>
      <c r="T13" s="6">
        <f t="shared" si="2"/>
        <v>6578</v>
      </c>
      <c r="U13" s="6">
        <f t="shared" si="2"/>
        <v>6372</v>
      </c>
      <c r="V13" s="6">
        <f t="shared" si="2"/>
        <v>6647</v>
      </c>
      <c r="W13" s="6">
        <f t="shared" si="2"/>
        <v>6955</v>
      </c>
      <c r="X13" s="6">
        <f t="shared" si="2"/>
        <v>5985</v>
      </c>
      <c r="Y13" s="6">
        <f t="shared" si="2"/>
        <v>4210</v>
      </c>
      <c r="Z13" s="6">
        <f t="shared" si="2"/>
        <v>4638</v>
      </c>
      <c r="AA13" s="6">
        <f t="shared" si="2"/>
        <v>5108</v>
      </c>
      <c r="AB13" s="6">
        <f t="shared" si="2"/>
        <v>5396</v>
      </c>
      <c r="AC13" s="937">
        <f t="shared" si="2"/>
        <v>5181</v>
      </c>
      <c r="AD13" s="937">
        <f t="shared" ref="AD13:AF13" si="3">SUM(AD8:AD12)</f>
        <v>5534</v>
      </c>
      <c r="AE13" s="937">
        <f t="shared" si="3"/>
        <v>5205</v>
      </c>
      <c r="AF13" s="937">
        <f t="shared" si="3"/>
        <v>4972</v>
      </c>
      <c r="AG13" s="92">
        <f t="shared" ref="AG13:AS13" si="4">AG197+AG285+AG393+AG473+AG513+AG544+AG587</f>
        <v>5449.4014809904738</v>
      </c>
      <c r="AH13" s="92">
        <f t="shared" si="4"/>
        <v>5369.4454356520737</v>
      </c>
      <c r="AI13" s="92">
        <f t="shared" si="4"/>
        <v>5534.8873309613846</v>
      </c>
      <c r="AJ13" s="92">
        <f t="shared" si="4"/>
        <v>5489.2348988180247</v>
      </c>
      <c r="AK13" s="92">
        <f t="shared" si="4"/>
        <v>5696.2958776189889</v>
      </c>
      <c r="AL13" s="92">
        <f t="shared" si="4"/>
        <v>5673.2915526784218</v>
      </c>
      <c r="AM13" s="92">
        <f t="shared" si="4"/>
        <v>5828.3358332095368</v>
      </c>
      <c r="AN13" s="92">
        <f t="shared" si="4"/>
        <v>5675.3741953073841</v>
      </c>
      <c r="AO13" s="92">
        <f t="shared" si="4"/>
        <v>5883.7253816237417</v>
      </c>
      <c r="AP13" s="92">
        <f t="shared" si="4"/>
        <v>5864.8043272780524</v>
      </c>
      <c r="AQ13" s="92">
        <f t="shared" si="4"/>
        <v>6030.8644323061772</v>
      </c>
      <c r="AR13" s="92">
        <f t="shared" si="4"/>
        <v>5853.79172250384</v>
      </c>
      <c r="AS13" s="92">
        <f t="shared" si="4"/>
        <v>6043.1662752270149</v>
      </c>
      <c r="AT13" s="92">
        <f t="shared" ref="AT13:AW13" si="5">AT197+AT285+AT393+AT473+AT513+AT544+AT587</f>
        <v>6028.8708957285853</v>
      </c>
      <c r="AU13" s="92">
        <f t="shared" si="5"/>
        <v>6206.7234846160954</v>
      </c>
      <c r="AV13" s="92">
        <f t="shared" si="5"/>
        <v>6026.491424245457</v>
      </c>
      <c r="AW13" s="92">
        <f t="shared" si="5"/>
        <v>6229.0073874271711</v>
      </c>
    </row>
    <row r="14" spans="1:53" s="7" customFormat="1">
      <c r="A14" s="7" t="s">
        <v>6</v>
      </c>
      <c r="B14" s="7">
        <v>-50</v>
      </c>
      <c r="C14" s="7">
        <v>20</v>
      </c>
      <c r="D14" s="7">
        <v>-26</v>
      </c>
      <c r="E14" s="7">
        <v>-23</v>
      </c>
      <c r="F14" s="7">
        <v>-7</v>
      </c>
      <c r="G14" s="7">
        <v>13</v>
      </c>
      <c r="H14" s="938">
        <v>84</v>
      </c>
      <c r="I14" s="938">
        <v>97</v>
      </c>
      <c r="J14" s="938">
        <v>34</v>
      </c>
      <c r="K14" s="938">
        <v>25</v>
      </c>
      <c r="L14" s="938">
        <v>41</v>
      </c>
      <c r="M14" s="938">
        <v>70</v>
      </c>
      <c r="N14" s="7">
        <v>22</v>
      </c>
      <c r="O14" s="7">
        <v>51</v>
      </c>
      <c r="P14" s="7">
        <v>41</v>
      </c>
      <c r="Q14" s="7">
        <v>53</v>
      </c>
      <c r="R14" s="7">
        <v>34</v>
      </c>
      <c r="S14" s="7">
        <v>18</v>
      </c>
      <c r="T14" s="7">
        <v>59</v>
      </c>
      <c r="U14" s="7">
        <v>75</v>
      </c>
      <c r="V14" s="7">
        <v>30</v>
      </c>
      <c r="W14" s="7">
        <v>51</v>
      </c>
      <c r="X14" s="7">
        <v>110</v>
      </c>
      <c r="Y14" s="7">
        <v>133</v>
      </c>
      <c r="Z14" s="7">
        <v>150</v>
      </c>
      <c r="AA14" s="7">
        <v>-28</v>
      </c>
      <c r="AB14" s="7">
        <v>55</v>
      </c>
      <c r="AC14" s="1135">
        <v>75</v>
      </c>
      <c r="AD14" s="1135">
        <v>53</v>
      </c>
      <c r="AE14" s="1135">
        <v>82</v>
      </c>
      <c r="AF14" s="1135">
        <v>32</v>
      </c>
      <c r="AG14" s="93">
        <f t="shared" ref="AG14:AS14" si="6">AG200+AG288+AG396+AG474+AG514+AG546+AG588</f>
        <v>50.14188192528686</v>
      </c>
      <c r="AH14" s="93">
        <f t="shared" si="6"/>
        <v>50.14188192528686</v>
      </c>
      <c r="AI14" s="93">
        <f t="shared" si="6"/>
        <v>50.14188192528686</v>
      </c>
      <c r="AJ14" s="93">
        <f t="shared" si="6"/>
        <v>50.14188192528686</v>
      </c>
      <c r="AK14" s="93">
        <f t="shared" si="6"/>
        <v>50.14188192528686</v>
      </c>
      <c r="AL14" s="93">
        <f t="shared" si="6"/>
        <v>50.14188192528686</v>
      </c>
      <c r="AM14" s="93">
        <f t="shared" si="6"/>
        <v>50.14188192528686</v>
      </c>
      <c r="AN14" s="93">
        <f t="shared" si="6"/>
        <v>50.14188192528686</v>
      </c>
      <c r="AO14" s="93">
        <f t="shared" si="6"/>
        <v>50.14188192528686</v>
      </c>
      <c r="AP14" s="93">
        <f t="shared" si="6"/>
        <v>50.14188192528686</v>
      </c>
      <c r="AQ14" s="93">
        <f t="shared" si="6"/>
        <v>50.14188192528686</v>
      </c>
      <c r="AR14" s="93">
        <f t="shared" si="6"/>
        <v>50.14188192528686</v>
      </c>
      <c r="AS14" s="93">
        <f t="shared" si="6"/>
        <v>50.14188192528686</v>
      </c>
      <c r="AT14" s="93">
        <f t="shared" ref="AT14:AW14" si="7">AT200+AT288+AT396+AT474+AT514+AT546+AT588</f>
        <v>50.14188192528686</v>
      </c>
      <c r="AU14" s="93">
        <f t="shared" si="7"/>
        <v>50.14188192528686</v>
      </c>
      <c r="AV14" s="93">
        <f t="shared" si="7"/>
        <v>50.14188192528686</v>
      </c>
      <c r="AW14" s="93">
        <f t="shared" si="7"/>
        <v>50.14188192528686</v>
      </c>
    </row>
    <row r="15" spans="1:53">
      <c r="A15" t="s">
        <v>7</v>
      </c>
      <c r="B15">
        <v>3891</v>
      </c>
      <c r="C15">
        <v>3982</v>
      </c>
      <c r="D15">
        <v>3327</v>
      </c>
      <c r="E15">
        <v>3362</v>
      </c>
      <c r="F15">
        <v>3978</v>
      </c>
      <c r="G15">
        <v>3039</v>
      </c>
      <c r="H15" s="563">
        <v>3007</v>
      </c>
      <c r="I15" s="563">
        <v>2977</v>
      </c>
      <c r="J15" s="563">
        <v>3661</v>
      </c>
      <c r="K15" s="563">
        <v>2955</v>
      </c>
      <c r="L15" s="563">
        <v>3038</v>
      </c>
      <c r="M15" s="563">
        <v>2649</v>
      </c>
      <c r="N15">
        <v>2991</v>
      </c>
      <c r="O15">
        <v>2926</v>
      </c>
      <c r="P15">
        <v>2532</v>
      </c>
      <c r="Q15">
        <v>2807</v>
      </c>
      <c r="R15">
        <v>2993</v>
      </c>
      <c r="S15">
        <v>2973</v>
      </c>
      <c r="T15">
        <v>2747</v>
      </c>
      <c r="U15">
        <v>2621</v>
      </c>
      <c r="V15">
        <v>2976</v>
      </c>
      <c r="W15">
        <v>2914</v>
      </c>
      <c r="X15">
        <v>2507</v>
      </c>
      <c r="Y15">
        <v>3149</v>
      </c>
      <c r="Z15">
        <v>2482</v>
      </c>
      <c r="AA15">
        <v>2734</v>
      </c>
      <c r="AB15" s="851">
        <v>2674</v>
      </c>
      <c r="AC15" s="1136">
        <v>2682</v>
      </c>
      <c r="AD15" s="1136">
        <v>2658</v>
      </c>
      <c r="AE15" s="1136">
        <v>2542</v>
      </c>
      <c r="AF15" s="1136">
        <v>2451</v>
      </c>
      <c r="AG15" s="143"/>
      <c r="AH15" s="143"/>
      <c r="AI15" s="143"/>
      <c r="AJ15" s="143"/>
      <c r="AK15" s="143"/>
      <c r="AL15" s="143"/>
      <c r="AM15" s="143"/>
      <c r="AN15" s="143"/>
      <c r="AO15" s="143"/>
      <c r="AP15" s="143"/>
      <c r="AQ15" s="143"/>
      <c r="AR15" s="143"/>
      <c r="AS15" s="143"/>
      <c r="AT15" s="143"/>
      <c r="AU15" s="143"/>
      <c r="AV15" s="143"/>
      <c r="AW15" s="143"/>
    </row>
    <row r="16" spans="1:53">
      <c r="A16" t="s">
        <v>8</v>
      </c>
      <c r="B16">
        <v>1666</v>
      </c>
      <c r="C16">
        <v>2043</v>
      </c>
      <c r="D16">
        <v>1746</v>
      </c>
      <c r="E16">
        <v>1739</v>
      </c>
      <c r="F16">
        <v>1613</v>
      </c>
      <c r="G16">
        <v>1632</v>
      </c>
      <c r="H16" s="563">
        <v>2185</v>
      </c>
      <c r="I16" s="563">
        <v>1863</v>
      </c>
      <c r="J16" s="563">
        <v>1635</v>
      </c>
      <c r="K16" s="563">
        <v>1657</v>
      </c>
      <c r="L16" s="563">
        <v>1848</v>
      </c>
      <c r="M16" s="563">
        <v>2106</v>
      </c>
      <c r="N16">
        <v>1732</v>
      </c>
      <c r="O16">
        <v>1873</v>
      </c>
      <c r="P16">
        <v>1771</v>
      </c>
      <c r="Q16">
        <v>3211</v>
      </c>
      <c r="R16">
        <v>1690</v>
      </c>
      <c r="S16">
        <v>3441</v>
      </c>
      <c r="T16">
        <v>2041</v>
      </c>
      <c r="U16">
        <v>2362</v>
      </c>
      <c r="V16">
        <v>1738</v>
      </c>
      <c r="W16">
        <v>1928</v>
      </c>
      <c r="X16">
        <v>2100</v>
      </c>
      <c r="Y16">
        <v>2808</v>
      </c>
      <c r="Z16">
        <v>1848</v>
      </c>
      <c r="AA16">
        <v>1760</v>
      </c>
      <c r="AB16" s="851">
        <v>1978</v>
      </c>
      <c r="AC16" s="1136">
        <v>4184</v>
      </c>
      <c r="AD16" s="1136">
        <v>1648</v>
      </c>
      <c r="AE16" s="1136">
        <v>1580</v>
      </c>
      <c r="AF16" s="1136">
        <v>1630</v>
      </c>
      <c r="AG16" s="143"/>
      <c r="AH16" s="143"/>
      <c r="AI16" s="143"/>
      <c r="AJ16" s="143"/>
      <c r="AK16" s="143"/>
      <c r="AL16" s="143"/>
      <c r="AM16" s="143"/>
      <c r="AN16" s="143"/>
      <c r="AO16" s="143"/>
      <c r="AP16" s="143"/>
      <c r="AQ16" s="143"/>
      <c r="AR16" s="143"/>
      <c r="AS16" s="143"/>
      <c r="AT16" s="143"/>
      <c r="AU16" s="143"/>
      <c r="AV16" s="143"/>
      <c r="AW16" s="143"/>
    </row>
    <row r="17" spans="1:49">
      <c r="A17" t="s">
        <v>9</v>
      </c>
      <c r="B17">
        <v>520</v>
      </c>
      <c r="C17">
        <v>569</v>
      </c>
      <c r="D17">
        <v>484</v>
      </c>
      <c r="E17">
        <v>575</v>
      </c>
      <c r="F17">
        <v>525</v>
      </c>
      <c r="G17">
        <v>476</v>
      </c>
      <c r="H17" s="563">
        <v>475</v>
      </c>
      <c r="I17" s="563">
        <v>463</v>
      </c>
      <c r="J17" s="563">
        <v>438</v>
      </c>
      <c r="K17" s="563">
        <v>422</v>
      </c>
      <c r="L17" s="563">
        <v>409</v>
      </c>
      <c r="M17" s="563">
        <v>433</v>
      </c>
      <c r="N17">
        <v>470</v>
      </c>
      <c r="O17">
        <v>457</v>
      </c>
      <c r="P17">
        <v>422</v>
      </c>
      <c r="Q17">
        <v>389</v>
      </c>
      <c r="R17">
        <v>369</v>
      </c>
      <c r="S17">
        <v>377</v>
      </c>
      <c r="T17">
        <v>393</v>
      </c>
      <c r="U17">
        <v>422</v>
      </c>
      <c r="V17">
        <v>392</v>
      </c>
      <c r="W17">
        <v>406</v>
      </c>
      <c r="X17">
        <v>416</v>
      </c>
      <c r="Y17">
        <v>409</v>
      </c>
      <c r="Z17">
        <v>387</v>
      </c>
      <c r="AA17">
        <v>352</v>
      </c>
      <c r="AB17" s="851">
        <v>322</v>
      </c>
      <c r="AC17" s="1136">
        <v>394</v>
      </c>
      <c r="AD17" s="1136">
        <v>368</v>
      </c>
      <c r="AE17" s="1136">
        <v>350</v>
      </c>
      <c r="AF17" s="1136">
        <v>347</v>
      </c>
      <c r="AG17" s="143"/>
      <c r="AH17" s="143"/>
      <c r="AI17" s="143"/>
      <c r="AJ17" s="143"/>
      <c r="AK17" s="143"/>
      <c r="AL17" s="143"/>
      <c r="AM17" s="143"/>
      <c r="AN17" s="143"/>
      <c r="AO17" s="143"/>
      <c r="AP17" s="143"/>
      <c r="AQ17" s="143"/>
      <c r="AR17" s="143"/>
      <c r="AS17" s="143"/>
      <c r="AT17" s="143"/>
      <c r="AU17" s="143"/>
      <c r="AV17" s="143"/>
      <c r="AW17" s="143"/>
    </row>
    <row r="18" spans="1:49">
      <c r="A18" t="s">
        <v>71</v>
      </c>
      <c r="B18">
        <v>0</v>
      </c>
      <c r="C18">
        <f>B18</f>
        <v>0</v>
      </c>
      <c r="D18" s="851">
        <f t="shared" ref="D18:L18" si="8">C18</f>
        <v>0</v>
      </c>
      <c r="E18" s="851">
        <f t="shared" si="8"/>
        <v>0</v>
      </c>
      <c r="F18" s="851">
        <f t="shared" si="8"/>
        <v>0</v>
      </c>
      <c r="G18" s="851">
        <f t="shared" si="8"/>
        <v>0</v>
      </c>
      <c r="H18" s="851">
        <f t="shared" si="8"/>
        <v>0</v>
      </c>
      <c r="I18" s="851">
        <f t="shared" si="8"/>
        <v>0</v>
      </c>
      <c r="J18" s="851">
        <f t="shared" si="8"/>
        <v>0</v>
      </c>
      <c r="K18" s="851">
        <f t="shared" si="8"/>
        <v>0</v>
      </c>
      <c r="L18" s="851">
        <f t="shared" si="8"/>
        <v>0</v>
      </c>
      <c r="M18" s="563">
        <v>0</v>
      </c>
      <c r="N18">
        <v>0</v>
      </c>
      <c r="O18">
        <v>0</v>
      </c>
      <c r="P18">
        <v>0</v>
      </c>
      <c r="Q18">
        <v>12</v>
      </c>
      <c r="R18">
        <v>0</v>
      </c>
      <c r="S18">
        <v>0</v>
      </c>
      <c r="T18">
        <v>0</v>
      </c>
      <c r="U18">
        <v>0</v>
      </c>
      <c r="V18">
        <v>0</v>
      </c>
      <c r="W18">
        <v>0</v>
      </c>
      <c r="X18">
        <v>0</v>
      </c>
      <c r="Y18">
        <v>3797</v>
      </c>
      <c r="Z18">
        <v>0</v>
      </c>
      <c r="AA18">
        <v>0</v>
      </c>
      <c r="AB18" s="851">
        <v>0</v>
      </c>
      <c r="AC18" s="1136">
        <v>0</v>
      </c>
      <c r="AD18" s="1136">
        <v>0</v>
      </c>
      <c r="AE18" s="1136">
        <v>0</v>
      </c>
      <c r="AF18" s="1136">
        <v>0</v>
      </c>
      <c r="AG18" s="143">
        <v>2300</v>
      </c>
      <c r="AH18" s="143"/>
      <c r="AI18" s="143"/>
      <c r="AJ18" s="143"/>
      <c r="AK18" s="143"/>
      <c r="AL18" s="143"/>
      <c r="AM18" s="143"/>
      <c r="AN18" s="143"/>
      <c r="AO18" s="143"/>
      <c r="AP18" s="143"/>
      <c r="AQ18" s="143"/>
      <c r="AR18" s="143"/>
      <c r="AS18" s="143"/>
      <c r="AT18" s="143"/>
      <c r="AU18" s="143"/>
      <c r="AV18" s="143"/>
      <c r="AW18" s="143"/>
    </row>
    <row r="19" spans="1:49">
      <c r="A19" t="s">
        <v>10</v>
      </c>
      <c r="B19">
        <v>0</v>
      </c>
      <c r="C19">
        <f>B19</f>
        <v>0</v>
      </c>
      <c r="D19" s="851">
        <f t="shared" ref="D19:L19" si="9">C19</f>
        <v>0</v>
      </c>
      <c r="E19" s="851">
        <f t="shared" si="9"/>
        <v>0</v>
      </c>
      <c r="F19" s="851">
        <f t="shared" si="9"/>
        <v>0</v>
      </c>
      <c r="G19" s="851">
        <f t="shared" si="9"/>
        <v>0</v>
      </c>
      <c r="H19" s="851">
        <f t="shared" si="9"/>
        <v>0</v>
      </c>
      <c r="I19" s="851">
        <f t="shared" si="9"/>
        <v>0</v>
      </c>
      <c r="J19" s="851">
        <f t="shared" si="9"/>
        <v>0</v>
      </c>
      <c r="K19" s="851">
        <f t="shared" si="9"/>
        <v>0</v>
      </c>
      <c r="L19" s="851">
        <f t="shared" si="9"/>
        <v>0</v>
      </c>
      <c r="M19" s="563">
        <v>0</v>
      </c>
      <c r="N19">
        <v>0</v>
      </c>
      <c r="O19">
        <v>0</v>
      </c>
      <c r="P19">
        <v>0</v>
      </c>
      <c r="Q19">
        <v>0</v>
      </c>
      <c r="R19">
        <v>0</v>
      </c>
      <c r="S19">
        <v>0</v>
      </c>
      <c r="T19">
        <v>0</v>
      </c>
      <c r="U19">
        <v>0</v>
      </c>
      <c r="V19">
        <v>0</v>
      </c>
      <c r="W19">
        <v>0</v>
      </c>
      <c r="X19">
        <v>0</v>
      </c>
      <c r="Y19">
        <v>355</v>
      </c>
      <c r="Z19">
        <v>255</v>
      </c>
      <c r="AA19">
        <v>91</v>
      </c>
      <c r="AB19" s="851">
        <v>145</v>
      </c>
      <c r="AC19" s="1136">
        <v>49</v>
      </c>
      <c r="AD19" s="1136">
        <v>137</v>
      </c>
      <c r="AE19" s="1136">
        <v>69</v>
      </c>
      <c r="AF19" s="1136">
        <v>112</v>
      </c>
      <c r="AG19" s="143">
        <f>700/4</f>
        <v>175</v>
      </c>
      <c r="AH19" s="143"/>
      <c r="AI19" s="143"/>
      <c r="AJ19" s="143"/>
      <c r="AK19" s="143"/>
      <c r="AL19" s="143"/>
      <c r="AM19" s="143"/>
      <c r="AN19" s="143"/>
      <c r="AO19" s="143"/>
      <c r="AP19" s="143"/>
      <c r="AQ19" s="143"/>
      <c r="AR19" s="143"/>
      <c r="AS19" s="143"/>
      <c r="AT19" s="143"/>
      <c r="AU19" s="143"/>
      <c r="AV19" s="143"/>
      <c r="AW19" s="143"/>
    </row>
    <row r="20" spans="1:49">
      <c r="A20" t="s">
        <v>11</v>
      </c>
      <c r="B20">
        <v>2186</v>
      </c>
      <c r="C20">
        <v>2612</v>
      </c>
      <c r="D20">
        <v>2230</v>
      </c>
      <c r="E20">
        <v>2314</v>
      </c>
      <c r="F20">
        <v>2138</v>
      </c>
      <c r="G20">
        <v>2108</v>
      </c>
      <c r="H20" s="563">
        <v>2660</v>
      </c>
      <c r="I20" s="563">
        <v>2326</v>
      </c>
      <c r="J20" s="563">
        <v>2073</v>
      </c>
      <c r="K20" s="563">
        <v>2079</v>
      </c>
      <c r="L20" s="563">
        <v>2257</v>
      </c>
      <c r="M20" s="563">
        <v>2539</v>
      </c>
      <c r="N20">
        <v>2202</v>
      </c>
      <c r="O20">
        <v>2330</v>
      </c>
      <c r="P20">
        <v>2193</v>
      </c>
      <c r="Q20">
        <v>3612</v>
      </c>
      <c r="R20">
        <v>2059</v>
      </c>
      <c r="S20">
        <v>3818</v>
      </c>
      <c r="T20">
        <v>2434</v>
      </c>
      <c r="U20">
        <v>2784</v>
      </c>
      <c r="V20">
        <v>2130</v>
      </c>
      <c r="W20">
        <v>2334</v>
      </c>
      <c r="X20">
        <v>2516</v>
      </c>
      <c r="Y20">
        <v>7369</v>
      </c>
      <c r="Z20">
        <v>2490</v>
      </c>
      <c r="AA20">
        <v>2203</v>
      </c>
      <c r="AB20" s="851">
        <v>2445</v>
      </c>
      <c r="AC20" s="1136">
        <v>4627</v>
      </c>
      <c r="AD20" s="1136">
        <v>2153</v>
      </c>
      <c r="AE20" s="1136">
        <v>1999</v>
      </c>
      <c r="AF20" s="1136">
        <v>2089</v>
      </c>
      <c r="AG20" s="143"/>
      <c r="AH20" s="143"/>
      <c r="AI20" s="143"/>
      <c r="AJ20" s="143"/>
      <c r="AK20" s="143"/>
      <c r="AL20" s="143"/>
      <c r="AM20" s="143"/>
      <c r="AN20" s="143"/>
      <c r="AO20" s="143"/>
      <c r="AP20" s="143"/>
      <c r="AQ20" s="143"/>
      <c r="AR20" s="143"/>
      <c r="AS20" s="143"/>
      <c r="AT20" s="143"/>
      <c r="AU20" s="143"/>
      <c r="AV20" s="143"/>
      <c r="AW20" s="143"/>
    </row>
    <row r="21" spans="1:49" s="8" customFormat="1">
      <c r="A21" s="8" t="s">
        <v>12</v>
      </c>
      <c r="B21" s="8">
        <v>6077</v>
      </c>
      <c r="C21" s="8">
        <v>6594</v>
      </c>
      <c r="D21" s="8">
        <v>5557</v>
      </c>
      <c r="E21" s="8">
        <v>5676</v>
      </c>
      <c r="F21" s="8">
        <v>6116</v>
      </c>
      <c r="G21" s="8">
        <v>5147</v>
      </c>
      <c r="H21" s="939">
        <v>5667</v>
      </c>
      <c r="I21" s="939">
        <v>5303</v>
      </c>
      <c r="J21" s="939">
        <v>5734</v>
      </c>
      <c r="K21" s="939">
        <v>5034</v>
      </c>
      <c r="L21" s="939">
        <v>5295</v>
      </c>
      <c r="M21" s="939">
        <v>5188</v>
      </c>
      <c r="N21" s="8">
        <f t="shared" ref="N21:AA21" si="10">SUM(N15:N19)</f>
        <v>5193</v>
      </c>
      <c r="O21" s="8">
        <f t="shared" si="10"/>
        <v>5256</v>
      </c>
      <c r="P21" s="8">
        <f t="shared" si="10"/>
        <v>4725</v>
      </c>
      <c r="Q21" s="8">
        <f t="shared" si="10"/>
        <v>6419</v>
      </c>
      <c r="R21" s="8">
        <f t="shared" si="10"/>
        <v>5052</v>
      </c>
      <c r="S21" s="8">
        <f t="shared" si="10"/>
        <v>6791</v>
      </c>
      <c r="T21" s="8">
        <f t="shared" si="10"/>
        <v>5181</v>
      </c>
      <c r="U21" s="8">
        <f t="shared" si="10"/>
        <v>5405</v>
      </c>
      <c r="V21" s="8">
        <f t="shared" si="10"/>
        <v>5106</v>
      </c>
      <c r="W21" s="8">
        <f t="shared" si="10"/>
        <v>5248</v>
      </c>
      <c r="X21" s="8">
        <f t="shared" si="10"/>
        <v>5023</v>
      </c>
      <c r="Y21" s="8">
        <f t="shared" si="10"/>
        <v>10518</v>
      </c>
      <c r="Z21" s="8">
        <f t="shared" si="10"/>
        <v>4972</v>
      </c>
      <c r="AA21" s="8">
        <f t="shared" si="10"/>
        <v>4937</v>
      </c>
      <c r="AB21" s="8">
        <f>SUM(AB15:AB19)</f>
        <v>5119</v>
      </c>
      <c r="AC21" s="939">
        <f>SUM(AC15:AC19)</f>
        <v>7309</v>
      </c>
      <c r="AD21" s="939">
        <f t="shared" ref="AD21:AF21" si="11">SUM(AD15:AD19)</f>
        <v>4811</v>
      </c>
      <c r="AE21" s="939">
        <f t="shared" si="11"/>
        <v>4541</v>
      </c>
      <c r="AF21" s="939">
        <f t="shared" si="11"/>
        <v>4540</v>
      </c>
      <c r="AG21" s="121">
        <f t="shared" ref="AG21:AS21" si="12">AG206+AG294+AG403+AG481+AG521+AG554+AG594</f>
        <v>4836.4549550102074</v>
      </c>
      <c r="AH21" s="121">
        <f t="shared" si="12"/>
        <v>4738.6342651773302</v>
      </c>
      <c r="AI21" s="121">
        <f t="shared" si="12"/>
        <v>4688.7730959068394</v>
      </c>
      <c r="AJ21" s="121">
        <f t="shared" si="12"/>
        <v>4445.9465969781322</v>
      </c>
      <c r="AK21" s="121">
        <f t="shared" si="12"/>
        <v>4480.5786867814368</v>
      </c>
      <c r="AL21" s="121">
        <f t="shared" si="12"/>
        <v>4448.965246288406</v>
      </c>
      <c r="AM21" s="121">
        <f t="shared" si="12"/>
        <v>4532.6146799542557</v>
      </c>
      <c r="AN21" s="121">
        <f t="shared" si="12"/>
        <v>4370.6828770053162</v>
      </c>
      <c r="AO21" s="121">
        <f t="shared" si="12"/>
        <v>4425.4817668997484</v>
      </c>
      <c r="AP21" s="121">
        <f t="shared" si="12"/>
        <v>4399.5947338020178</v>
      </c>
      <c r="AQ21" s="121">
        <f t="shared" si="12"/>
        <v>4489.4950676688586</v>
      </c>
      <c r="AR21" s="121">
        <f t="shared" si="12"/>
        <v>4357.9019436011395</v>
      </c>
      <c r="AS21" s="121">
        <f t="shared" si="12"/>
        <v>4462.1224443336196</v>
      </c>
      <c r="AT21" s="121">
        <f t="shared" ref="AT21:AW21" si="13">AT206+AT294+AT403+AT481+AT521+AT554+AT594</f>
        <v>4442.4469599635113</v>
      </c>
      <c r="AU21" s="121">
        <f t="shared" si="13"/>
        <v>4538.9320108327447</v>
      </c>
      <c r="AV21" s="121">
        <f t="shared" si="13"/>
        <v>4408.7495714958195</v>
      </c>
      <c r="AW21" s="121">
        <f t="shared" si="13"/>
        <v>4518.9587650842386</v>
      </c>
    </row>
    <row r="22" spans="1:49" s="98" customFormat="1">
      <c r="A22" s="98" t="s">
        <v>159</v>
      </c>
      <c r="B22" s="99">
        <f t="shared" ref="B22:AF22" si="14">B21/B13</f>
        <v>0.67816091954022983</v>
      </c>
      <c r="C22" s="99">
        <f t="shared" si="14"/>
        <v>0.78313539192399051</v>
      </c>
      <c r="D22" s="99">
        <f t="shared" si="14"/>
        <v>0.88430935709739023</v>
      </c>
      <c r="E22" s="99">
        <f t="shared" si="14"/>
        <v>0.81551724137931036</v>
      </c>
      <c r="F22" s="99">
        <f t="shared" si="14"/>
        <v>0.75730559683011389</v>
      </c>
      <c r="G22" s="99">
        <f t="shared" si="14"/>
        <v>0.75591129387575273</v>
      </c>
      <c r="H22" s="99">
        <f t="shared" si="14"/>
        <v>0.85798637395912192</v>
      </c>
      <c r="I22" s="99">
        <f t="shared" si="14"/>
        <v>1.2049534196773461</v>
      </c>
      <c r="J22" s="99">
        <f t="shared" si="14"/>
        <v>0.96127409891031013</v>
      </c>
      <c r="K22" s="99">
        <f t="shared" si="14"/>
        <v>0.81364150638435428</v>
      </c>
      <c r="L22" s="99">
        <f t="shared" si="14"/>
        <v>0.92038936207196242</v>
      </c>
      <c r="M22" s="99">
        <f t="shared" si="14"/>
        <v>0.90921836663161582</v>
      </c>
      <c r="N22" s="99">
        <f t="shared" si="14"/>
        <v>0.73254337706305539</v>
      </c>
      <c r="O22" s="99">
        <f t="shared" si="14"/>
        <v>0.75604142692750287</v>
      </c>
      <c r="P22" s="99">
        <f t="shared" si="14"/>
        <v>0.83245243128964064</v>
      </c>
      <c r="Q22" s="99">
        <f t="shared" si="14"/>
        <v>1.0456100342075256</v>
      </c>
      <c r="R22" s="99">
        <f t="shared" si="14"/>
        <v>0.73978620588665989</v>
      </c>
      <c r="S22" s="99">
        <f t="shared" si="14"/>
        <v>1.0507504254989943</v>
      </c>
      <c r="T22" s="99">
        <f t="shared" si="14"/>
        <v>0.7876254180602007</v>
      </c>
      <c r="U22" s="99">
        <f t="shared" si="14"/>
        <v>0.84824231010671691</v>
      </c>
      <c r="V22" s="99">
        <f t="shared" si="14"/>
        <v>0.76816608996539792</v>
      </c>
      <c r="W22" s="99">
        <f t="shared" si="14"/>
        <v>0.75456506110711719</v>
      </c>
      <c r="X22" s="99">
        <f t="shared" si="14"/>
        <v>0.83926482873851294</v>
      </c>
      <c r="Y22" s="99">
        <f t="shared" si="14"/>
        <v>2.4983372921615201</v>
      </c>
      <c r="Z22" s="99">
        <f t="shared" si="14"/>
        <v>1.0720137990513152</v>
      </c>
      <c r="AA22" s="99">
        <f t="shared" si="14"/>
        <v>0.96652310101801098</v>
      </c>
      <c r="AB22" s="99">
        <f t="shared" si="14"/>
        <v>0.94866567828020754</v>
      </c>
      <c r="AC22" s="1137">
        <f>AC21/'Segmental composition'!AC6</f>
        <v>1.4107315190117737</v>
      </c>
      <c r="AD22" s="99">
        <f t="shared" si="14"/>
        <v>0.86935308998915795</v>
      </c>
      <c r="AE22" s="99">
        <f t="shared" si="14"/>
        <v>0.8724303554274736</v>
      </c>
      <c r="AF22" s="99">
        <f t="shared" si="14"/>
        <v>0.91311343523732902</v>
      </c>
      <c r="AG22" s="122">
        <f t="shared" ref="AG22:AS22" si="15">AG21/AG13</f>
        <v>0.88752039501614066</v>
      </c>
      <c r="AH22" s="122">
        <f t="shared" si="15"/>
        <v>0.88251837586684834</v>
      </c>
      <c r="AI22" s="122">
        <f t="shared" si="15"/>
        <v>0.8471307211040231</v>
      </c>
      <c r="AJ22" s="122">
        <f t="shared" si="15"/>
        <v>0.80993921355696774</v>
      </c>
      <c r="AK22" s="122">
        <f t="shared" si="15"/>
        <v>0.78657759060336707</v>
      </c>
      <c r="AL22" s="122">
        <f t="shared" si="15"/>
        <v>0.78419471394661566</v>
      </c>
      <c r="AM22" s="122">
        <f t="shared" si="15"/>
        <v>0.77768591406961607</v>
      </c>
      <c r="AN22" s="122">
        <f t="shared" si="15"/>
        <v>0.77011360424818576</v>
      </c>
      <c r="AO22" s="122">
        <f t="shared" si="15"/>
        <v>0.75215641109314324</v>
      </c>
      <c r="AP22" s="122">
        <f t="shared" si="15"/>
        <v>0.75016905736119222</v>
      </c>
      <c r="AQ22" s="122">
        <f t="shared" si="15"/>
        <v>0.74441982870971191</v>
      </c>
      <c r="AR22" s="122">
        <f t="shared" si="15"/>
        <v>0.74445797701479133</v>
      </c>
      <c r="AS22" s="122">
        <f t="shared" si="15"/>
        <v>0.73837492485112821</v>
      </c>
      <c r="AT22" s="122">
        <f t="shared" ref="AT22:AW22" si="16">AT21/AT13</f>
        <v>0.73686218145937665</v>
      </c>
      <c r="AU22" s="122">
        <f t="shared" si="16"/>
        <v>0.73129277018428207</v>
      </c>
      <c r="AV22" s="122">
        <f t="shared" si="16"/>
        <v>0.7315615772319487</v>
      </c>
      <c r="AW22" s="122">
        <f t="shared" si="16"/>
        <v>0.72547012453468118</v>
      </c>
    </row>
    <row r="23" spans="1:49" s="8" customFormat="1">
      <c r="A23" s="8" t="s">
        <v>854</v>
      </c>
      <c r="B23" s="8">
        <v>2934</v>
      </c>
      <c r="C23" s="8">
        <v>1806</v>
      </c>
      <c r="D23" s="8">
        <v>753</v>
      </c>
      <c r="E23" s="8">
        <v>1307</v>
      </c>
      <c r="F23" s="8">
        <v>1967</v>
      </c>
      <c r="G23" s="8">
        <v>1649</v>
      </c>
      <c r="H23" s="939">
        <v>854</v>
      </c>
      <c r="I23" s="939">
        <v>-999</v>
      </c>
      <c r="J23" s="939">
        <v>197</v>
      </c>
      <c r="K23" s="939">
        <v>1128</v>
      </c>
      <c r="L23" s="939">
        <v>417</v>
      </c>
      <c r="M23" s="939">
        <v>448</v>
      </c>
      <c r="N23" s="8">
        <v>1874</v>
      </c>
      <c r="O23" s="8">
        <v>1645</v>
      </c>
      <c r="P23" s="8">
        <v>910</v>
      </c>
      <c r="Q23" s="8">
        <v>-333</v>
      </c>
      <c r="R23" s="8">
        <v>1743</v>
      </c>
      <c r="S23" s="8">
        <v>-346</v>
      </c>
      <c r="T23" s="8">
        <v>1338</v>
      </c>
      <c r="U23" s="8">
        <v>892</v>
      </c>
      <c r="V23" s="8">
        <v>1511</v>
      </c>
      <c r="W23" s="8">
        <v>1656</v>
      </c>
      <c r="X23" s="8">
        <v>852</v>
      </c>
      <c r="Y23" s="8">
        <v>-6441</v>
      </c>
      <c r="Z23" s="8">
        <v>-484</v>
      </c>
      <c r="AA23" s="8">
        <v>199</v>
      </c>
      <c r="AB23" s="8">
        <f>AB13-AB14-AB21</f>
        <v>222</v>
      </c>
      <c r="AC23" s="939">
        <f>AC13-AC14-AC21</f>
        <v>-2203</v>
      </c>
      <c r="AD23" s="939">
        <f t="shared" ref="AD23:AF23" si="17">AD13-AD14-AD21</f>
        <v>670</v>
      </c>
      <c r="AE23" s="939">
        <f t="shared" si="17"/>
        <v>582</v>
      </c>
      <c r="AF23" s="939">
        <f t="shared" si="17"/>
        <v>400</v>
      </c>
      <c r="AG23" s="94">
        <f t="shared" ref="AG23:AS23" si="18">AG207+AG295+AG404+AG482+AG522+AG556+AG595</f>
        <v>562.80464405497901</v>
      </c>
      <c r="AH23" s="94">
        <f t="shared" si="18"/>
        <v>580.66928854945786</v>
      </c>
      <c r="AI23" s="94">
        <f t="shared" si="18"/>
        <v>795.97235312925932</v>
      </c>
      <c r="AJ23" s="94">
        <f t="shared" si="18"/>
        <v>993.14641991460576</v>
      </c>
      <c r="AK23" s="94">
        <f t="shared" si="18"/>
        <v>1165.5753089122638</v>
      </c>
      <c r="AL23" s="94">
        <f t="shared" si="18"/>
        <v>1174.184424464728</v>
      </c>
      <c r="AM23" s="94">
        <f t="shared" si="18"/>
        <v>1245.5792713299945</v>
      </c>
      <c r="AN23" s="94">
        <f t="shared" si="18"/>
        <v>1254.5494363767816</v>
      </c>
      <c r="AO23" s="94">
        <f t="shared" si="18"/>
        <v>1408.1017327987065</v>
      </c>
      <c r="AP23" s="94">
        <f t="shared" si="18"/>
        <v>1415.0677115507474</v>
      </c>
      <c r="AQ23" s="94">
        <f t="shared" si="18"/>
        <v>1491.2274827120318</v>
      </c>
      <c r="AR23" s="94">
        <f t="shared" si="18"/>
        <v>1445.7478969774129</v>
      </c>
      <c r="AS23" s="94">
        <f t="shared" si="18"/>
        <v>1530.9019489681077</v>
      </c>
      <c r="AT23" s="94">
        <f t="shared" ref="AT23:AW23" si="19">AT207+AT295+AT404+AT482+AT522+AT556+AT595</f>
        <v>1536.282053839788</v>
      </c>
      <c r="AU23" s="94">
        <f t="shared" si="19"/>
        <v>1617.6495918580633</v>
      </c>
      <c r="AV23" s="94">
        <f t="shared" si="19"/>
        <v>1567.599970824351</v>
      </c>
      <c r="AW23" s="94">
        <f t="shared" si="19"/>
        <v>1659.9067404176462</v>
      </c>
    </row>
    <row r="24" spans="1:49" s="96" customFormat="1">
      <c r="A24" s="96" t="s">
        <v>158</v>
      </c>
      <c r="B24" s="97">
        <f t="shared" ref="B24:M24" si="20">B25/B23</f>
        <v>0.28595773687798226</v>
      </c>
      <c r="C24" s="97">
        <f t="shared" si="20"/>
        <v>0.10354374307862679</v>
      </c>
      <c r="D24" s="97">
        <f t="shared" si="20"/>
        <v>0.15537848605577689</v>
      </c>
      <c r="E24" s="97">
        <f t="shared" si="20"/>
        <v>0.30986993114001532</v>
      </c>
      <c r="F24" s="97">
        <f t="shared" si="20"/>
        <v>0.23538383324860193</v>
      </c>
      <c r="G24" s="97">
        <f t="shared" si="20"/>
        <v>0.16434202546998181</v>
      </c>
      <c r="H24" s="97">
        <f t="shared" si="20"/>
        <v>0.38407494145199061</v>
      </c>
      <c r="I24" s="97">
        <f t="shared" si="20"/>
        <v>0.40640640640640641</v>
      </c>
      <c r="J24" s="97">
        <f t="shared" si="20"/>
        <v>-0.10152284263959391</v>
      </c>
      <c r="K24" s="97">
        <f t="shared" si="20"/>
        <v>0.26950354609929078</v>
      </c>
      <c r="L24" s="97">
        <f t="shared" si="20"/>
        <v>0.23021582733812951</v>
      </c>
      <c r="M24" s="97">
        <f t="shared" si="20"/>
        <v>0.18973214285714285</v>
      </c>
      <c r="N24" s="97">
        <f t="shared" ref="N24:AF24" si="21">N25/N23</f>
        <v>0.26627534685165422</v>
      </c>
      <c r="O24" s="97">
        <f t="shared" si="21"/>
        <v>0.28693009118541035</v>
      </c>
      <c r="P24" s="97">
        <f t="shared" si="21"/>
        <v>0.4043956043956044</v>
      </c>
      <c r="Q24" s="97">
        <f t="shared" si="21"/>
        <v>0.1891891891891892</v>
      </c>
      <c r="R24" s="97">
        <f t="shared" si="21"/>
        <v>0.31153184165232356</v>
      </c>
      <c r="S24" s="97">
        <f t="shared" si="21"/>
        <v>-0.88728323699421963</v>
      </c>
      <c r="T24" s="97">
        <f t="shared" si="21"/>
        <v>0.273542600896861</v>
      </c>
      <c r="U24" s="97">
        <f t="shared" si="21"/>
        <v>0.21188340807174888</v>
      </c>
      <c r="V24" s="97">
        <f t="shared" si="21"/>
        <v>0.31568497683653207</v>
      </c>
      <c r="W24" s="97">
        <f t="shared" si="21"/>
        <v>0.35628019323671495</v>
      </c>
      <c r="X24" s="97">
        <f t="shared" si="21"/>
        <v>9.7417840375586859E-2</v>
      </c>
      <c r="Y24" s="97">
        <f t="shared" si="21"/>
        <v>9.7345132743362831E-2</v>
      </c>
      <c r="Z24" s="97">
        <f t="shared" si="21"/>
        <v>0.36983471074380164</v>
      </c>
      <c r="AA24" s="97">
        <f t="shared" si="21"/>
        <v>0.10552763819095477</v>
      </c>
      <c r="AB24" s="97">
        <f t="shared" si="21"/>
        <v>0.83333333333333337</v>
      </c>
      <c r="AC24" s="1138">
        <f t="shared" si="21"/>
        <v>-0.18792555605991829</v>
      </c>
      <c r="AD24" s="1138">
        <f t="shared" si="21"/>
        <v>0.11641791044776119</v>
      </c>
      <c r="AE24" s="1138">
        <f t="shared" si="21"/>
        <v>0.47422680412371132</v>
      </c>
      <c r="AF24" s="1138">
        <f t="shared" si="21"/>
        <v>0.38250000000000001</v>
      </c>
      <c r="AG24" s="118">
        <v>0.25</v>
      </c>
      <c r="AH24" s="118">
        <f t="shared" ref="AH24:AS24" si="22">AG24</f>
        <v>0.25</v>
      </c>
      <c r="AI24" s="118">
        <f t="shared" si="22"/>
        <v>0.25</v>
      </c>
      <c r="AJ24" s="118">
        <f t="shared" si="22"/>
        <v>0.25</v>
      </c>
      <c r="AK24" s="118">
        <f t="shared" si="22"/>
        <v>0.25</v>
      </c>
      <c r="AL24" s="118">
        <f t="shared" si="22"/>
        <v>0.25</v>
      </c>
      <c r="AM24" s="118">
        <f t="shared" si="22"/>
        <v>0.25</v>
      </c>
      <c r="AN24" s="118">
        <f t="shared" si="22"/>
        <v>0.25</v>
      </c>
      <c r="AO24" s="118">
        <f t="shared" si="22"/>
        <v>0.25</v>
      </c>
      <c r="AP24" s="118">
        <f t="shared" si="22"/>
        <v>0.25</v>
      </c>
      <c r="AQ24" s="118">
        <f t="shared" si="22"/>
        <v>0.25</v>
      </c>
      <c r="AR24" s="118">
        <f t="shared" si="22"/>
        <v>0.25</v>
      </c>
      <c r="AS24" s="118">
        <f t="shared" si="22"/>
        <v>0.25</v>
      </c>
      <c r="AT24" s="118">
        <f t="shared" ref="AT24" si="23">AS24</f>
        <v>0.25</v>
      </c>
      <c r="AU24" s="118">
        <f t="shared" ref="AU24" si="24">AT24</f>
        <v>0.25</v>
      </c>
      <c r="AV24" s="118">
        <f t="shared" ref="AV24" si="25">AU24</f>
        <v>0.25</v>
      </c>
      <c r="AW24" s="118">
        <f t="shared" ref="AW24" si="26">AV24</f>
        <v>0.25</v>
      </c>
    </row>
    <row r="25" spans="1:49">
      <c r="A25" t="s">
        <v>13</v>
      </c>
      <c r="B25">
        <v>839</v>
      </c>
      <c r="C25">
        <v>187</v>
      </c>
      <c r="D25">
        <v>117</v>
      </c>
      <c r="E25">
        <v>405</v>
      </c>
      <c r="F25">
        <v>463</v>
      </c>
      <c r="G25">
        <v>271</v>
      </c>
      <c r="H25" s="563">
        <v>328</v>
      </c>
      <c r="I25" s="563">
        <v>-406</v>
      </c>
      <c r="J25" s="563">
        <v>-20</v>
      </c>
      <c r="K25" s="563">
        <v>304</v>
      </c>
      <c r="L25" s="563">
        <v>96</v>
      </c>
      <c r="M25" s="563">
        <v>85</v>
      </c>
      <c r="N25">
        <v>499</v>
      </c>
      <c r="O25">
        <v>472</v>
      </c>
      <c r="P25">
        <v>368</v>
      </c>
      <c r="Q25">
        <v>-63</v>
      </c>
      <c r="R25">
        <v>543</v>
      </c>
      <c r="S25">
        <v>307</v>
      </c>
      <c r="T25">
        <v>366</v>
      </c>
      <c r="U25">
        <v>189</v>
      </c>
      <c r="V25">
        <v>477</v>
      </c>
      <c r="W25">
        <v>590</v>
      </c>
      <c r="X25">
        <v>83</v>
      </c>
      <c r="Y25">
        <v>-627</v>
      </c>
      <c r="Z25">
        <v>-179</v>
      </c>
      <c r="AA25">
        <v>21</v>
      </c>
      <c r="AB25" s="851">
        <v>185</v>
      </c>
      <c r="AC25" s="563">
        <v>414</v>
      </c>
      <c r="AD25" s="1103">
        <v>78</v>
      </c>
      <c r="AE25" s="1103">
        <v>276</v>
      </c>
      <c r="AF25" s="1103">
        <v>153</v>
      </c>
      <c r="AG25" s="119">
        <f t="shared" ref="AG25:AS25" si="27">AG23*AG24</f>
        <v>140.70116101374475</v>
      </c>
      <c r="AH25" s="119">
        <f t="shared" si="27"/>
        <v>145.16732213736447</v>
      </c>
      <c r="AI25" s="119">
        <f t="shared" si="27"/>
        <v>198.99308828231483</v>
      </c>
      <c r="AJ25" s="119">
        <f t="shared" si="27"/>
        <v>248.28660497865144</v>
      </c>
      <c r="AK25" s="119">
        <f t="shared" si="27"/>
        <v>291.39382722806596</v>
      </c>
      <c r="AL25" s="119">
        <f t="shared" si="27"/>
        <v>293.54610611618199</v>
      </c>
      <c r="AM25" s="119">
        <f t="shared" si="27"/>
        <v>311.39481783249863</v>
      </c>
      <c r="AN25" s="119">
        <f t="shared" si="27"/>
        <v>313.6373590941954</v>
      </c>
      <c r="AO25" s="119">
        <f t="shared" si="27"/>
        <v>352.02543319967663</v>
      </c>
      <c r="AP25" s="119">
        <f t="shared" si="27"/>
        <v>353.76692788768685</v>
      </c>
      <c r="AQ25" s="119">
        <f t="shared" si="27"/>
        <v>372.80687067800795</v>
      </c>
      <c r="AR25" s="119">
        <f t="shared" si="27"/>
        <v>361.43697424435322</v>
      </c>
      <c r="AS25" s="119">
        <f t="shared" si="27"/>
        <v>382.72548724202693</v>
      </c>
      <c r="AT25" s="119">
        <f t="shared" ref="AT25:AW25" si="28">AT23*AT24</f>
        <v>384.07051345994699</v>
      </c>
      <c r="AU25" s="119">
        <f t="shared" si="28"/>
        <v>404.41239796451583</v>
      </c>
      <c r="AV25" s="119">
        <f t="shared" si="28"/>
        <v>391.89999270608774</v>
      </c>
      <c r="AW25" s="119">
        <f t="shared" si="28"/>
        <v>414.97668510441156</v>
      </c>
    </row>
    <row r="26" spans="1:49" s="8" customFormat="1">
      <c r="A26" s="8" t="s">
        <v>853</v>
      </c>
      <c r="B26" s="8">
        <v>2095</v>
      </c>
      <c r="C26" s="8">
        <v>1619</v>
      </c>
      <c r="D26" s="8">
        <v>636</v>
      </c>
      <c r="E26" s="8">
        <v>902</v>
      </c>
      <c r="F26" s="8">
        <v>1504</v>
      </c>
      <c r="G26" s="8">
        <v>1378</v>
      </c>
      <c r="H26" s="939">
        <v>526</v>
      </c>
      <c r="I26" s="939">
        <v>-593</v>
      </c>
      <c r="J26" s="939">
        <v>217</v>
      </c>
      <c r="K26" s="939">
        <v>824</v>
      </c>
      <c r="L26" s="939">
        <v>321</v>
      </c>
      <c r="M26" s="939">
        <v>363</v>
      </c>
      <c r="N26" s="8">
        <v>1375</v>
      </c>
      <c r="O26" s="8">
        <v>1173</v>
      </c>
      <c r="P26" s="8">
        <v>542</v>
      </c>
      <c r="Q26" s="8">
        <v>-270</v>
      </c>
      <c r="R26" s="8">
        <v>1200</v>
      </c>
      <c r="S26" s="8">
        <v>-653</v>
      </c>
      <c r="T26" s="8">
        <v>972</v>
      </c>
      <c r="U26" s="8">
        <v>703</v>
      </c>
      <c r="V26" s="8">
        <v>1034</v>
      </c>
      <c r="W26" s="8">
        <v>1066</v>
      </c>
      <c r="X26" s="8">
        <v>769</v>
      </c>
      <c r="Y26" s="8">
        <v>-5814</v>
      </c>
      <c r="Z26" s="8">
        <v>-305</v>
      </c>
      <c r="AA26" s="8">
        <v>178</v>
      </c>
      <c r="AB26" s="8">
        <f t="shared" ref="AB26:AS26" si="29">AB23-AB25</f>
        <v>37</v>
      </c>
      <c r="AC26" s="1100">
        <f t="shared" si="29"/>
        <v>-2617</v>
      </c>
      <c r="AD26" s="1100">
        <f t="shared" si="29"/>
        <v>592</v>
      </c>
      <c r="AE26" s="1100">
        <f t="shared" si="29"/>
        <v>306</v>
      </c>
      <c r="AF26" s="1100">
        <f t="shared" si="29"/>
        <v>247</v>
      </c>
      <c r="AG26" s="121">
        <f t="shared" si="29"/>
        <v>422.10348304123426</v>
      </c>
      <c r="AH26" s="121">
        <f t="shared" si="29"/>
        <v>435.5019664120934</v>
      </c>
      <c r="AI26" s="121">
        <f t="shared" si="29"/>
        <v>596.97926484694449</v>
      </c>
      <c r="AJ26" s="121">
        <f t="shared" si="29"/>
        <v>744.85981493595432</v>
      </c>
      <c r="AK26" s="121">
        <f t="shared" si="29"/>
        <v>874.18148168419793</v>
      </c>
      <c r="AL26" s="121">
        <f t="shared" si="29"/>
        <v>880.63831834854591</v>
      </c>
      <c r="AM26" s="121">
        <f t="shared" si="29"/>
        <v>934.18445349749595</v>
      </c>
      <c r="AN26" s="121">
        <f t="shared" si="29"/>
        <v>940.91207728258621</v>
      </c>
      <c r="AO26" s="121">
        <f t="shared" si="29"/>
        <v>1056.0762995990299</v>
      </c>
      <c r="AP26" s="121">
        <f t="shared" si="29"/>
        <v>1061.3007836630604</v>
      </c>
      <c r="AQ26" s="121">
        <f t="shared" si="29"/>
        <v>1118.4206120340239</v>
      </c>
      <c r="AR26" s="121">
        <f t="shared" si="29"/>
        <v>1084.3109227330597</v>
      </c>
      <c r="AS26" s="121">
        <f t="shared" si="29"/>
        <v>1148.1764617260808</v>
      </c>
      <c r="AT26" s="121">
        <f t="shared" ref="AT26:AW26" si="30">AT23-AT25</f>
        <v>1152.2115403798409</v>
      </c>
      <c r="AU26" s="121">
        <f t="shared" si="30"/>
        <v>1213.2371938935476</v>
      </c>
      <c r="AV26" s="121">
        <f t="shared" si="30"/>
        <v>1175.6999781182633</v>
      </c>
      <c r="AW26" s="121">
        <f t="shared" si="30"/>
        <v>1244.9300553132348</v>
      </c>
    </row>
    <row r="27" spans="1:49">
      <c r="A27" t="s">
        <v>15</v>
      </c>
      <c r="B27">
        <v>-19</v>
      </c>
      <c r="C27">
        <v>0</v>
      </c>
      <c r="D27">
        <v>0</v>
      </c>
      <c r="E27">
        <v>0</v>
      </c>
      <c r="F27">
        <v>-3</v>
      </c>
      <c r="G27">
        <v>-9</v>
      </c>
      <c r="H27" s="563">
        <v>-14</v>
      </c>
      <c r="I27" s="563">
        <v>1</v>
      </c>
      <c r="J27" s="563">
        <v>-3</v>
      </c>
      <c r="K27" s="563">
        <v>-4</v>
      </c>
      <c r="L27" s="563">
        <v>-2</v>
      </c>
      <c r="M27" s="563">
        <v>-31</v>
      </c>
      <c r="N27">
        <v>6</v>
      </c>
      <c r="O27">
        <v>-9</v>
      </c>
      <c r="P27">
        <v>150</v>
      </c>
      <c r="Q27">
        <v>-2</v>
      </c>
      <c r="R27">
        <v>15</v>
      </c>
      <c r="S27">
        <v>-9</v>
      </c>
      <c r="T27">
        <v>106</v>
      </c>
      <c r="U27">
        <v>-10</v>
      </c>
      <c r="V27">
        <v>0</v>
      </c>
      <c r="W27">
        <v>0</v>
      </c>
      <c r="X27">
        <v>0</v>
      </c>
      <c r="Y27">
        <v>0</v>
      </c>
      <c r="Z27">
        <v>0</v>
      </c>
      <c r="AA27">
        <v>0</v>
      </c>
      <c r="AB27" s="851">
        <v>0</v>
      </c>
      <c r="AC27" s="563">
        <f t="shared" ref="AC27:AS27" si="31">AB27</f>
        <v>0</v>
      </c>
      <c r="AD27" s="563">
        <f t="shared" si="31"/>
        <v>0</v>
      </c>
      <c r="AE27" s="563">
        <f t="shared" si="31"/>
        <v>0</v>
      </c>
      <c r="AF27" s="563">
        <f t="shared" si="31"/>
        <v>0</v>
      </c>
      <c r="AG27" s="18">
        <f t="shared" si="31"/>
        <v>0</v>
      </c>
      <c r="AH27" s="18">
        <f t="shared" si="31"/>
        <v>0</v>
      </c>
      <c r="AI27" s="18">
        <f t="shared" si="31"/>
        <v>0</v>
      </c>
      <c r="AJ27" s="18">
        <f t="shared" si="31"/>
        <v>0</v>
      </c>
      <c r="AK27" s="18">
        <f t="shared" si="31"/>
        <v>0</v>
      </c>
      <c r="AL27" s="18">
        <f t="shared" si="31"/>
        <v>0</v>
      </c>
      <c r="AM27" s="18">
        <f t="shared" si="31"/>
        <v>0</v>
      </c>
      <c r="AN27" s="18">
        <f t="shared" si="31"/>
        <v>0</v>
      </c>
      <c r="AO27" s="18">
        <f t="shared" si="31"/>
        <v>0</v>
      </c>
      <c r="AP27" s="18">
        <f t="shared" si="31"/>
        <v>0</v>
      </c>
      <c r="AQ27" s="18">
        <f t="shared" si="31"/>
        <v>0</v>
      </c>
      <c r="AR27" s="18">
        <f t="shared" si="31"/>
        <v>0</v>
      </c>
      <c r="AS27" s="18">
        <f t="shared" si="31"/>
        <v>0</v>
      </c>
      <c r="AT27" s="18">
        <f t="shared" ref="AT27" si="32">AS27</f>
        <v>0</v>
      </c>
      <c r="AU27" s="18">
        <f t="shared" ref="AU27" si="33">AT27</f>
        <v>0</v>
      </c>
      <c r="AV27" s="18">
        <f t="shared" ref="AV27" si="34">AU27</f>
        <v>0</v>
      </c>
      <c r="AW27" s="18">
        <f t="shared" ref="AW27" si="35">AV27</f>
        <v>0</v>
      </c>
    </row>
    <row r="28" spans="1:49" s="8" customFormat="1">
      <c r="A28" s="8" t="s">
        <v>16</v>
      </c>
      <c r="B28" s="8">
        <v>2076</v>
      </c>
      <c r="C28" s="8">
        <v>1619</v>
      </c>
      <c r="D28" s="8">
        <v>636</v>
      </c>
      <c r="E28" s="8">
        <v>902</v>
      </c>
      <c r="F28" s="8">
        <v>1501</v>
      </c>
      <c r="G28" s="8">
        <v>1369</v>
      </c>
      <c r="H28" s="939">
        <v>512</v>
      </c>
      <c r="I28" s="939">
        <v>-592</v>
      </c>
      <c r="J28" s="939">
        <v>214</v>
      </c>
      <c r="K28" s="939">
        <v>820</v>
      </c>
      <c r="L28" s="939">
        <v>319</v>
      </c>
      <c r="M28" s="939">
        <v>332</v>
      </c>
      <c r="N28" s="8">
        <v>1381</v>
      </c>
      <c r="O28" s="8">
        <v>1164</v>
      </c>
      <c r="P28" s="8">
        <v>692</v>
      </c>
      <c r="Q28" s="8">
        <v>-272</v>
      </c>
      <c r="R28" s="8">
        <v>1215</v>
      </c>
      <c r="S28" s="8">
        <v>-662</v>
      </c>
      <c r="T28" s="8">
        <v>1078</v>
      </c>
      <c r="U28" s="8">
        <v>693</v>
      </c>
      <c r="V28" s="8">
        <v>1034</v>
      </c>
      <c r="W28" s="8">
        <v>1066</v>
      </c>
      <c r="X28" s="8">
        <v>769</v>
      </c>
      <c r="Y28" s="8">
        <v>-5814</v>
      </c>
      <c r="Z28" s="8">
        <v>-305</v>
      </c>
      <c r="AA28" s="8">
        <v>178</v>
      </c>
      <c r="AB28" s="8">
        <f>SUM(AB26:AB27)</f>
        <v>37</v>
      </c>
      <c r="AC28" s="1100">
        <f t="shared" ref="AC28:AS28" si="36">SUM(AC26:AC27)</f>
        <v>-2617</v>
      </c>
      <c r="AD28" s="1141">
        <f t="shared" si="36"/>
        <v>592</v>
      </c>
      <c r="AE28" s="1141">
        <f t="shared" si="36"/>
        <v>306</v>
      </c>
      <c r="AF28" s="1141">
        <f t="shared" si="36"/>
        <v>247</v>
      </c>
      <c r="AG28" s="121">
        <f t="shared" si="36"/>
        <v>422.10348304123426</v>
      </c>
      <c r="AH28" s="121">
        <f t="shared" si="36"/>
        <v>435.5019664120934</v>
      </c>
      <c r="AI28" s="121">
        <f t="shared" si="36"/>
        <v>596.97926484694449</v>
      </c>
      <c r="AJ28" s="121">
        <f t="shared" si="36"/>
        <v>744.85981493595432</v>
      </c>
      <c r="AK28" s="121">
        <f t="shared" si="36"/>
        <v>874.18148168419793</v>
      </c>
      <c r="AL28" s="121">
        <f t="shared" si="36"/>
        <v>880.63831834854591</v>
      </c>
      <c r="AM28" s="121">
        <f t="shared" si="36"/>
        <v>934.18445349749595</v>
      </c>
      <c r="AN28" s="121">
        <f t="shared" si="36"/>
        <v>940.91207728258621</v>
      </c>
      <c r="AO28" s="121">
        <f t="shared" si="36"/>
        <v>1056.0762995990299</v>
      </c>
      <c r="AP28" s="121">
        <f t="shared" si="36"/>
        <v>1061.3007836630604</v>
      </c>
      <c r="AQ28" s="121">
        <f t="shared" si="36"/>
        <v>1118.4206120340239</v>
      </c>
      <c r="AR28" s="121">
        <f t="shared" si="36"/>
        <v>1084.3109227330597</v>
      </c>
      <c r="AS28" s="121">
        <f t="shared" si="36"/>
        <v>1148.1764617260808</v>
      </c>
      <c r="AT28" s="121">
        <f t="shared" ref="AT28:AW28" si="37">SUM(AT26:AT27)</f>
        <v>1152.2115403798409</v>
      </c>
      <c r="AU28" s="121">
        <f t="shared" si="37"/>
        <v>1213.2371938935476</v>
      </c>
      <c r="AV28" s="121">
        <f t="shared" si="37"/>
        <v>1175.6999781182633</v>
      </c>
      <c r="AW28" s="121">
        <f t="shared" si="37"/>
        <v>1244.9300553132348</v>
      </c>
    </row>
    <row r="29" spans="1:49">
      <c r="A29" t="s">
        <v>608</v>
      </c>
      <c r="B29">
        <v>21</v>
      </c>
      <c r="C29">
        <v>26</v>
      </c>
      <c r="D29">
        <v>27</v>
      </c>
      <c r="E29">
        <v>61</v>
      </c>
      <c r="F29">
        <v>362</v>
      </c>
      <c r="G29">
        <v>601</v>
      </c>
      <c r="H29" s="563">
        <v>-171</v>
      </c>
      <c r="I29" s="563">
        <v>45</v>
      </c>
      <c r="J29" s="563">
        <v>170</v>
      </c>
      <c r="K29" s="563">
        <v>32</v>
      </c>
      <c r="L29" s="563">
        <v>65</v>
      </c>
      <c r="M29" s="563">
        <v>69</v>
      </c>
      <c r="N29">
        <v>78</v>
      </c>
      <c r="O29">
        <v>119</v>
      </c>
      <c r="P29">
        <v>238</v>
      </c>
      <c r="Q29">
        <v>204</v>
      </c>
      <c r="R29">
        <v>356</v>
      </c>
      <c r="S29">
        <v>38</v>
      </c>
      <c r="T29">
        <v>53</v>
      </c>
      <c r="U29">
        <v>2</v>
      </c>
      <c r="V29">
        <v>-20</v>
      </c>
      <c r="W29">
        <v>15</v>
      </c>
      <c r="X29">
        <v>-10</v>
      </c>
      <c r="Y29">
        <v>14</v>
      </c>
      <c r="Z29">
        <v>-3</v>
      </c>
      <c r="AA29">
        <v>8</v>
      </c>
      <c r="AB29" s="851">
        <v>4</v>
      </c>
      <c r="AC29" s="563">
        <v>2</v>
      </c>
      <c r="AD29" s="563">
        <v>-4</v>
      </c>
      <c r="AE29" s="563">
        <v>3</v>
      </c>
      <c r="AF29" s="563">
        <v>3</v>
      </c>
      <c r="AT29" s="18"/>
      <c r="AU29" s="18"/>
      <c r="AV29" s="18"/>
      <c r="AW29" s="18"/>
    </row>
    <row r="30" spans="1:49">
      <c r="A30" t="s">
        <v>744</v>
      </c>
      <c r="B30">
        <v>2055</v>
      </c>
      <c r="C30">
        <v>1593</v>
      </c>
      <c r="D30">
        <v>609</v>
      </c>
      <c r="E30">
        <v>841</v>
      </c>
      <c r="F30">
        <v>1139</v>
      </c>
      <c r="G30">
        <v>768</v>
      </c>
      <c r="H30" s="563">
        <v>683</v>
      </c>
      <c r="I30" s="563">
        <v>-637</v>
      </c>
      <c r="J30" s="563">
        <v>44</v>
      </c>
      <c r="K30" s="563">
        <v>788</v>
      </c>
      <c r="L30" s="563">
        <v>254</v>
      </c>
      <c r="M30" s="563">
        <v>263</v>
      </c>
      <c r="N30">
        <v>1303</v>
      </c>
      <c r="O30">
        <v>1045</v>
      </c>
      <c r="P30">
        <v>454</v>
      </c>
      <c r="Q30">
        <v>-476</v>
      </c>
      <c r="R30">
        <v>859</v>
      </c>
      <c r="S30">
        <v>-700</v>
      </c>
      <c r="T30">
        <v>1025</v>
      </c>
      <c r="U30">
        <v>691</v>
      </c>
      <c r="V30">
        <v>1054</v>
      </c>
      <c r="W30">
        <v>1051</v>
      </c>
      <c r="X30">
        <v>779</v>
      </c>
      <c r="Y30">
        <v>-5828</v>
      </c>
      <c r="Z30">
        <v>-302</v>
      </c>
      <c r="AA30">
        <v>170</v>
      </c>
      <c r="AB30" s="851">
        <v>41</v>
      </c>
      <c r="AC30" s="1103">
        <f>AC28-AC29</f>
        <v>-2619</v>
      </c>
      <c r="AD30" s="1103">
        <f t="shared" ref="AD30:AF30" si="38">AD28-AD29</f>
        <v>596</v>
      </c>
      <c r="AE30" s="1103">
        <f t="shared" si="38"/>
        <v>303</v>
      </c>
      <c r="AF30" s="1103">
        <f t="shared" si="38"/>
        <v>244</v>
      </c>
      <c r="AT30" s="18"/>
      <c r="AU30" s="18"/>
      <c r="AV30" s="18"/>
      <c r="AW30" s="18"/>
    </row>
    <row r="31" spans="1:49">
      <c r="A31" t="s">
        <v>609</v>
      </c>
      <c r="B31">
        <v>2074</v>
      </c>
      <c r="C31">
        <v>1593</v>
      </c>
      <c r="D31">
        <v>609</v>
      </c>
      <c r="E31">
        <v>841</v>
      </c>
      <c r="F31">
        <v>1142</v>
      </c>
      <c r="G31">
        <v>777</v>
      </c>
      <c r="H31" s="563">
        <v>697</v>
      </c>
      <c r="I31" s="563">
        <v>-638</v>
      </c>
      <c r="J31" s="563">
        <v>47</v>
      </c>
      <c r="K31" s="563">
        <v>792</v>
      </c>
      <c r="L31" s="563">
        <v>256</v>
      </c>
      <c r="M31" s="563">
        <v>294</v>
      </c>
      <c r="N31">
        <v>1297</v>
      </c>
      <c r="O31">
        <v>1054</v>
      </c>
      <c r="P31">
        <v>304</v>
      </c>
      <c r="Q31">
        <v>-474</v>
      </c>
      <c r="R31">
        <v>844</v>
      </c>
      <c r="S31">
        <v>-691</v>
      </c>
      <c r="T31">
        <v>919</v>
      </c>
      <c r="U31">
        <v>701</v>
      </c>
      <c r="V31">
        <v>1054</v>
      </c>
      <c r="W31">
        <v>1051</v>
      </c>
      <c r="X31">
        <v>779</v>
      </c>
      <c r="Y31">
        <v>-5828</v>
      </c>
      <c r="Z31">
        <v>-302</v>
      </c>
      <c r="AA31">
        <v>170</v>
      </c>
      <c r="AB31" s="851">
        <v>41</v>
      </c>
      <c r="AC31" s="563"/>
      <c r="AT31" s="18"/>
      <c r="AU31" s="18"/>
      <c r="AV31" s="18"/>
      <c r="AW31" s="18"/>
    </row>
    <row r="32" spans="1:49" s="9" customFormat="1">
      <c r="A32" s="9" t="s">
        <v>610</v>
      </c>
      <c r="B32" s="9">
        <v>-19</v>
      </c>
      <c r="C32" s="9">
        <v>0</v>
      </c>
      <c r="D32" s="9">
        <v>0</v>
      </c>
      <c r="E32" s="9">
        <v>0</v>
      </c>
      <c r="F32" s="9">
        <v>-3</v>
      </c>
      <c r="G32" s="9">
        <v>-9</v>
      </c>
      <c r="H32" s="940">
        <v>-14</v>
      </c>
      <c r="I32" s="940">
        <v>1</v>
      </c>
      <c r="J32" s="940">
        <v>-3</v>
      </c>
      <c r="K32" s="940">
        <v>-4</v>
      </c>
      <c r="L32" s="940">
        <v>-2</v>
      </c>
      <c r="M32" s="940">
        <v>-31</v>
      </c>
      <c r="N32" s="9">
        <v>6</v>
      </c>
      <c r="O32" s="9">
        <v>-9</v>
      </c>
      <c r="P32" s="9">
        <v>150</v>
      </c>
      <c r="Q32" s="9">
        <v>-2</v>
      </c>
      <c r="R32" s="9">
        <v>15</v>
      </c>
      <c r="S32" s="9">
        <v>-9</v>
      </c>
      <c r="T32" s="9">
        <v>106</v>
      </c>
      <c r="U32" s="9">
        <v>-10</v>
      </c>
      <c r="V32" s="9">
        <v>0</v>
      </c>
      <c r="W32" s="9">
        <v>0</v>
      </c>
      <c r="X32" s="9">
        <v>0</v>
      </c>
      <c r="Y32" s="9">
        <v>0</v>
      </c>
      <c r="Z32" s="9">
        <v>0</v>
      </c>
      <c r="AA32" s="9">
        <v>0</v>
      </c>
      <c r="AB32" s="9">
        <v>0</v>
      </c>
      <c r="AC32" s="940"/>
      <c r="AD32" s="21"/>
      <c r="AE32" s="21"/>
      <c r="AF32" s="21"/>
      <c r="AG32" s="21"/>
      <c r="AH32" s="21"/>
      <c r="AI32" s="21"/>
      <c r="AJ32" s="21"/>
      <c r="AK32" s="21"/>
      <c r="AL32" s="21"/>
      <c r="AM32" s="21"/>
      <c r="AN32" s="21"/>
      <c r="AO32" s="21"/>
      <c r="AP32" s="21"/>
      <c r="AQ32" s="21"/>
      <c r="AR32" s="21"/>
      <c r="AS32" s="21"/>
      <c r="AT32" s="21"/>
      <c r="AU32" s="21"/>
      <c r="AV32" s="21"/>
      <c r="AW32" s="21"/>
    </row>
    <row r="33" spans="1:49" s="914" customFormat="1">
      <c r="A33" s="140" t="s">
        <v>483</v>
      </c>
      <c r="I33" s="915"/>
      <c r="J33" s="941"/>
      <c r="K33" s="941"/>
      <c r="L33" s="941"/>
      <c r="M33" s="941">
        <f>M28+M18+M19</f>
        <v>332</v>
      </c>
      <c r="N33" s="914">
        <f>N28+N18+N19</f>
        <v>1381</v>
      </c>
      <c r="O33" s="914">
        <f t="shared" ref="O33:AA33" si="39">O28+O18+O19</f>
        <v>1164</v>
      </c>
      <c r="P33" s="914">
        <f t="shared" si="39"/>
        <v>692</v>
      </c>
      <c r="Q33" s="914">
        <f t="shared" si="39"/>
        <v>-260</v>
      </c>
      <c r="R33" s="914">
        <f t="shared" si="39"/>
        <v>1215</v>
      </c>
      <c r="S33" s="914">
        <f t="shared" si="39"/>
        <v>-662</v>
      </c>
      <c r="T33" s="914">
        <f t="shared" si="39"/>
        <v>1078</v>
      </c>
      <c r="U33" s="914">
        <f t="shared" si="39"/>
        <v>693</v>
      </c>
      <c r="V33" s="914">
        <f t="shared" si="39"/>
        <v>1034</v>
      </c>
      <c r="W33" s="914">
        <f t="shared" si="39"/>
        <v>1066</v>
      </c>
      <c r="X33" s="914">
        <f t="shared" si="39"/>
        <v>769</v>
      </c>
      <c r="Y33" s="914">
        <f t="shared" si="39"/>
        <v>-1662</v>
      </c>
      <c r="Z33" s="914">
        <f t="shared" si="39"/>
        <v>-50</v>
      </c>
      <c r="AA33" s="914">
        <f t="shared" si="39"/>
        <v>269</v>
      </c>
      <c r="AB33" s="914">
        <f>AB28+AB18+AB19-346</f>
        <v>-164</v>
      </c>
      <c r="AC33" s="1139">
        <f>AC28+AC18+AC19+2170</f>
        <v>-398</v>
      </c>
      <c r="AD33" s="1165">
        <f t="shared" ref="AD33:AS33" si="40">AD28+AD18+AD19</f>
        <v>729</v>
      </c>
      <c r="AE33" s="1165">
        <f t="shared" si="40"/>
        <v>375</v>
      </c>
      <c r="AF33" s="1165">
        <f t="shared" si="40"/>
        <v>359</v>
      </c>
      <c r="AG33" s="1200" t="s">
        <v>449</v>
      </c>
      <c r="AH33" s="1200">
        <f t="shared" si="40"/>
        <v>435.5019664120934</v>
      </c>
      <c r="AI33" s="1200">
        <f t="shared" si="40"/>
        <v>596.97926484694449</v>
      </c>
      <c r="AJ33" s="1200">
        <f t="shared" si="40"/>
        <v>744.85981493595432</v>
      </c>
      <c r="AK33" s="1200">
        <f t="shared" si="40"/>
        <v>874.18148168419793</v>
      </c>
      <c r="AL33" s="1200">
        <f t="shared" si="40"/>
        <v>880.63831834854591</v>
      </c>
      <c r="AM33" s="1200">
        <f t="shared" si="40"/>
        <v>934.18445349749595</v>
      </c>
      <c r="AN33" s="1200">
        <f t="shared" si="40"/>
        <v>940.91207728258621</v>
      </c>
      <c r="AO33" s="1200">
        <f t="shared" si="40"/>
        <v>1056.0762995990299</v>
      </c>
      <c r="AP33" s="1200">
        <f t="shared" si="40"/>
        <v>1061.3007836630604</v>
      </c>
      <c r="AQ33" s="1200">
        <f t="shared" si="40"/>
        <v>1118.4206120340239</v>
      </c>
      <c r="AR33" s="1200">
        <f t="shared" si="40"/>
        <v>1084.3109227330597</v>
      </c>
      <c r="AS33" s="1200">
        <f t="shared" si="40"/>
        <v>1148.1764617260808</v>
      </c>
      <c r="AT33" s="1200">
        <f t="shared" ref="AT33:AW33" si="41">AT28+AT18+AT19</f>
        <v>1152.2115403798409</v>
      </c>
      <c r="AU33" s="1200">
        <f t="shared" si="41"/>
        <v>1213.2371938935476</v>
      </c>
      <c r="AV33" s="1200">
        <f t="shared" si="41"/>
        <v>1175.6999781182633</v>
      </c>
      <c r="AW33" s="1200">
        <f t="shared" si="41"/>
        <v>1244.9300553132348</v>
      </c>
    </row>
    <row r="34" spans="1:49" s="868" customFormat="1">
      <c r="A34" s="942" t="s">
        <v>910</v>
      </c>
      <c r="I34" s="95"/>
      <c r="J34" s="95"/>
      <c r="K34" s="95"/>
      <c r="L34" s="95"/>
      <c r="M34" s="95"/>
      <c r="AB34" s="23"/>
      <c r="AC34" s="1140"/>
      <c r="AD34" s="23"/>
      <c r="AE34" s="23"/>
      <c r="AF34" s="23"/>
      <c r="AG34" s="1432">
        <f>(AG23-AG18)</f>
        <v>-1737.195355945021</v>
      </c>
      <c r="AH34" s="1432"/>
      <c r="AI34" s="1432"/>
      <c r="AJ34" s="23"/>
      <c r="AK34" s="23"/>
      <c r="AL34" s="23"/>
      <c r="AM34" s="23"/>
      <c r="AN34" s="23"/>
      <c r="AO34" s="23"/>
      <c r="AP34" s="23"/>
      <c r="AQ34" s="23"/>
      <c r="AR34" s="23"/>
      <c r="AS34" s="23"/>
      <c r="AT34" s="23"/>
      <c r="AU34" s="23"/>
      <c r="AV34" s="23"/>
      <c r="AW34" s="23"/>
    </row>
    <row r="35" spans="1:49">
      <c r="A35" s="942" t="s">
        <v>565</v>
      </c>
      <c r="AG35" s="1433"/>
      <c r="AT35" s="18"/>
      <c r="AU35" s="18"/>
      <c r="AV35" s="18"/>
      <c r="AW35" s="18"/>
    </row>
    <row r="36" spans="1:49" s="965" customFormat="1" ht="27" thickBot="1">
      <c r="A36" s="960" t="s">
        <v>160</v>
      </c>
      <c r="B36" s="961" t="s">
        <v>566</v>
      </c>
      <c r="C36" s="962"/>
      <c r="D36" s="962"/>
      <c r="E36" s="962"/>
      <c r="F36" s="962"/>
      <c r="G36" s="962"/>
      <c r="H36" s="962"/>
      <c r="I36" s="963"/>
      <c r="J36" s="963"/>
      <c r="K36" s="963"/>
      <c r="L36" s="963"/>
      <c r="M36" s="963"/>
      <c r="N36" s="962"/>
      <c r="O36" s="962"/>
      <c r="P36" s="962"/>
      <c r="Q36" s="962"/>
      <c r="R36" s="962"/>
      <c r="S36" s="962"/>
      <c r="T36" s="962"/>
      <c r="U36" s="962"/>
      <c r="V36" s="962"/>
      <c r="W36" s="962"/>
      <c r="X36" s="962"/>
      <c r="Y36" s="962"/>
      <c r="Z36" s="962"/>
      <c r="AA36" s="962"/>
      <c r="AB36" s="964"/>
      <c r="AC36" s="964"/>
      <c r="AD36" s="964"/>
      <c r="AE36" s="964"/>
      <c r="AF36" s="964"/>
      <c r="AG36" s="964"/>
      <c r="AH36" s="964"/>
      <c r="AI36" s="964"/>
      <c r="AJ36" s="964"/>
      <c r="AK36" s="964"/>
      <c r="AL36" s="964"/>
      <c r="AM36" s="964"/>
      <c r="AN36" s="964"/>
      <c r="AO36" s="964"/>
      <c r="AP36" s="964"/>
      <c r="AQ36" s="964"/>
      <c r="AR36" s="964"/>
      <c r="AS36" s="964"/>
      <c r="AT36" s="964"/>
      <c r="AU36" s="964"/>
      <c r="AV36" s="964"/>
      <c r="AW36" s="964"/>
    </row>
    <row r="37" spans="1:49" s="966" customFormat="1" hidden="1" outlineLevel="1">
      <c r="B37" s="967"/>
      <c r="C37" s="967"/>
      <c r="D37" s="967"/>
      <c r="E37" s="967"/>
      <c r="F37" s="967"/>
      <c r="G37" s="967"/>
      <c r="H37" s="967"/>
      <c r="I37" s="968"/>
      <c r="J37" s="968"/>
      <c r="K37" s="968"/>
      <c r="L37" s="968"/>
      <c r="M37" s="968"/>
      <c r="N37" s="967"/>
      <c r="O37" s="967"/>
      <c r="P37" s="967"/>
      <c r="Q37" s="967"/>
      <c r="R37" s="967"/>
      <c r="S37" s="967"/>
      <c r="T37" s="967"/>
      <c r="U37" s="967"/>
      <c r="V37" s="967"/>
      <c r="W37" s="967"/>
      <c r="X37" s="967"/>
      <c r="Y37" s="967"/>
      <c r="Z37" s="967"/>
      <c r="AA37" s="967"/>
      <c r="AB37" s="967"/>
      <c r="AC37" s="969"/>
      <c r="AD37" s="969"/>
      <c r="AE37" s="969"/>
      <c r="AF37" s="969"/>
      <c r="AG37" s="969"/>
      <c r="AH37" s="969"/>
      <c r="AI37" s="969"/>
      <c r="AJ37" s="969"/>
      <c r="AK37" s="969"/>
      <c r="AL37" s="969"/>
      <c r="AM37" s="969"/>
      <c r="AN37" s="969"/>
      <c r="AO37" s="969"/>
      <c r="AP37" s="969"/>
      <c r="AQ37" s="969"/>
      <c r="AR37" s="969"/>
      <c r="AS37" s="969"/>
      <c r="AT37" s="969"/>
      <c r="AU37" s="969"/>
      <c r="AV37" s="969"/>
      <c r="AW37" s="969"/>
    </row>
    <row r="38" spans="1:49" s="966" customFormat="1" hidden="1" outlineLevel="1">
      <c r="A38" s="966" t="s">
        <v>67</v>
      </c>
      <c r="B38" s="970">
        <f t="shared" ref="B38:AB38" si="42">B8/B$13</f>
        <v>0.21180671800022319</v>
      </c>
      <c r="C38" s="970">
        <f t="shared" si="42"/>
        <v>0.14334916864608077</v>
      </c>
      <c r="D38" s="970">
        <f t="shared" si="42"/>
        <v>0.27036919159770845</v>
      </c>
      <c r="E38" s="970">
        <f t="shared" si="42"/>
        <v>0.23994252873563218</v>
      </c>
      <c r="F38" s="970">
        <f t="shared" si="42"/>
        <v>0.21681525507677069</v>
      </c>
      <c r="G38" s="970">
        <f t="shared" si="42"/>
        <v>0.20193861066235863</v>
      </c>
      <c r="H38" s="971">
        <f t="shared" si="42"/>
        <v>0.24905374716124148</v>
      </c>
      <c r="I38" s="971">
        <f t="shared" si="42"/>
        <v>0.37605089752329018</v>
      </c>
      <c r="J38" s="971">
        <f t="shared" si="42"/>
        <v>0.31550712489522215</v>
      </c>
      <c r="K38" s="971">
        <f t="shared" si="42"/>
        <v>0.26054630677226442</v>
      </c>
      <c r="L38" s="971">
        <f t="shared" si="42"/>
        <v>0.29741004693203543</v>
      </c>
      <c r="M38" s="971">
        <f t="shared" si="42"/>
        <v>0.33964248159831756</v>
      </c>
      <c r="N38" s="970">
        <f t="shared" si="42"/>
        <v>0.25476089716462125</v>
      </c>
      <c r="O38" s="970">
        <f t="shared" si="42"/>
        <v>0.379746835443038</v>
      </c>
      <c r="P38" s="970">
        <f t="shared" si="42"/>
        <v>0.33861874559548977</v>
      </c>
      <c r="Q38" s="970">
        <f t="shared" si="42"/>
        <v>0.28457403485909755</v>
      </c>
      <c r="R38" s="970">
        <f t="shared" si="42"/>
        <v>0.31893395811978326</v>
      </c>
      <c r="S38" s="970">
        <f t="shared" si="42"/>
        <v>0.40012378152560729</v>
      </c>
      <c r="T38" s="970">
        <f t="shared" si="42"/>
        <v>0.32593493463058681</v>
      </c>
      <c r="U38" s="970">
        <f t="shared" si="42"/>
        <v>0.33364720652856245</v>
      </c>
      <c r="V38" s="970">
        <f t="shared" si="42"/>
        <v>0.32375507747856175</v>
      </c>
      <c r="W38" s="970">
        <f t="shared" si="42"/>
        <v>0.41250898634076205</v>
      </c>
      <c r="X38" s="970">
        <f t="shared" si="42"/>
        <v>0.34820384294068507</v>
      </c>
      <c r="Y38" s="970">
        <f t="shared" si="42"/>
        <v>0.52114014251781471</v>
      </c>
      <c r="Z38" s="970">
        <f t="shared" si="42"/>
        <v>0.43359206554549373</v>
      </c>
      <c r="AA38" s="970">
        <f t="shared" si="42"/>
        <v>0.39134690681284262</v>
      </c>
      <c r="AB38" s="970">
        <f t="shared" si="42"/>
        <v>0.35767234988880653</v>
      </c>
      <c r="AC38" s="970">
        <f t="shared" ref="AC38:AF38" si="43">AC8/AC$13</f>
        <v>0.31306697548735768</v>
      </c>
      <c r="AD38" s="970">
        <f t="shared" si="43"/>
        <v>0.29508492952656307</v>
      </c>
      <c r="AE38" s="970">
        <f t="shared" si="43"/>
        <v>0.33371757925072049</v>
      </c>
      <c r="AF38" s="970">
        <f t="shared" si="43"/>
        <v>0.32622687047465809</v>
      </c>
      <c r="AG38" s="969"/>
      <c r="AH38" s="969"/>
      <c r="AI38" s="969"/>
      <c r="AJ38" s="969"/>
      <c r="AK38" s="969"/>
      <c r="AL38" s="969"/>
      <c r="AM38" s="969"/>
      <c r="AN38" s="969"/>
      <c r="AO38" s="969"/>
      <c r="AP38" s="969"/>
      <c r="AQ38" s="969"/>
      <c r="AR38" s="969"/>
      <c r="AS38" s="969"/>
      <c r="AT38" s="969"/>
      <c r="AU38" s="969"/>
      <c r="AV38" s="969"/>
      <c r="AW38" s="969"/>
    </row>
    <row r="39" spans="1:49" s="966" customFormat="1" hidden="1" outlineLevel="1">
      <c r="A39" s="966" t="s">
        <v>68</v>
      </c>
      <c r="B39" s="970">
        <f t="shared" ref="B39:AB39" si="44">B9/B$13</f>
        <v>0.38165383327753599</v>
      </c>
      <c r="C39" s="970">
        <f t="shared" si="44"/>
        <v>0.42802850356294536</v>
      </c>
      <c r="D39" s="970">
        <f t="shared" si="44"/>
        <v>0.52052832590706555</v>
      </c>
      <c r="E39" s="970">
        <f t="shared" si="44"/>
        <v>0.55114942528735633</v>
      </c>
      <c r="F39" s="970">
        <f t="shared" si="44"/>
        <v>0.44427934621099552</v>
      </c>
      <c r="G39" s="970">
        <f t="shared" si="44"/>
        <v>0.49787046556028786</v>
      </c>
      <c r="H39" s="971">
        <f t="shared" si="44"/>
        <v>0.45177895533686602</v>
      </c>
      <c r="I39" s="971">
        <f t="shared" si="44"/>
        <v>0.60804362644853438</v>
      </c>
      <c r="J39" s="971">
        <f t="shared" si="44"/>
        <v>0.51818943839061193</v>
      </c>
      <c r="K39" s="971">
        <f t="shared" si="44"/>
        <v>0.49199935348310975</v>
      </c>
      <c r="L39" s="971">
        <f t="shared" si="44"/>
        <v>0.54475925604032682</v>
      </c>
      <c r="M39" s="971">
        <f t="shared" si="44"/>
        <v>0.60550297932001407</v>
      </c>
      <c r="N39" s="970">
        <f t="shared" si="44"/>
        <v>0.45817463676117931</v>
      </c>
      <c r="O39" s="970">
        <f t="shared" si="44"/>
        <v>0.5089182968929804</v>
      </c>
      <c r="P39" s="970">
        <f t="shared" si="44"/>
        <v>0.53118393234672301</v>
      </c>
      <c r="Q39" s="970">
        <f t="shared" si="44"/>
        <v>0.55790845414562629</v>
      </c>
      <c r="R39" s="970">
        <f t="shared" si="44"/>
        <v>0.47957241177331966</v>
      </c>
      <c r="S39" s="970">
        <f t="shared" si="44"/>
        <v>0.51199133529320751</v>
      </c>
      <c r="T39" s="970">
        <f t="shared" si="44"/>
        <v>0.49467923380966861</v>
      </c>
      <c r="U39" s="970">
        <f t="shared" si="44"/>
        <v>0.50423728813559321</v>
      </c>
      <c r="V39" s="970">
        <f t="shared" si="44"/>
        <v>0.44817210771776739</v>
      </c>
      <c r="W39" s="970">
        <f t="shared" si="44"/>
        <v>0.46858375269590224</v>
      </c>
      <c r="X39" s="970">
        <f t="shared" si="44"/>
        <v>0.48320802005012531</v>
      </c>
      <c r="Y39" s="970">
        <f t="shared" si="44"/>
        <v>0.69216152019002375</v>
      </c>
      <c r="Z39" s="970">
        <f t="shared" si="44"/>
        <v>0.5767572229409228</v>
      </c>
      <c r="AA39" s="970">
        <f t="shared" si="44"/>
        <v>0.54737666405638219</v>
      </c>
      <c r="AB39" s="970">
        <f t="shared" si="44"/>
        <v>0.4966641957005189</v>
      </c>
      <c r="AC39" s="970">
        <f t="shared" ref="AC39:AF39" si="45">AC9/AC$13</f>
        <v>0.56765103261918548</v>
      </c>
      <c r="AD39" s="970">
        <f t="shared" si="45"/>
        <v>0.55041561257679794</v>
      </c>
      <c r="AE39" s="970">
        <f t="shared" si="45"/>
        <v>0.55811719500480306</v>
      </c>
      <c r="AF39" s="970">
        <f t="shared" si="45"/>
        <v>0.55551086082059531</v>
      </c>
      <c r="AG39" s="969"/>
      <c r="AH39" s="969"/>
      <c r="AI39" s="969"/>
      <c r="AJ39" s="969"/>
      <c r="AK39" s="969"/>
      <c r="AL39" s="969"/>
      <c r="AM39" s="969"/>
      <c r="AN39" s="969"/>
      <c r="AO39" s="969"/>
      <c r="AP39" s="969"/>
      <c r="AQ39" s="969"/>
      <c r="AR39" s="969"/>
      <c r="AS39" s="969"/>
      <c r="AT39" s="969"/>
      <c r="AU39" s="969"/>
      <c r="AV39" s="969"/>
      <c r="AW39" s="969"/>
    </row>
    <row r="40" spans="1:49" s="966" customFormat="1" hidden="1" outlineLevel="1">
      <c r="A40" s="966" t="s">
        <v>69</v>
      </c>
      <c r="B40" s="970">
        <f t="shared" ref="B40:AB40" si="46">B10/B$13</f>
        <v>0.38533645798459992</v>
      </c>
      <c r="C40" s="970">
        <f t="shared" si="46"/>
        <v>0.43099762470308789</v>
      </c>
      <c r="D40" s="970">
        <f t="shared" si="46"/>
        <v>0.14926798217695736</v>
      </c>
      <c r="E40" s="970">
        <f t="shared" si="46"/>
        <v>0.18793103448275861</v>
      </c>
      <c r="F40" s="970">
        <f t="shared" si="46"/>
        <v>0.24900941059930659</v>
      </c>
      <c r="G40" s="970">
        <f t="shared" si="46"/>
        <v>0.16390071963577618</v>
      </c>
      <c r="H40" s="971">
        <f t="shared" si="46"/>
        <v>0.29084027252081757</v>
      </c>
      <c r="I40" s="971">
        <f t="shared" si="46"/>
        <v>-6.1349693251533744E-3</v>
      </c>
      <c r="J40" s="971">
        <f t="shared" si="46"/>
        <v>3.1852472757753561E-2</v>
      </c>
      <c r="K40" s="971">
        <f t="shared" si="46"/>
        <v>0.18684338128333602</v>
      </c>
      <c r="L40" s="971">
        <f t="shared" si="46"/>
        <v>-5.2146706066400134E-4</v>
      </c>
      <c r="M40" s="971">
        <f t="shared" si="46"/>
        <v>-2.576235541535226E-2</v>
      </c>
      <c r="N40" s="970">
        <f t="shared" si="46"/>
        <v>0.25603046974185356</v>
      </c>
      <c r="O40" s="970">
        <f t="shared" si="46"/>
        <v>5.1352128883774453E-2</v>
      </c>
      <c r="P40" s="970">
        <f t="shared" si="46"/>
        <v>4.7921071176885127E-2</v>
      </c>
      <c r="Q40" s="970">
        <f t="shared" si="46"/>
        <v>4.8053428897214527E-2</v>
      </c>
      <c r="R40" s="970">
        <f t="shared" si="46"/>
        <v>9.3425098843168838E-2</v>
      </c>
      <c r="S40" s="970">
        <f t="shared" si="46"/>
        <v>3.048120068079839E-2</v>
      </c>
      <c r="T40" s="970">
        <f t="shared" si="46"/>
        <v>0.13742778960170265</v>
      </c>
      <c r="U40" s="970">
        <f t="shared" si="46"/>
        <v>4.5040803515379785E-2</v>
      </c>
      <c r="V40" s="970">
        <f t="shared" si="46"/>
        <v>0.20911689483977736</v>
      </c>
      <c r="W40" s="970">
        <f t="shared" si="46"/>
        <v>7.1603163191948233E-2</v>
      </c>
      <c r="X40" s="970">
        <f t="shared" si="46"/>
        <v>0.13383458646616542</v>
      </c>
      <c r="Y40" s="970">
        <f t="shared" si="46"/>
        <v>-0.3204275534441805</v>
      </c>
      <c r="Z40" s="970">
        <f t="shared" si="46"/>
        <v>-5.8430357912893485E-2</v>
      </c>
      <c r="AA40" s="970">
        <f t="shared" si="46"/>
        <v>1.8402505873140171E-2</v>
      </c>
      <c r="AB40" s="970">
        <f t="shared" si="46"/>
        <v>4.2994810971089696E-2</v>
      </c>
      <c r="AC40" s="970">
        <f t="shared" ref="AC40:AF40" si="47">AC10/AC$13</f>
        <v>4.9797336421540245E-2</v>
      </c>
      <c r="AD40" s="970">
        <f t="shared" si="47"/>
        <v>0.10372244307914709</v>
      </c>
      <c r="AE40" s="970">
        <f t="shared" si="47"/>
        <v>4.5533141210374641E-2</v>
      </c>
      <c r="AF40" s="970">
        <f t="shared" si="47"/>
        <v>6.4360418342719231E-2</v>
      </c>
      <c r="AG40" s="969"/>
      <c r="AH40" s="969"/>
      <c r="AI40" s="969"/>
      <c r="AJ40" s="969"/>
      <c r="AK40" s="969"/>
      <c r="AL40" s="969"/>
      <c r="AM40" s="969"/>
      <c r="AN40" s="969"/>
      <c r="AO40" s="969"/>
      <c r="AP40" s="969"/>
      <c r="AQ40" s="969"/>
      <c r="AR40" s="969"/>
      <c r="AS40" s="969"/>
      <c r="AT40" s="969"/>
      <c r="AU40" s="969"/>
      <c r="AV40" s="969"/>
      <c r="AW40" s="969"/>
    </row>
    <row r="41" spans="1:49" s="966" customFormat="1" hidden="1" outlineLevel="1">
      <c r="A41" s="966" t="s">
        <v>70</v>
      </c>
      <c r="B41" s="970">
        <f t="shared" ref="B41:AB41" si="48">B11/B$13</f>
        <v>2.1202990737640887E-2</v>
      </c>
      <c r="C41" s="970">
        <f t="shared" si="48"/>
        <v>-2.3752969121140144E-3</v>
      </c>
      <c r="D41" s="970">
        <f t="shared" si="48"/>
        <v>5.9834500318268619E-2</v>
      </c>
      <c r="E41" s="970">
        <f t="shared" si="48"/>
        <v>2.0977011494252875E-2</v>
      </c>
      <c r="F41" s="970">
        <f t="shared" si="48"/>
        <v>8.9895988112927191E-2</v>
      </c>
      <c r="G41" s="970">
        <f t="shared" si="48"/>
        <v>0.13629020414157733</v>
      </c>
      <c r="H41" s="971">
        <f t="shared" si="48"/>
        <v>8.3270249810749441E-3</v>
      </c>
      <c r="I41" s="971">
        <f t="shared" si="48"/>
        <v>2.2040445353328789E-2</v>
      </c>
      <c r="J41" s="971">
        <f t="shared" si="48"/>
        <v>0.1344509639564124</v>
      </c>
      <c r="K41" s="971">
        <f t="shared" si="48"/>
        <v>6.0610958461289804E-2</v>
      </c>
      <c r="L41" s="971">
        <f t="shared" si="48"/>
        <v>0.15835216408830174</v>
      </c>
      <c r="M41" s="971">
        <f t="shared" si="48"/>
        <v>8.0616894497020683E-2</v>
      </c>
      <c r="N41" s="970">
        <f t="shared" si="48"/>
        <v>3.1033996332345888E-2</v>
      </c>
      <c r="O41" s="970">
        <f t="shared" si="48"/>
        <v>5.9982738780207136E-2</v>
      </c>
      <c r="P41" s="970">
        <f t="shared" si="48"/>
        <v>8.2276250880902041E-2</v>
      </c>
      <c r="Q41" s="970">
        <f t="shared" si="48"/>
        <v>0.10946408209806158</v>
      </c>
      <c r="R41" s="970">
        <f t="shared" si="48"/>
        <v>0.10806853126372822</v>
      </c>
      <c r="S41" s="970">
        <f t="shared" si="48"/>
        <v>5.740368250038682E-2</v>
      </c>
      <c r="T41" s="970">
        <f t="shared" si="48"/>
        <v>4.195804195804196E-2</v>
      </c>
      <c r="U41" s="970">
        <f t="shared" si="48"/>
        <v>0.11707470182046453</v>
      </c>
      <c r="V41" s="970">
        <f t="shared" si="48"/>
        <v>1.8955919963893487E-2</v>
      </c>
      <c r="W41" s="970">
        <f t="shared" si="48"/>
        <v>4.7304097771387492E-2</v>
      </c>
      <c r="X41" s="970">
        <f t="shared" si="48"/>
        <v>3.4753550543024224E-2</v>
      </c>
      <c r="Y41" s="970">
        <f t="shared" si="48"/>
        <v>0.10712589073634204</v>
      </c>
      <c r="Z41" s="970">
        <f t="shared" si="48"/>
        <v>4.8081069426476927E-2</v>
      </c>
      <c r="AA41" s="970">
        <f t="shared" si="48"/>
        <v>4.2873923257635081E-2</v>
      </c>
      <c r="AB41" s="970">
        <f t="shared" si="48"/>
        <v>0.10266864343958487</v>
      </c>
      <c r="AC41" s="970">
        <f t="shared" ref="AC41:AF41" si="49">AC11/AC$13</f>
        <v>6.9484655471916623E-2</v>
      </c>
      <c r="AD41" s="970">
        <f t="shared" si="49"/>
        <v>5.0777014817491868E-2</v>
      </c>
      <c r="AE41" s="970">
        <f t="shared" si="49"/>
        <v>6.2632084534101823E-2</v>
      </c>
      <c r="AF41" s="970">
        <f t="shared" si="49"/>
        <v>5.3901850362027354E-2</v>
      </c>
      <c r="AG41" s="969"/>
      <c r="AH41" s="969"/>
      <c r="AI41" s="969"/>
      <c r="AJ41" s="969"/>
      <c r="AK41" s="969"/>
      <c r="AL41" s="969"/>
      <c r="AM41" s="969"/>
      <c r="AN41" s="969"/>
      <c r="AO41" s="969"/>
      <c r="AP41" s="969"/>
      <c r="AQ41" s="969"/>
      <c r="AR41" s="969"/>
      <c r="AS41" s="969"/>
      <c r="AT41" s="969"/>
      <c r="AU41" s="969"/>
      <c r="AV41" s="969"/>
      <c r="AW41" s="969"/>
    </row>
    <row r="42" spans="1:49" s="966" customFormat="1" hidden="1" outlineLevel="1">
      <c r="B42" s="967"/>
      <c r="C42" s="967"/>
      <c r="D42" s="967"/>
      <c r="E42" s="967"/>
      <c r="F42" s="967"/>
      <c r="G42" s="967"/>
      <c r="H42" s="968"/>
      <c r="I42" s="968"/>
      <c r="J42" s="968"/>
      <c r="K42" s="968"/>
      <c r="L42" s="968"/>
      <c r="M42" s="968"/>
      <c r="N42" s="967"/>
      <c r="O42" s="967"/>
      <c r="P42" s="967"/>
      <c r="Q42" s="967"/>
      <c r="R42" s="967"/>
      <c r="S42" s="967"/>
      <c r="T42" s="967"/>
      <c r="U42" s="967"/>
      <c r="V42" s="967"/>
      <c r="W42" s="967"/>
      <c r="X42" s="967"/>
      <c r="Y42" s="967"/>
      <c r="Z42" s="967"/>
      <c r="AA42" s="967"/>
      <c r="AB42" s="967"/>
      <c r="AC42" s="967"/>
      <c r="AD42" s="967"/>
      <c r="AE42" s="967"/>
      <c r="AF42" s="967"/>
      <c r="AG42" s="969"/>
      <c r="AH42" s="969"/>
      <c r="AI42" s="969"/>
      <c r="AJ42" s="969"/>
      <c r="AK42" s="969"/>
      <c r="AL42" s="969"/>
      <c r="AM42" s="969"/>
      <c r="AN42" s="969"/>
      <c r="AO42" s="969"/>
      <c r="AP42" s="969"/>
      <c r="AQ42" s="969"/>
      <c r="AR42" s="969"/>
      <c r="AS42" s="969"/>
      <c r="AT42" s="969"/>
      <c r="AU42" s="969"/>
      <c r="AV42" s="969"/>
      <c r="AW42" s="969"/>
    </row>
    <row r="43" spans="1:49" s="972" customFormat="1" hidden="1" outlineLevel="1">
      <c r="A43" s="972" t="s">
        <v>5</v>
      </c>
      <c r="B43" s="973">
        <f t="shared" ref="B43:AB43" si="50">B13/B$13</f>
        <v>1</v>
      </c>
      <c r="C43" s="973">
        <f t="shared" si="50"/>
        <v>1</v>
      </c>
      <c r="D43" s="973">
        <f t="shared" si="50"/>
        <v>1</v>
      </c>
      <c r="E43" s="973">
        <f t="shared" si="50"/>
        <v>1</v>
      </c>
      <c r="F43" s="973">
        <f t="shared" si="50"/>
        <v>1</v>
      </c>
      <c r="G43" s="973">
        <f t="shared" si="50"/>
        <v>1</v>
      </c>
      <c r="H43" s="974">
        <f t="shared" si="50"/>
        <v>1</v>
      </c>
      <c r="I43" s="974">
        <f t="shared" si="50"/>
        <v>1</v>
      </c>
      <c r="J43" s="974">
        <f t="shared" si="50"/>
        <v>1</v>
      </c>
      <c r="K43" s="974">
        <f t="shared" si="50"/>
        <v>1</v>
      </c>
      <c r="L43" s="974">
        <f t="shared" si="50"/>
        <v>1</v>
      </c>
      <c r="M43" s="974">
        <f t="shared" si="50"/>
        <v>1</v>
      </c>
      <c r="N43" s="973">
        <f t="shared" si="50"/>
        <v>1</v>
      </c>
      <c r="O43" s="973">
        <f t="shared" si="50"/>
        <v>1</v>
      </c>
      <c r="P43" s="973">
        <f t="shared" si="50"/>
        <v>1</v>
      </c>
      <c r="Q43" s="973">
        <f t="shared" si="50"/>
        <v>1</v>
      </c>
      <c r="R43" s="973">
        <f t="shared" si="50"/>
        <v>1</v>
      </c>
      <c r="S43" s="973">
        <f t="shared" si="50"/>
        <v>1</v>
      </c>
      <c r="T43" s="973">
        <f t="shared" si="50"/>
        <v>1</v>
      </c>
      <c r="U43" s="973">
        <f t="shared" si="50"/>
        <v>1</v>
      </c>
      <c r="V43" s="973">
        <f t="shared" si="50"/>
        <v>1</v>
      </c>
      <c r="W43" s="973">
        <f t="shared" si="50"/>
        <v>1</v>
      </c>
      <c r="X43" s="973">
        <f t="shared" si="50"/>
        <v>1</v>
      </c>
      <c r="Y43" s="973">
        <f t="shared" si="50"/>
        <v>1</v>
      </c>
      <c r="Z43" s="973">
        <f t="shared" si="50"/>
        <v>1</v>
      </c>
      <c r="AA43" s="973">
        <f t="shared" si="50"/>
        <v>1</v>
      </c>
      <c r="AB43" s="973">
        <f t="shared" si="50"/>
        <v>1</v>
      </c>
      <c r="AC43" s="973">
        <f t="shared" ref="AC43:AF43" si="51">AC13/AC$13</f>
        <v>1</v>
      </c>
      <c r="AD43" s="973">
        <f t="shared" si="51"/>
        <v>1</v>
      </c>
      <c r="AE43" s="973">
        <f t="shared" si="51"/>
        <v>1</v>
      </c>
      <c r="AF43" s="973">
        <f t="shared" si="51"/>
        <v>1</v>
      </c>
      <c r="AG43" s="975">
        <f t="shared" ref="AG43:AS43" si="52">AG13/AG$13</f>
        <v>1</v>
      </c>
      <c r="AH43" s="975">
        <f t="shared" si="52"/>
        <v>1</v>
      </c>
      <c r="AI43" s="975">
        <f t="shared" si="52"/>
        <v>1</v>
      </c>
      <c r="AJ43" s="975">
        <f t="shared" si="52"/>
        <v>1</v>
      </c>
      <c r="AK43" s="975">
        <f t="shared" si="52"/>
        <v>1</v>
      </c>
      <c r="AL43" s="975">
        <f t="shared" si="52"/>
        <v>1</v>
      </c>
      <c r="AM43" s="975">
        <f t="shared" si="52"/>
        <v>1</v>
      </c>
      <c r="AN43" s="975">
        <f t="shared" si="52"/>
        <v>1</v>
      </c>
      <c r="AO43" s="975">
        <f t="shared" si="52"/>
        <v>1</v>
      </c>
      <c r="AP43" s="975">
        <f t="shared" si="52"/>
        <v>1</v>
      </c>
      <c r="AQ43" s="975">
        <f t="shared" si="52"/>
        <v>1</v>
      </c>
      <c r="AR43" s="975">
        <f t="shared" si="52"/>
        <v>1</v>
      </c>
      <c r="AS43" s="975">
        <f t="shared" si="52"/>
        <v>1</v>
      </c>
      <c r="AT43" s="975">
        <f t="shared" ref="AT43:AW43" si="53">AT13/AT$13</f>
        <v>1</v>
      </c>
      <c r="AU43" s="975">
        <f t="shared" si="53"/>
        <v>1</v>
      </c>
      <c r="AV43" s="975">
        <f t="shared" si="53"/>
        <v>1</v>
      </c>
      <c r="AW43" s="975">
        <f t="shared" si="53"/>
        <v>1</v>
      </c>
    </row>
    <row r="44" spans="1:49" s="976" customFormat="1" hidden="1" outlineLevel="1">
      <c r="A44" s="976" t="s">
        <v>6</v>
      </c>
      <c r="B44" s="977">
        <f t="shared" ref="B44:AB44" si="54">B14/B$13</f>
        <v>-5.579734404642339E-3</v>
      </c>
      <c r="C44" s="977">
        <f t="shared" si="54"/>
        <v>2.3752969121140144E-3</v>
      </c>
      <c r="D44" s="977">
        <f t="shared" si="54"/>
        <v>-4.1374920432845318E-3</v>
      </c>
      <c r="E44" s="977">
        <f t="shared" si="54"/>
        <v>-3.3045977011494252E-3</v>
      </c>
      <c r="F44" s="977">
        <f t="shared" si="54"/>
        <v>-8.6676572560673596E-4</v>
      </c>
      <c r="G44" s="977">
        <f t="shared" si="54"/>
        <v>1.9092377735350271E-3</v>
      </c>
      <c r="H44" s="978">
        <f t="shared" si="54"/>
        <v>1.2717638152914459E-2</v>
      </c>
      <c r="I44" s="978">
        <f t="shared" si="54"/>
        <v>2.2040445353328789E-2</v>
      </c>
      <c r="J44" s="978">
        <f t="shared" si="54"/>
        <v>5.699916177703269E-3</v>
      </c>
      <c r="K44" s="978">
        <f t="shared" si="54"/>
        <v>4.0407305640859864E-3</v>
      </c>
      <c r="L44" s="978">
        <f t="shared" si="54"/>
        <v>7.1267164957413524E-3</v>
      </c>
      <c r="M44" s="978">
        <f t="shared" si="54"/>
        <v>1.2267788293024886E-2</v>
      </c>
      <c r="N44" s="977">
        <f t="shared" si="54"/>
        <v>3.1033996332345886E-3</v>
      </c>
      <c r="O44" s="977">
        <f t="shared" si="54"/>
        <v>7.336018411967779E-3</v>
      </c>
      <c r="P44" s="977">
        <f t="shared" si="54"/>
        <v>7.2233967582804792E-3</v>
      </c>
      <c r="Q44" s="977">
        <f t="shared" si="54"/>
        <v>8.633327903567356E-3</v>
      </c>
      <c r="R44" s="977">
        <f t="shared" si="54"/>
        <v>4.978767022990189E-3</v>
      </c>
      <c r="S44" s="977">
        <f t="shared" si="54"/>
        <v>2.7850843261643201E-3</v>
      </c>
      <c r="T44" s="977">
        <f t="shared" si="54"/>
        <v>8.96929157798723E-3</v>
      </c>
      <c r="U44" s="977">
        <f t="shared" si="54"/>
        <v>1.1770244821092278E-2</v>
      </c>
      <c r="V44" s="977">
        <f t="shared" si="54"/>
        <v>4.5133142771174965E-3</v>
      </c>
      <c r="W44" s="977">
        <f t="shared" si="54"/>
        <v>7.3328540618260241E-3</v>
      </c>
      <c r="X44" s="977">
        <f t="shared" si="54"/>
        <v>1.8379281537176273E-2</v>
      </c>
      <c r="Y44" s="977">
        <f t="shared" si="54"/>
        <v>3.1591448931116387E-2</v>
      </c>
      <c r="Z44" s="977">
        <f t="shared" si="54"/>
        <v>3.2341526520051747E-2</v>
      </c>
      <c r="AA44" s="977">
        <f t="shared" si="54"/>
        <v>-5.4815974941268596E-3</v>
      </c>
      <c r="AB44" s="977">
        <f t="shared" si="54"/>
        <v>1.0192735359525574E-2</v>
      </c>
      <c r="AC44" s="977">
        <f t="shared" ref="AC44:AF44" si="55">AC14/AC$13</f>
        <v>1.4475969889982629E-2</v>
      </c>
      <c r="AD44" s="977">
        <f t="shared" si="55"/>
        <v>9.5771593783881455E-3</v>
      </c>
      <c r="AE44" s="977">
        <f t="shared" si="55"/>
        <v>1.5754082612872238E-2</v>
      </c>
      <c r="AF44" s="977">
        <f t="shared" si="55"/>
        <v>6.4360418342719224E-3</v>
      </c>
      <c r="AG44" s="979">
        <f t="shared" ref="AG44:AS44" si="56">AG14/AG$13</f>
        <v>9.2013558003021575E-3</v>
      </c>
      <c r="AH44" s="979">
        <f t="shared" si="56"/>
        <v>9.3383725612247621E-3</v>
      </c>
      <c r="AI44" s="979">
        <f t="shared" si="56"/>
        <v>9.0592416660046898E-3</v>
      </c>
      <c r="AJ44" s="979">
        <f t="shared" si="56"/>
        <v>9.1345848464389305E-3</v>
      </c>
      <c r="AK44" s="979">
        <f t="shared" si="56"/>
        <v>8.8025416871859909E-3</v>
      </c>
      <c r="AL44" s="979">
        <f t="shared" si="56"/>
        <v>8.8382346402793872E-3</v>
      </c>
      <c r="AM44" s="979">
        <f t="shared" si="56"/>
        <v>8.6031216045549704E-3</v>
      </c>
      <c r="AN44" s="979">
        <f t="shared" si="56"/>
        <v>8.8349913503053389E-3</v>
      </c>
      <c r="AO44" s="979">
        <f t="shared" si="56"/>
        <v>8.5221315872239297E-3</v>
      </c>
      <c r="AP44" s="979">
        <f t="shared" si="56"/>
        <v>8.549625721026995E-3</v>
      </c>
      <c r="AQ44" s="979">
        <f t="shared" si="56"/>
        <v>8.314211418297926E-3</v>
      </c>
      <c r="AR44" s="979">
        <f t="shared" si="56"/>
        <v>8.5657099367791815E-3</v>
      </c>
      <c r="AS44" s="979">
        <f t="shared" si="56"/>
        <v>8.2972864954643753E-3</v>
      </c>
      <c r="AT44" s="979">
        <f t="shared" ref="AT44:AW44" si="57">AT14/AT$13</f>
        <v>8.316960636992915E-3</v>
      </c>
      <c r="AU44" s="979">
        <f t="shared" si="57"/>
        <v>8.0786395671674244E-3</v>
      </c>
      <c r="AV44" s="979">
        <f t="shared" si="57"/>
        <v>8.3202444665495968E-3</v>
      </c>
      <c r="AW44" s="979">
        <f t="shared" si="57"/>
        <v>8.0497387154323894E-3</v>
      </c>
    </row>
    <row r="45" spans="1:49" s="966" customFormat="1" hidden="1" outlineLevel="1">
      <c r="A45" s="966" t="s">
        <v>7</v>
      </c>
      <c r="B45" s="980">
        <f t="shared" ref="B45:AB45" si="58">B15/B$13</f>
        <v>0.43421493136926681</v>
      </c>
      <c r="C45" s="980">
        <f t="shared" si="58"/>
        <v>0.47292161520190024</v>
      </c>
      <c r="D45" s="980">
        <f t="shared" si="58"/>
        <v>0.52943984723106297</v>
      </c>
      <c r="E45" s="980">
        <f t="shared" si="58"/>
        <v>0.48304597701149427</v>
      </c>
      <c r="F45" s="980">
        <f t="shared" si="58"/>
        <v>0.49257057949479943</v>
      </c>
      <c r="G45" s="980">
        <f t="shared" si="58"/>
        <v>0.4463210456748421</v>
      </c>
      <c r="H45" s="981">
        <f t="shared" si="58"/>
        <v>0.45526116578349735</v>
      </c>
      <c r="I45" s="981">
        <f t="shared" si="58"/>
        <v>0.67643717336968867</v>
      </c>
      <c r="J45" s="981">
        <f t="shared" si="58"/>
        <v>0.61374685666387263</v>
      </c>
      <c r="K45" s="981">
        <f t="shared" si="58"/>
        <v>0.47761435267496366</v>
      </c>
      <c r="L45" s="981">
        <f t="shared" si="58"/>
        <v>0.52807231009907873</v>
      </c>
      <c r="M45" s="981">
        <f t="shared" si="58"/>
        <v>0.46424815983175605</v>
      </c>
      <c r="N45" s="980">
        <f t="shared" si="58"/>
        <v>0.4219212865002116</v>
      </c>
      <c r="O45" s="980">
        <f t="shared" si="58"/>
        <v>0.42088607594936711</v>
      </c>
      <c r="P45" s="980">
        <f t="shared" si="58"/>
        <v>0.44608879492600423</v>
      </c>
      <c r="Q45" s="980">
        <f t="shared" si="58"/>
        <v>0.45724059293044472</v>
      </c>
      <c r="R45" s="980">
        <f t="shared" si="58"/>
        <v>0.43827793234734219</v>
      </c>
      <c r="S45" s="980">
        <f t="shared" si="58"/>
        <v>0.4600030945381402</v>
      </c>
      <c r="T45" s="980">
        <f t="shared" si="58"/>
        <v>0.41760413499543936</v>
      </c>
      <c r="U45" s="980">
        <f t="shared" si="58"/>
        <v>0.41133082234777152</v>
      </c>
      <c r="V45" s="980">
        <f t="shared" si="58"/>
        <v>0.44772077629005569</v>
      </c>
      <c r="W45" s="980">
        <f t="shared" si="58"/>
        <v>0.41897915168943206</v>
      </c>
      <c r="X45" s="980">
        <f t="shared" si="58"/>
        <v>0.41888053467000835</v>
      </c>
      <c r="Y45" s="980">
        <f t="shared" si="58"/>
        <v>0.74798099762470305</v>
      </c>
      <c r="Z45" s="980">
        <f t="shared" si="58"/>
        <v>0.53514445881845618</v>
      </c>
      <c r="AA45" s="980">
        <f t="shared" si="58"/>
        <v>0.5352388410336727</v>
      </c>
      <c r="AB45" s="980">
        <f t="shared" si="58"/>
        <v>0.49555226093402521</v>
      </c>
      <c r="AC45" s="980">
        <f t="shared" ref="AC45:AF45" si="59">AC15/AC$13</f>
        <v>0.51766068326577885</v>
      </c>
      <c r="AD45" s="980">
        <f t="shared" si="59"/>
        <v>0.48030357788218286</v>
      </c>
      <c r="AE45" s="980">
        <f t="shared" si="59"/>
        <v>0.48837656099903937</v>
      </c>
      <c r="AF45" s="980">
        <f t="shared" si="59"/>
        <v>0.49296057924376507</v>
      </c>
      <c r="AG45" s="982"/>
      <c r="AH45" s="982"/>
      <c r="AI45" s="982"/>
      <c r="AJ45" s="982"/>
      <c r="AK45" s="982"/>
      <c r="AL45" s="982"/>
      <c r="AM45" s="982"/>
      <c r="AN45" s="982"/>
      <c r="AO45" s="982"/>
      <c r="AP45" s="982"/>
      <c r="AQ45" s="982"/>
      <c r="AR45" s="982"/>
      <c r="AS45" s="982"/>
      <c r="AT45" s="982"/>
      <c r="AU45" s="982"/>
      <c r="AV45" s="982"/>
      <c r="AW45" s="982"/>
    </row>
    <row r="46" spans="1:49" s="966" customFormat="1" hidden="1" outlineLevel="1">
      <c r="A46" s="966" t="s">
        <v>8</v>
      </c>
      <c r="B46" s="980">
        <f t="shared" ref="B46:AB46" si="60">B16/B$13</f>
        <v>0.18591675036268274</v>
      </c>
      <c r="C46" s="980">
        <f t="shared" si="60"/>
        <v>0.24263657957244655</v>
      </c>
      <c r="D46" s="980">
        <f t="shared" si="60"/>
        <v>0.27784850413749207</v>
      </c>
      <c r="E46" s="980">
        <f t="shared" si="60"/>
        <v>0.24985632183908046</v>
      </c>
      <c r="F46" s="980">
        <f t="shared" si="60"/>
        <v>0.19972758791480932</v>
      </c>
      <c r="G46" s="980">
        <f t="shared" si="60"/>
        <v>0.23968277280070496</v>
      </c>
      <c r="H46" s="981">
        <f t="shared" si="60"/>
        <v>0.33080999242997727</v>
      </c>
      <c r="I46" s="981">
        <f t="shared" si="60"/>
        <v>0.42331288343558282</v>
      </c>
      <c r="J46" s="981">
        <f t="shared" si="60"/>
        <v>0.2740989103101425</v>
      </c>
      <c r="K46" s="981">
        <f t="shared" si="60"/>
        <v>0.2678196217876192</v>
      </c>
      <c r="L46" s="981">
        <f t="shared" si="60"/>
        <v>0.32122370936902483</v>
      </c>
      <c r="M46" s="981">
        <f t="shared" si="60"/>
        <v>0.36908517350157727</v>
      </c>
      <c r="N46" s="980">
        <f t="shared" si="60"/>
        <v>0.24432218930737762</v>
      </c>
      <c r="O46" s="980">
        <f t="shared" si="60"/>
        <v>0.26941887226697353</v>
      </c>
      <c r="P46" s="980">
        <f t="shared" si="60"/>
        <v>0.31201550387596899</v>
      </c>
      <c r="Q46" s="980">
        <f t="shared" si="60"/>
        <v>0.52304935657273166</v>
      </c>
      <c r="R46" s="980">
        <f t="shared" si="60"/>
        <v>0.2474740079074535</v>
      </c>
      <c r="S46" s="980">
        <f t="shared" si="60"/>
        <v>0.53241528701841245</v>
      </c>
      <c r="T46" s="980">
        <f t="shared" si="60"/>
        <v>0.31027667984189722</v>
      </c>
      <c r="U46" s="980">
        <f t="shared" si="60"/>
        <v>0.37068424356559948</v>
      </c>
      <c r="V46" s="980">
        <f t="shared" si="60"/>
        <v>0.26147134045434028</v>
      </c>
      <c r="W46" s="980">
        <f t="shared" si="60"/>
        <v>0.27721063982746225</v>
      </c>
      <c r="X46" s="980">
        <f t="shared" si="60"/>
        <v>0.35087719298245612</v>
      </c>
      <c r="Y46" s="980">
        <f t="shared" si="60"/>
        <v>0.66698337292161525</v>
      </c>
      <c r="Z46" s="980">
        <f t="shared" si="60"/>
        <v>0.3984476067270375</v>
      </c>
      <c r="AA46" s="980">
        <f t="shared" si="60"/>
        <v>0.34455755677368832</v>
      </c>
      <c r="AB46" s="980">
        <f t="shared" si="60"/>
        <v>0.3665678280207561</v>
      </c>
      <c r="AC46" s="980">
        <f t="shared" ref="AC46:AF46" si="61">AC16/AC$13</f>
        <v>0.80756610692916431</v>
      </c>
      <c r="AD46" s="980">
        <f t="shared" si="61"/>
        <v>0.29779544633176724</v>
      </c>
      <c r="AE46" s="980">
        <f t="shared" si="61"/>
        <v>0.30355427473583091</v>
      </c>
      <c r="AF46" s="980">
        <f t="shared" si="61"/>
        <v>0.32783588093322608</v>
      </c>
      <c r="AG46" s="982"/>
      <c r="AH46" s="982"/>
      <c r="AI46" s="982"/>
      <c r="AJ46" s="982"/>
      <c r="AK46" s="982"/>
      <c r="AL46" s="982"/>
      <c r="AM46" s="982"/>
      <c r="AN46" s="982"/>
      <c r="AO46" s="982"/>
      <c r="AP46" s="982"/>
      <c r="AQ46" s="982"/>
      <c r="AR46" s="982"/>
      <c r="AS46" s="982"/>
      <c r="AT46" s="982"/>
      <c r="AU46" s="982"/>
      <c r="AV46" s="982"/>
      <c r="AW46" s="982"/>
    </row>
    <row r="47" spans="1:49" s="966" customFormat="1" hidden="1" outlineLevel="1">
      <c r="A47" s="966" t="s">
        <v>9</v>
      </c>
      <c r="B47" s="980">
        <f t="shared" ref="B47:AB47" si="62">B17/B$13</f>
        <v>5.8029237808280329E-2</v>
      </c>
      <c r="C47" s="980">
        <f t="shared" si="62"/>
        <v>6.7577197149643706E-2</v>
      </c>
      <c r="D47" s="980">
        <f t="shared" si="62"/>
        <v>7.7021005728835135E-2</v>
      </c>
      <c r="E47" s="980">
        <f t="shared" si="62"/>
        <v>8.2614942528735635E-2</v>
      </c>
      <c r="F47" s="980">
        <f t="shared" si="62"/>
        <v>6.5007429420505206E-2</v>
      </c>
      <c r="G47" s="980">
        <f t="shared" si="62"/>
        <v>6.9907475400205615E-2</v>
      </c>
      <c r="H47" s="981">
        <f t="shared" si="62"/>
        <v>7.1915215745647243E-2</v>
      </c>
      <c r="I47" s="981">
        <f t="shared" si="62"/>
        <v>0.10520336287207453</v>
      </c>
      <c r="J47" s="981">
        <f t="shared" si="62"/>
        <v>7.3428331936295055E-2</v>
      </c>
      <c r="K47" s="981">
        <f t="shared" si="62"/>
        <v>6.8207531921771453E-2</v>
      </c>
      <c r="L47" s="981">
        <f t="shared" si="62"/>
        <v>7.1093342603858856E-2</v>
      </c>
      <c r="M47" s="981">
        <f t="shared" si="62"/>
        <v>7.5885033298282514E-2</v>
      </c>
      <c r="N47" s="980">
        <f t="shared" si="62"/>
        <v>6.6299901255466212E-2</v>
      </c>
      <c r="O47" s="980">
        <f t="shared" si="62"/>
        <v>6.5736478711162255E-2</v>
      </c>
      <c r="P47" s="980">
        <f t="shared" si="62"/>
        <v>7.4348132487667376E-2</v>
      </c>
      <c r="Q47" s="980">
        <f t="shared" si="62"/>
        <v>6.3365368952598145E-2</v>
      </c>
      <c r="R47" s="980">
        <f t="shared" si="62"/>
        <v>5.4034265631864108E-2</v>
      </c>
      <c r="S47" s="980">
        <f t="shared" si="62"/>
        <v>5.833204394244159E-2</v>
      </c>
      <c r="T47" s="980">
        <f t="shared" si="62"/>
        <v>5.9744603222864096E-2</v>
      </c>
      <c r="U47" s="980">
        <f t="shared" si="62"/>
        <v>6.6227244193345886E-2</v>
      </c>
      <c r="V47" s="980">
        <f t="shared" si="62"/>
        <v>5.8973973221001959E-2</v>
      </c>
      <c r="W47" s="980">
        <f t="shared" si="62"/>
        <v>5.8375269590222864E-2</v>
      </c>
      <c r="X47" s="980">
        <f t="shared" si="62"/>
        <v>6.9507101086048448E-2</v>
      </c>
      <c r="Y47" s="980">
        <f t="shared" si="62"/>
        <v>9.7149643705463182E-2</v>
      </c>
      <c r="Z47" s="980">
        <f t="shared" si="62"/>
        <v>8.3441138421733507E-2</v>
      </c>
      <c r="AA47" s="980">
        <f t="shared" si="62"/>
        <v>6.8911511354737665E-2</v>
      </c>
      <c r="AB47" s="980">
        <f t="shared" si="62"/>
        <v>5.9673832468495183E-2</v>
      </c>
      <c r="AC47" s="980">
        <f t="shared" ref="AC47:AF47" si="63">AC17/AC$13</f>
        <v>7.6047095155375416E-2</v>
      </c>
      <c r="AD47" s="980">
        <f t="shared" si="63"/>
        <v>6.6498012287676184E-2</v>
      </c>
      <c r="AE47" s="980">
        <f t="shared" si="63"/>
        <v>6.7243035542747354E-2</v>
      </c>
      <c r="AF47" s="980">
        <f t="shared" si="63"/>
        <v>6.979082864038616E-2</v>
      </c>
      <c r="AG47" s="982"/>
      <c r="AH47" s="982"/>
      <c r="AI47" s="982"/>
      <c r="AJ47" s="982"/>
      <c r="AK47" s="982"/>
      <c r="AL47" s="982"/>
      <c r="AM47" s="982"/>
      <c r="AN47" s="982"/>
      <c r="AO47" s="982"/>
      <c r="AP47" s="982"/>
      <c r="AQ47" s="982"/>
      <c r="AR47" s="982"/>
      <c r="AS47" s="982"/>
      <c r="AT47" s="982"/>
      <c r="AU47" s="982"/>
      <c r="AV47" s="982"/>
      <c r="AW47" s="982"/>
    </row>
    <row r="48" spans="1:49" s="966" customFormat="1" hidden="1" outlineLevel="1">
      <c r="A48" s="966" t="s">
        <v>71</v>
      </c>
      <c r="B48" s="980">
        <f t="shared" ref="B48:AB48" si="64">B18/B$13</f>
        <v>0</v>
      </c>
      <c r="C48" s="980">
        <f t="shared" si="64"/>
        <v>0</v>
      </c>
      <c r="D48" s="980">
        <f t="shared" si="64"/>
        <v>0</v>
      </c>
      <c r="E48" s="980">
        <f t="shared" si="64"/>
        <v>0</v>
      </c>
      <c r="F48" s="980">
        <f t="shared" si="64"/>
        <v>0</v>
      </c>
      <c r="G48" s="980">
        <f t="shared" si="64"/>
        <v>0</v>
      </c>
      <c r="H48" s="980">
        <f t="shared" si="64"/>
        <v>0</v>
      </c>
      <c r="I48" s="980">
        <f t="shared" si="64"/>
        <v>0</v>
      </c>
      <c r="J48" s="980">
        <f t="shared" si="64"/>
        <v>0</v>
      </c>
      <c r="K48" s="980">
        <f t="shared" si="64"/>
        <v>0</v>
      </c>
      <c r="L48" s="980">
        <f t="shared" si="64"/>
        <v>0</v>
      </c>
      <c r="M48" s="981">
        <f t="shared" si="64"/>
        <v>0</v>
      </c>
      <c r="N48" s="980">
        <f t="shared" si="64"/>
        <v>0</v>
      </c>
      <c r="O48" s="980">
        <f t="shared" si="64"/>
        <v>0</v>
      </c>
      <c r="P48" s="980">
        <f t="shared" si="64"/>
        <v>0</v>
      </c>
      <c r="Q48" s="980">
        <f t="shared" si="64"/>
        <v>1.9547157517510994E-3</v>
      </c>
      <c r="R48" s="980">
        <f t="shared" si="64"/>
        <v>0</v>
      </c>
      <c r="S48" s="980">
        <f t="shared" si="64"/>
        <v>0</v>
      </c>
      <c r="T48" s="980">
        <f t="shared" si="64"/>
        <v>0</v>
      </c>
      <c r="U48" s="980">
        <f t="shared" si="64"/>
        <v>0</v>
      </c>
      <c r="V48" s="980">
        <f t="shared" si="64"/>
        <v>0</v>
      </c>
      <c r="W48" s="980">
        <f t="shared" si="64"/>
        <v>0</v>
      </c>
      <c r="X48" s="980">
        <f t="shared" si="64"/>
        <v>0</v>
      </c>
      <c r="Y48" s="980">
        <f t="shared" si="64"/>
        <v>0.90190023752969117</v>
      </c>
      <c r="Z48" s="980">
        <f t="shared" si="64"/>
        <v>0</v>
      </c>
      <c r="AA48" s="980">
        <f t="shared" si="64"/>
        <v>0</v>
      </c>
      <c r="AB48" s="980">
        <f t="shared" si="64"/>
        <v>0</v>
      </c>
      <c r="AC48" s="980">
        <f t="shared" ref="AC48:AF48" si="65">AC18/AC$13</f>
        <v>0</v>
      </c>
      <c r="AD48" s="980">
        <f t="shared" si="65"/>
        <v>0</v>
      </c>
      <c r="AE48" s="980">
        <f t="shared" si="65"/>
        <v>0</v>
      </c>
      <c r="AF48" s="980">
        <f t="shared" si="65"/>
        <v>0</v>
      </c>
      <c r="AG48" s="982"/>
      <c r="AH48" s="982"/>
      <c r="AI48" s="982"/>
      <c r="AJ48" s="982"/>
      <c r="AK48" s="982"/>
      <c r="AL48" s="982"/>
      <c r="AM48" s="982"/>
      <c r="AN48" s="982"/>
      <c r="AO48" s="982"/>
      <c r="AP48" s="982"/>
      <c r="AQ48" s="982"/>
      <c r="AR48" s="982"/>
      <c r="AS48" s="982"/>
      <c r="AT48" s="982"/>
      <c r="AU48" s="982"/>
      <c r="AV48" s="982"/>
      <c r="AW48" s="982"/>
    </row>
    <row r="49" spans="1:49" s="966" customFormat="1" hidden="1" outlineLevel="1">
      <c r="A49" s="966" t="s">
        <v>10</v>
      </c>
      <c r="B49" s="980">
        <f t="shared" ref="B49:AB49" si="66">B19/B$13</f>
        <v>0</v>
      </c>
      <c r="C49" s="980">
        <f t="shared" si="66"/>
        <v>0</v>
      </c>
      <c r="D49" s="980">
        <f t="shared" si="66"/>
        <v>0</v>
      </c>
      <c r="E49" s="980">
        <f t="shared" si="66"/>
        <v>0</v>
      </c>
      <c r="F49" s="980">
        <f t="shared" si="66"/>
        <v>0</v>
      </c>
      <c r="G49" s="980">
        <f t="shared" si="66"/>
        <v>0</v>
      </c>
      <c r="H49" s="980">
        <f t="shared" si="66"/>
        <v>0</v>
      </c>
      <c r="I49" s="980">
        <f t="shared" si="66"/>
        <v>0</v>
      </c>
      <c r="J49" s="980">
        <f t="shared" si="66"/>
        <v>0</v>
      </c>
      <c r="K49" s="980">
        <f t="shared" si="66"/>
        <v>0</v>
      </c>
      <c r="L49" s="980">
        <f t="shared" si="66"/>
        <v>0</v>
      </c>
      <c r="M49" s="981">
        <f t="shared" si="66"/>
        <v>0</v>
      </c>
      <c r="N49" s="980">
        <f t="shared" si="66"/>
        <v>0</v>
      </c>
      <c r="O49" s="980">
        <f t="shared" si="66"/>
        <v>0</v>
      </c>
      <c r="P49" s="980">
        <f t="shared" si="66"/>
        <v>0</v>
      </c>
      <c r="Q49" s="980">
        <f t="shared" si="66"/>
        <v>0</v>
      </c>
      <c r="R49" s="980">
        <f t="shared" si="66"/>
        <v>0</v>
      </c>
      <c r="S49" s="980">
        <f t="shared" si="66"/>
        <v>0</v>
      </c>
      <c r="T49" s="980">
        <f t="shared" si="66"/>
        <v>0</v>
      </c>
      <c r="U49" s="980">
        <f t="shared" si="66"/>
        <v>0</v>
      </c>
      <c r="V49" s="980">
        <f t="shared" si="66"/>
        <v>0</v>
      </c>
      <c r="W49" s="980">
        <f t="shared" si="66"/>
        <v>0</v>
      </c>
      <c r="X49" s="980">
        <f t="shared" si="66"/>
        <v>0</v>
      </c>
      <c r="Y49" s="980">
        <f t="shared" si="66"/>
        <v>8.4323040380047509E-2</v>
      </c>
      <c r="Z49" s="980">
        <f t="shared" si="66"/>
        <v>5.4980595084087966E-2</v>
      </c>
      <c r="AA49" s="980">
        <f t="shared" si="66"/>
        <v>1.7815191855912293E-2</v>
      </c>
      <c r="AB49" s="980">
        <f t="shared" si="66"/>
        <v>2.6871756856931061E-2</v>
      </c>
      <c r="AC49" s="980">
        <f t="shared" ref="AC49:AF49" si="67">AC19/AC$13</f>
        <v>9.4576336614553176E-3</v>
      </c>
      <c r="AD49" s="980">
        <f t="shared" si="67"/>
        <v>2.4756053487531623E-2</v>
      </c>
      <c r="AE49" s="980">
        <f t="shared" si="67"/>
        <v>1.3256484149855908E-2</v>
      </c>
      <c r="AF49" s="980">
        <f t="shared" si="67"/>
        <v>2.252614641995173E-2</v>
      </c>
      <c r="AG49" s="982"/>
      <c r="AH49" s="982"/>
      <c r="AI49" s="982"/>
      <c r="AJ49" s="982"/>
      <c r="AK49" s="982"/>
      <c r="AL49" s="982"/>
      <c r="AM49" s="982"/>
      <c r="AN49" s="982"/>
      <c r="AO49" s="982"/>
      <c r="AP49" s="982"/>
      <c r="AQ49" s="982"/>
      <c r="AR49" s="982"/>
      <c r="AS49" s="982"/>
      <c r="AT49" s="982"/>
      <c r="AU49" s="982"/>
      <c r="AV49" s="982"/>
      <c r="AW49" s="982"/>
    </row>
    <row r="50" spans="1:49" s="966" customFormat="1" hidden="1" outlineLevel="1">
      <c r="A50" s="966" t="s">
        <v>11</v>
      </c>
      <c r="B50" s="980">
        <f t="shared" ref="B50:AB50" si="68">B20/B$13</f>
        <v>0.24394598817096305</v>
      </c>
      <c r="C50" s="980">
        <f t="shared" si="68"/>
        <v>0.31021377672209027</v>
      </c>
      <c r="D50" s="980">
        <f t="shared" si="68"/>
        <v>0.3548695098663272</v>
      </c>
      <c r="E50" s="980">
        <f t="shared" si="68"/>
        <v>0.3324712643678161</v>
      </c>
      <c r="F50" s="980">
        <f t="shared" si="68"/>
        <v>0.26473501733531452</v>
      </c>
      <c r="G50" s="980">
        <f t="shared" si="68"/>
        <v>0.30959024820091058</v>
      </c>
      <c r="H50" s="981">
        <f t="shared" si="68"/>
        <v>0.40272520817562452</v>
      </c>
      <c r="I50" s="981">
        <f t="shared" si="68"/>
        <v>0.52851624630765737</v>
      </c>
      <c r="J50" s="981">
        <f t="shared" si="68"/>
        <v>0.34752724224643755</v>
      </c>
      <c r="K50" s="981">
        <f t="shared" si="68"/>
        <v>0.33602715370939068</v>
      </c>
      <c r="L50" s="981">
        <f t="shared" si="68"/>
        <v>0.39231705197288369</v>
      </c>
      <c r="M50" s="981">
        <f t="shared" si="68"/>
        <v>0.44497020679985982</v>
      </c>
      <c r="N50" s="980">
        <f t="shared" si="68"/>
        <v>0.31062209056284384</v>
      </c>
      <c r="O50" s="980">
        <f t="shared" si="68"/>
        <v>0.33515535097813581</v>
      </c>
      <c r="P50" s="980">
        <f t="shared" si="68"/>
        <v>0.38636363636363635</v>
      </c>
      <c r="Q50" s="980">
        <f t="shared" si="68"/>
        <v>0.58836944127708091</v>
      </c>
      <c r="R50" s="980">
        <f t="shared" si="68"/>
        <v>0.30150827353931764</v>
      </c>
      <c r="S50" s="980">
        <f t="shared" si="68"/>
        <v>0.59074733096085408</v>
      </c>
      <c r="T50" s="980">
        <f t="shared" si="68"/>
        <v>0.37002128306476134</v>
      </c>
      <c r="U50" s="980">
        <f t="shared" si="68"/>
        <v>0.43691148775894539</v>
      </c>
      <c r="V50" s="980">
        <f t="shared" si="68"/>
        <v>0.32044531367534224</v>
      </c>
      <c r="W50" s="980">
        <f t="shared" si="68"/>
        <v>0.33558590941768512</v>
      </c>
      <c r="X50" s="980">
        <f t="shared" si="68"/>
        <v>0.42038429406850458</v>
      </c>
      <c r="Y50" s="980">
        <f t="shared" si="68"/>
        <v>1.7503562945368172</v>
      </c>
      <c r="Z50" s="980">
        <f t="shared" si="68"/>
        <v>0.53686934023285904</v>
      </c>
      <c r="AA50" s="980">
        <f t="shared" si="68"/>
        <v>0.43128425998433828</v>
      </c>
      <c r="AB50" s="980">
        <f t="shared" si="68"/>
        <v>0.45311341734618238</v>
      </c>
      <c r="AC50" s="980">
        <f t="shared" ref="AC50:AF50" si="69">AC20/AC$13</f>
        <v>0.893070835745995</v>
      </c>
      <c r="AD50" s="980">
        <f t="shared" si="69"/>
        <v>0.38904951210697508</v>
      </c>
      <c r="AE50" s="980">
        <f t="shared" si="69"/>
        <v>0.38405379442843418</v>
      </c>
      <c r="AF50" s="980">
        <f t="shared" si="69"/>
        <v>0.42015285599356395</v>
      </c>
      <c r="AG50" s="982"/>
      <c r="AH50" s="982"/>
      <c r="AI50" s="982"/>
      <c r="AJ50" s="982"/>
      <c r="AK50" s="982"/>
      <c r="AL50" s="982"/>
      <c r="AM50" s="982"/>
      <c r="AN50" s="982"/>
      <c r="AO50" s="982"/>
      <c r="AP50" s="982"/>
      <c r="AQ50" s="982"/>
      <c r="AR50" s="982"/>
      <c r="AS50" s="982"/>
      <c r="AT50" s="982"/>
      <c r="AU50" s="982"/>
      <c r="AV50" s="982"/>
      <c r="AW50" s="982"/>
    </row>
    <row r="51" spans="1:49" s="983" customFormat="1" hidden="1" outlineLevel="1">
      <c r="A51" s="983" t="s">
        <v>12</v>
      </c>
      <c r="B51" s="984">
        <f t="shared" ref="B51:AB51" si="70">B21/B$13</f>
        <v>0.67816091954022983</v>
      </c>
      <c r="C51" s="984">
        <f t="shared" si="70"/>
        <v>0.78313539192399051</v>
      </c>
      <c r="D51" s="984">
        <f t="shared" si="70"/>
        <v>0.88430935709739023</v>
      </c>
      <c r="E51" s="984">
        <f t="shared" si="70"/>
        <v>0.81551724137931036</v>
      </c>
      <c r="F51" s="984">
        <f t="shared" si="70"/>
        <v>0.75730559683011389</v>
      </c>
      <c r="G51" s="984">
        <f t="shared" si="70"/>
        <v>0.75591129387575273</v>
      </c>
      <c r="H51" s="985">
        <f t="shared" si="70"/>
        <v>0.85798637395912192</v>
      </c>
      <c r="I51" s="985">
        <f t="shared" si="70"/>
        <v>1.2049534196773461</v>
      </c>
      <c r="J51" s="985">
        <f t="shared" si="70"/>
        <v>0.96127409891031013</v>
      </c>
      <c r="K51" s="985">
        <f t="shared" si="70"/>
        <v>0.81364150638435428</v>
      </c>
      <c r="L51" s="985">
        <f t="shared" si="70"/>
        <v>0.92038936207196242</v>
      </c>
      <c r="M51" s="985">
        <f t="shared" si="70"/>
        <v>0.90921836663161582</v>
      </c>
      <c r="N51" s="984">
        <f t="shared" si="70"/>
        <v>0.73254337706305539</v>
      </c>
      <c r="O51" s="984">
        <f t="shared" si="70"/>
        <v>0.75604142692750287</v>
      </c>
      <c r="P51" s="984">
        <f t="shared" si="70"/>
        <v>0.83245243128964064</v>
      </c>
      <c r="Q51" s="984">
        <f t="shared" si="70"/>
        <v>1.0456100342075256</v>
      </c>
      <c r="R51" s="984">
        <f t="shared" si="70"/>
        <v>0.73978620588665989</v>
      </c>
      <c r="S51" s="984">
        <f t="shared" si="70"/>
        <v>1.0507504254989943</v>
      </c>
      <c r="T51" s="984">
        <f t="shared" si="70"/>
        <v>0.7876254180602007</v>
      </c>
      <c r="U51" s="984">
        <f t="shared" si="70"/>
        <v>0.84824231010671691</v>
      </c>
      <c r="V51" s="984">
        <f t="shared" si="70"/>
        <v>0.76816608996539792</v>
      </c>
      <c r="W51" s="984">
        <f t="shared" si="70"/>
        <v>0.75456506110711719</v>
      </c>
      <c r="X51" s="984">
        <f t="shared" si="70"/>
        <v>0.83926482873851294</v>
      </c>
      <c r="Y51" s="984">
        <f t="shared" si="70"/>
        <v>2.4983372921615201</v>
      </c>
      <c r="Z51" s="984">
        <f t="shared" si="70"/>
        <v>1.0720137990513152</v>
      </c>
      <c r="AA51" s="984">
        <f t="shared" si="70"/>
        <v>0.96652310101801098</v>
      </c>
      <c r="AB51" s="984">
        <f t="shared" si="70"/>
        <v>0.94866567828020754</v>
      </c>
      <c r="AC51" s="984">
        <f t="shared" ref="AC51:AF51" si="71">AC21/AC$13</f>
        <v>1.4107315190117737</v>
      </c>
      <c r="AD51" s="984">
        <f t="shared" si="71"/>
        <v>0.86935308998915795</v>
      </c>
      <c r="AE51" s="984">
        <f t="shared" si="71"/>
        <v>0.8724303554274736</v>
      </c>
      <c r="AF51" s="984">
        <f t="shared" si="71"/>
        <v>0.91311343523732902</v>
      </c>
      <c r="AG51" s="986">
        <f t="shared" ref="AG51:AS51" si="72">AG21/AG$13</f>
        <v>0.88752039501614066</v>
      </c>
      <c r="AH51" s="986">
        <f t="shared" si="72"/>
        <v>0.88251837586684834</v>
      </c>
      <c r="AI51" s="986">
        <f t="shared" si="72"/>
        <v>0.8471307211040231</v>
      </c>
      <c r="AJ51" s="986">
        <f t="shared" si="72"/>
        <v>0.80993921355696774</v>
      </c>
      <c r="AK51" s="986">
        <f t="shared" si="72"/>
        <v>0.78657759060336707</v>
      </c>
      <c r="AL51" s="986">
        <f t="shared" si="72"/>
        <v>0.78419471394661566</v>
      </c>
      <c r="AM51" s="986">
        <f t="shared" si="72"/>
        <v>0.77768591406961607</v>
      </c>
      <c r="AN51" s="986">
        <f t="shared" si="72"/>
        <v>0.77011360424818576</v>
      </c>
      <c r="AO51" s="986">
        <f t="shared" si="72"/>
        <v>0.75215641109314324</v>
      </c>
      <c r="AP51" s="986">
        <f t="shared" si="72"/>
        <v>0.75016905736119222</v>
      </c>
      <c r="AQ51" s="986">
        <f t="shared" si="72"/>
        <v>0.74441982870971191</v>
      </c>
      <c r="AR51" s="986">
        <f t="shared" si="72"/>
        <v>0.74445797701479133</v>
      </c>
      <c r="AS51" s="986">
        <f t="shared" si="72"/>
        <v>0.73837492485112821</v>
      </c>
      <c r="AT51" s="986">
        <f t="shared" ref="AT51:AW51" si="73">AT21/AT$13</f>
        <v>0.73686218145937665</v>
      </c>
      <c r="AU51" s="986">
        <f t="shared" si="73"/>
        <v>0.73129277018428207</v>
      </c>
      <c r="AV51" s="986">
        <f t="shared" si="73"/>
        <v>0.7315615772319487</v>
      </c>
      <c r="AW51" s="986">
        <f t="shared" si="73"/>
        <v>0.72547012453468118</v>
      </c>
    </row>
    <row r="52" spans="1:49" s="987" customFormat="1" hidden="1" outlineLevel="1">
      <c r="A52" s="987" t="s">
        <v>159</v>
      </c>
      <c r="B52" s="988">
        <f t="shared" ref="B52:AB52" si="74">B22/B$13</f>
        <v>7.5679156292850113E-5</v>
      </c>
      <c r="C52" s="988">
        <f t="shared" si="74"/>
        <v>9.3008953910212648E-5</v>
      </c>
      <c r="D52" s="988">
        <f t="shared" si="74"/>
        <v>1.40723958799712E-4</v>
      </c>
      <c r="E52" s="988">
        <f t="shared" si="74"/>
        <v>1.1717201743955609E-4</v>
      </c>
      <c r="F52" s="988">
        <f t="shared" si="74"/>
        <v>9.3772362163213708E-5</v>
      </c>
      <c r="G52" s="988">
        <f t="shared" si="74"/>
        <v>1.1101649197764029E-4</v>
      </c>
      <c r="H52" s="988">
        <f t="shared" si="74"/>
        <v>1.2989952671599121E-4</v>
      </c>
      <c r="I52" s="988">
        <f t="shared" si="74"/>
        <v>2.7379082473922883E-4</v>
      </c>
      <c r="J52" s="988">
        <f t="shared" si="74"/>
        <v>1.6115240551723556E-4</v>
      </c>
      <c r="K52" s="988">
        <f t="shared" si="74"/>
        <v>1.3150824412224896E-4</v>
      </c>
      <c r="L52" s="988">
        <f t="shared" si="74"/>
        <v>1.5998424510202719E-4</v>
      </c>
      <c r="M52" s="988">
        <f t="shared" si="74"/>
        <v>1.5934426334237922E-4</v>
      </c>
      <c r="N52" s="988">
        <f t="shared" si="74"/>
        <v>1.0333522035026878E-4</v>
      </c>
      <c r="O52" s="988">
        <f t="shared" si="74"/>
        <v>1.0875164368922653E-4</v>
      </c>
      <c r="P52" s="988">
        <f t="shared" si="74"/>
        <v>1.4666180960000715E-4</v>
      </c>
      <c r="Q52" s="988">
        <f t="shared" si="74"/>
        <v>1.7032253367120471E-4</v>
      </c>
      <c r="R52" s="988">
        <f t="shared" si="74"/>
        <v>1.0833009311563332E-4</v>
      </c>
      <c r="S52" s="988">
        <f t="shared" si="74"/>
        <v>1.6257936337598551E-4</v>
      </c>
      <c r="T52" s="988">
        <f t="shared" si="74"/>
        <v>1.1973630557315304E-4</v>
      </c>
      <c r="U52" s="988">
        <f t="shared" si="74"/>
        <v>1.331202621008658E-4</v>
      </c>
      <c r="V52" s="988">
        <f t="shared" si="74"/>
        <v>1.1556583270127846E-4</v>
      </c>
      <c r="W52" s="988">
        <f t="shared" si="74"/>
        <v>1.0849246025982993E-4</v>
      </c>
      <c r="X52" s="988">
        <f t="shared" si="74"/>
        <v>1.4022804156031961E-4</v>
      </c>
      <c r="Y52" s="988">
        <f t="shared" si="74"/>
        <v>5.934292855490547E-4</v>
      </c>
      <c r="Z52" s="988">
        <f t="shared" si="74"/>
        <v>2.3113708474586356E-4</v>
      </c>
      <c r="AA52" s="988">
        <f t="shared" si="74"/>
        <v>1.8921752173414467E-4</v>
      </c>
      <c r="AB52" s="988">
        <f t="shared" si="74"/>
        <v>1.7580905824318154E-4</v>
      </c>
      <c r="AC52" s="988">
        <f t="shared" ref="AC52:AF52" si="75">AC22/AC$13</f>
        <v>2.722894265608519E-4</v>
      </c>
      <c r="AD52" s="988">
        <f t="shared" si="75"/>
        <v>1.5709307733812033E-4</v>
      </c>
      <c r="AE52" s="988">
        <f t="shared" si="75"/>
        <v>1.6761390113880376E-4</v>
      </c>
      <c r="AF52" s="988">
        <f t="shared" si="75"/>
        <v>1.8365113339447486E-4</v>
      </c>
      <c r="AG52" s="989">
        <f t="shared" ref="AG52:AS52" si="76">AG22/AG$13</f>
        <v>1.6286566480963824E-4</v>
      </c>
      <c r="AH52" s="989">
        <f t="shared" si="76"/>
        <v>1.643593153972844E-4</v>
      </c>
      <c r="AI52" s="989">
        <f t="shared" si="76"/>
        <v>1.5305292961706601E-4</v>
      </c>
      <c r="AJ52" s="989">
        <f t="shared" si="76"/>
        <v>1.475504744261115E-4</v>
      </c>
      <c r="AK52" s="989">
        <f t="shared" si="76"/>
        <v>1.3808580303805267E-4</v>
      </c>
      <c r="AL52" s="989">
        <f t="shared" si="76"/>
        <v>1.3822570313284691E-4</v>
      </c>
      <c r="AM52" s="989">
        <f t="shared" si="76"/>
        <v>1.3343189828533979E-4</v>
      </c>
      <c r="AN52" s="989">
        <f t="shared" si="76"/>
        <v>1.3569389043720589E-4</v>
      </c>
      <c r="AO52" s="989">
        <f t="shared" si="76"/>
        <v>1.2783676366716649E-4</v>
      </c>
      <c r="AP52" s="989">
        <f t="shared" si="76"/>
        <v>1.2791033008075777E-4</v>
      </c>
      <c r="AQ52" s="989">
        <f t="shared" si="76"/>
        <v>1.2343501285188877E-4</v>
      </c>
      <c r="AR52" s="989">
        <f t="shared" si="76"/>
        <v>1.2717534417100248E-4</v>
      </c>
      <c r="AS52" s="989">
        <f t="shared" si="76"/>
        <v>1.221834533790634E-4</v>
      </c>
      <c r="AT52" s="989">
        <f t="shared" ref="AT52:AW52" si="77">AT22/AT$13</f>
        <v>1.2222225259151569E-4</v>
      </c>
      <c r="AU52" s="989">
        <f t="shared" si="77"/>
        <v>1.1782267600560181E-4</v>
      </c>
      <c r="AV52" s="989">
        <f t="shared" si="77"/>
        <v>1.2139095963677463E-4</v>
      </c>
      <c r="AW52" s="989">
        <f t="shared" si="77"/>
        <v>1.164664093991915E-4</v>
      </c>
    </row>
    <row r="53" spans="1:49" s="983" customFormat="1" hidden="1" outlineLevel="1">
      <c r="A53" s="983" t="s">
        <v>854</v>
      </c>
      <c r="B53" s="984">
        <f t="shared" ref="B53:AB53" si="78">B23/B$13</f>
        <v>0.32741881486441243</v>
      </c>
      <c r="C53" s="984">
        <f t="shared" si="78"/>
        <v>0.2144893111638955</v>
      </c>
      <c r="D53" s="984">
        <f t="shared" si="78"/>
        <v>0.11982813494589434</v>
      </c>
      <c r="E53" s="984">
        <f t="shared" si="78"/>
        <v>0.18778735632183907</v>
      </c>
      <c r="F53" s="984">
        <f t="shared" si="78"/>
        <v>0.24356116889549281</v>
      </c>
      <c r="G53" s="984">
        <f t="shared" si="78"/>
        <v>0.2421794683507123</v>
      </c>
      <c r="H53" s="985">
        <f t="shared" si="78"/>
        <v>0.12929598788796368</v>
      </c>
      <c r="I53" s="985">
        <f t="shared" si="78"/>
        <v>-0.22699386503067484</v>
      </c>
      <c r="J53" s="985">
        <f t="shared" si="78"/>
        <v>3.3025984911986592E-2</v>
      </c>
      <c r="K53" s="985">
        <f t="shared" si="78"/>
        <v>0.18231776305155972</v>
      </c>
      <c r="L53" s="985">
        <f t="shared" si="78"/>
        <v>7.2483921432296192E-2</v>
      </c>
      <c r="M53" s="985">
        <f t="shared" si="78"/>
        <v>7.8513845075359273E-2</v>
      </c>
      <c r="N53" s="984">
        <f t="shared" si="78"/>
        <v>0.26435322330370997</v>
      </c>
      <c r="O53" s="984">
        <f t="shared" si="78"/>
        <v>0.23662255466052934</v>
      </c>
      <c r="P53" s="984">
        <f t="shared" si="78"/>
        <v>0.16032417195207893</v>
      </c>
      <c r="Q53" s="984">
        <f t="shared" si="78"/>
        <v>-5.4243362111093013E-2</v>
      </c>
      <c r="R53" s="984">
        <f t="shared" si="78"/>
        <v>0.25523502709034995</v>
      </c>
      <c r="S53" s="984">
        <f t="shared" si="78"/>
        <v>-5.3535509825158596E-2</v>
      </c>
      <c r="T53" s="984">
        <f t="shared" si="78"/>
        <v>0.2034052903618121</v>
      </c>
      <c r="U53" s="984">
        <f t="shared" si="78"/>
        <v>0.13998744507219082</v>
      </c>
      <c r="V53" s="984">
        <f t="shared" si="78"/>
        <v>0.22732059575748459</v>
      </c>
      <c r="W53" s="984">
        <f t="shared" si="78"/>
        <v>0.2381020848310568</v>
      </c>
      <c r="X53" s="984">
        <f t="shared" si="78"/>
        <v>0.14235588972431076</v>
      </c>
      <c r="Y53" s="984">
        <f t="shared" si="78"/>
        <v>-1.5299287410926365</v>
      </c>
      <c r="Z53" s="984">
        <f t="shared" si="78"/>
        <v>-0.10435532557136697</v>
      </c>
      <c r="AA53" s="984">
        <f t="shared" si="78"/>
        <v>3.8958496476115899E-2</v>
      </c>
      <c r="AB53" s="984">
        <f t="shared" si="78"/>
        <v>4.1141586360266866E-2</v>
      </c>
      <c r="AC53" s="984">
        <f t="shared" ref="AC53:AF53" si="79">AC23/AC$13</f>
        <v>-0.42520748890175641</v>
      </c>
      <c r="AD53" s="984">
        <f t="shared" si="79"/>
        <v>0.12106975063245393</v>
      </c>
      <c r="AE53" s="984">
        <f t="shared" si="79"/>
        <v>0.11181556195965418</v>
      </c>
      <c r="AF53" s="984">
        <f t="shared" si="79"/>
        <v>8.0450522928399035E-2</v>
      </c>
      <c r="AG53" s="986">
        <f t="shared" ref="AG53:AS53" si="80">AG23/AG$13</f>
        <v>0.10327824918355706</v>
      </c>
      <c r="AH53" s="986">
        <f t="shared" si="80"/>
        <v>0.10814325157192708</v>
      </c>
      <c r="AI53" s="986">
        <f t="shared" si="80"/>
        <v>0.1438100372299724</v>
      </c>
      <c r="AJ53" s="986">
        <f t="shared" si="80"/>
        <v>0.18092620159659337</v>
      </c>
      <c r="AK53" s="986">
        <f t="shared" si="80"/>
        <v>0.20461986770944665</v>
      </c>
      <c r="AL53" s="986">
        <f t="shared" si="80"/>
        <v>0.20696705141310479</v>
      </c>
      <c r="AM53" s="986">
        <f t="shared" si="80"/>
        <v>0.21371096432582906</v>
      </c>
      <c r="AN53" s="986">
        <f t="shared" si="80"/>
        <v>0.22105140440150906</v>
      </c>
      <c r="AO53" s="986">
        <f t="shared" si="80"/>
        <v>0.23932145731963281</v>
      </c>
      <c r="AP53" s="986">
        <f t="shared" si="80"/>
        <v>0.24128131691778071</v>
      </c>
      <c r="AQ53" s="986">
        <f t="shared" si="80"/>
        <v>0.24726595987199015</v>
      </c>
      <c r="AR53" s="986">
        <f t="shared" si="80"/>
        <v>0.24697631304842935</v>
      </c>
      <c r="AS53" s="986">
        <f t="shared" si="80"/>
        <v>0.25332778865340727</v>
      </c>
      <c r="AT53" s="986">
        <f t="shared" ref="AT53:AW53" si="81">AT23/AT$13</f>
        <v>0.25482085790363063</v>
      </c>
      <c r="AU53" s="986">
        <f t="shared" si="81"/>
        <v>0.2606285902485504</v>
      </c>
      <c r="AV53" s="986">
        <f t="shared" si="81"/>
        <v>0.26011817830150175</v>
      </c>
      <c r="AW53" s="986">
        <f t="shared" si="81"/>
        <v>0.26648013674988658</v>
      </c>
    </row>
    <row r="54" spans="1:49" s="990" customFormat="1" hidden="1" outlineLevel="1">
      <c r="A54" s="990" t="s">
        <v>158</v>
      </c>
      <c r="B54" s="991">
        <f t="shared" ref="B54:AB54" si="82">B24/B$13</f>
        <v>3.1911364454634779E-5</v>
      </c>
      <c r="C54" s="991">
        <f t="shared" si="82"/>
        <v>1.2297356660169452E-5</v>
      </c>
      <c r="D54" s="991">
        <f t="shared" si="82"/>
        <v>2.4726048067437444E-5</v>
      </c>
      <c r="E54" s="991">
        <f t="shared" si="82"/>
        <v>4.452154183046197E-5</v>
      </c>
      <c r="F54" s="991">
        <f t="shared" si="82"/>
        <v>2.9146091288831344E-5</v>
      </c>
      <c r="G54" s="991">
        <f t="shared" si="82"/>
        <v>2.4136000215888062E-5</v>
      </c>
      <c r="H54" s="991">
        <f t="shared" si="82"/>
        <v>5.8149120583193131E-5</v>
      </c>
      <c r="I54" s="991">
        <f t="shared" si="82"/>
        <v>9.2344105068485889E-5</v>
      </c>
      <c r="J54" s="991">
        <f t="shared" si="82"/>
        <v>-1.7019755681407194E-5</v>
      </c>
      <c r="K54" s="991">
        <f t="shared" si="82"/>
        <v>4.3559648634118436E-5</v>
      </c>
      <c r="L54" s="991">
        <f t="shared" si="82"/>
        <v>4.0016656933448548E-5</v>
      </c>
      <c r="M54" s="991">
        <f t="shared" si="82"/>
        <v>3.3251339442191176E-5</v>
      </c>
      <c r="N54" s="991">
        <f t="shared" si="82"/>
        <v>3.7561764261765298E-5</v>
      </c>
      <c r="O54" s="991">
        <f t="shared" si="82"/>
        <v>4.1273028076152239E-5</v>
      </c>
      <c r="P54" s="991">
        <f t="shared" si="82"/>
        <v>7.1246582874489846E-5</v>
      </c>
      <c r="Q54" s="991">
        <f t="shared" si="82"/>
        <v>3.0817590680760577E-5</v>
      </c>
      <c r="R54" s="991">
        <f t="shared" si="82"/>
        <v>4.5618954700882053E-5</v>
      </c>
      <c r="S54" s="991">
        <f t="shared" si="82"/>
        <v>-1.3728659090116348E-4</v>
      </c>
      <c r="T54" s="991">
        <f t="shared" si="82"/>
        <v>4.1584463499066737E-5</v>
      </c>
      <c r="U54" s="991">
        <f t="shared" si="82"/>
        <v>3.3252261153758455E-5</v>
      </c>
      <c r="V54" s="991">
        <f t="shared" si="82"/>
        <v>4.749285043426088E-5</v>
      </c>
      <c r="W54" s="991">
        <f t="shared" si="82"/>
        <v>5.1226483571058942E-5</v>
      </c>
      <c r="X54" s="991">
        <f t="shared" si="82"/>
        <v>1.6276999227332809E-5</v>
      </c>
      <c r="Y54" s="991">
        <f t="shared" si="82"/>
        <v>2.3122359321463856E-5</v>
      </c>
      <c r="Z54" s="991">
        <f t="shared" si="82"/>
        <v>7.974012737037551E-5</v>
      </c>
      <c r="AA54" s="991">
        <f t="shared" si="82"/>
        <v>2.0659287038166558E-5</v>
      </c>
      <c r="AB54" s="991">
        <f t="shared" si="82"/>
        <v>1.5443538423523599E-4</v>
      </c>
      <c r="AC54" s="991">
        <f t="shared" ref="AC54:AF54" si="83">AC24/AC$13</f>
        <v>-3.6272062547754927E-5</v>
      </c>
      <c r="AD54" s="991">
        <f t="shared" si="83"/>
        <v>2.1036846846360895E-5</v>
      </c>
      <c r="AE54" s="991">
        <f t="shared" si="83"/>
        <v>9.1109856700040604E-5</v>
      </c>
      <c r="AF54" s="991">
        <f t="shared" si="83"/>
        <v>7.6930812550281573E-5</v>
      </c>
      <c r="AG54" s="992">
        <f t="shared" ref="AG54:AS54" si="84">AG24/AG$13</f>
        <v>4.5876597801078224E-5</v>
      </c>
      <c r="AH54" s="992">
        <f t="shared" si="84"/>
        <v>4.6559743086324819E-5</v>
      </c>
      <c r="AI54" s="992">
        <f t="shared" si="84"/>
        <v>4.5168037766827702E-5</v>
      </c>
      <c r="AJ54" s="992">
        <f t="shared" si="84"/>
        <v>4.5543687710254758E-5</v>
      </c>
      <c r="AK54" s="992">
        <f t="shared" si="84"/>
        <v>4.3888169675711826E-5</v>
      </c>
      <c r="AL54" s="992">
        <f t="shared" si="84"/>
        <v>4.4066129455654775E-5</v>
      </c>
      <c r="AM54" s="992">
        <f t="shared" si="84"/>
        <v>4.2893890666957414E-5</v>
      </c>
      <c r="AN54" s="992">
        <f t="shared" si="84"/>
        <v>4.4049958891998618E-5</v>
      </c>
      <c r="AO54" s="992">
        <f t="shared" si="84"/>
        <v>4.249008643075165E-5</v>
      </c>
      <c r="AP54" s="992">
        <f t="shared" si="84"/>
        <v>4.262716811151122E-5</v>
      </c>
      <c r="AQ54" s="992">
        <f t="shared" si="84"/>
        <v>4.1453427250129885E-5</v>
      </c>
      <c r="AR54" s="992">
        <f t="shared" si="84"/>
        <v>4.2707361630056015E-5</v>
      </c>
      <c r="AS54" s="992">
        <f t="shared" si="84"/>
        <v>4.1369042090540298E-5</v>
      </c>
      <c r="AT54" s="992">
        <f t="shared" ref="AT54:AW54" si="85">AT24/AT$13</f>
        <v>4.1467134447533674E-5</v>
      </c>
      <c r="AU54" s="992">
        <f t="shared" si="85"/>
        <v>4.0278900875743337E-5</v>
      </c>
      <c r="AV54" s="992">
        <f t="shared" si="85"/>
        <v>4.1483507135547128E-5</v>
      </c>
      <c r="AW54" s="992">
        <f t="shared" si="85"/>
        <v>4.0134805507633216E-5</v>
      </c>
    </row>
    <row r="55" spans="1:49" s="966" customFormat="1" hidden="1" outlineLevel="1">
      <c r="A55" s="966" t="s">
        <v>13</v>
      </c>
      <c r="B55" s="980">
        <f t="shared" ref="B55:AB55" si="86">B25/B$13</f>
        <v>9.3627943309898445E-2</v>
      </c>
      <c r="C55" s="980">
        <f t="shared" si="86"/>
        <v>2.2209026128266033E-2</v>
      </c>
      <c r="D55" s="980">
        <f t="shared" si="86"/>
        <v>1.8618714194780395E-2</v>
      </c>
      <c r="E55" s="980">
        <f t="shared" si="86"/>
        <v>5.8189655172413791E-2</v>
      </c>
      <c r="F55" s="980">
        <f t="shared" si="86"/>
        <v>5.7330361565131251E-2</v>
      </c>
      <c r="G55" s="980">
        <f t="shared" si="86"/>
        <v>3.9800264355999412E-2</v>
      </c>
      <c r="H55" s="981">
        <f t="shared" si="86"/>
        <v>4.9659348978046934E-2</v>
      </c>
      <c r="I55" s="981">
        <f t="shared" si="86"/>
        <v>-9.2251760963417404E-2</v>
      </c>
      <c r="J55" s="981">
        <f t="shared" si="86"/>
        <v>-3.3528918692372171E-3</v>
      </c>
      <c r="K55" s="981">
        <f t="shared" si="86"/>
        <v>4.91352836592856E-2</v>
      </c>
      <c r="L55" s="981">
        <f t="shared" si="86"/>
        <v>1.6686945941248043E-2</v>
      </c>
      <c r="M55" s="981">
        <f t="shared" si="86"/>
        <v>1.4896600070101648E-2</v>
      </c>
      <c r="N55" s="980">
        <f t="shared" si="86"/>
        <v>7.0390746226548173E-2</v>
      </c>
      <c r="O55" s="980">
        <f t="shared" si="86"/>
        <v>6.789413118527042E-2</v>
      </c>
      <c r="P55" s="980">
        <f t="shared" si="86"/>
        <v>6.4834390415785759E-2</v>
      </c>
      <c r="Q55" s="980">
        <f t="shared" si="86"/>
        <v>-1.0262257696693273E-2</v>
      </c>
      <c r="R55" s="980">
        <f t="shared" si="86"/>
        <v>7.951383804363743E-2</v>
      </c>
      <c r="S55" s="980">
        <f t="shared" si="86"/>
        <v>4.7501160451802568E-2</v>
      </c>
      <c r="T55" s="980">
        <f t="shared" si="86"/>
        <v>5.5640012161751295E-2</v>
      </c>
      <c r="U55" s="980">
        <f t="shared" si="86"/>
        <v>2.9661016949152543E-2</v>
      </c>
      <c r="V55" s="980">
        <f t="shared" si="86"/>
        <v>7.176169700616819E-2</v>
      </c>
      <c r="W55" s="980">
        <f t="shared" si="86"/>
        <v>8.4831056793673615E-2</v>
      </c>
      <c r="X55" s="980">
        <f t="shared" si="86"/>
        <v>1.3868003341687552E-2</v>
      </c>
      <c r="Y55" s="980">
        <f t="shared" si="86"/>
        <v>-0.1489311163895487</v>
      </c>
      <c r="Z55" s="980">
        <f t="shared" si="86"/>
        <v>-3.8594221647261749E-2</v>
      </c>
      <c r="AA55" s="980">
        <f t="shared" si="86"/>
        <v>4.1111981205951449E-3</v>
      </c>
      <c r="AB55" s="980">
        <f t="shared" si="86"/>
        <v>3.4284655300222386E-2</v>
      </c>
      <c r="AC55" s="980">
        <f t="shared" ref="AC55:AF55" si="87">AC25/AC$13</f>
        <v>7.9907353792704111E-2</v>
      </c>
      <c r="AD55" s="980">
        <f t="shared" si="87"/>
        <v>1.4094687387061799E-2</v>
      </c>
      <c r="AE55" s="980">
        <f t="shared" si="87"/>
        <v>5.3025936599423631E-2</v>
      </c>
      <c r="AF55" s="980">
        <f t="shared" si="87"/>
        <v>3.077232502011263E-2</v>
      </c>
      <c r="AG55" s="982">
        <f t="shared" ref="AG55:AS55" si="88">AG25/AG$13</f>
        <v>2.5819562295889265E-2</v>
      </c>
      <c r="AH55" s="982">
        <f t="shared" si="88"/>
        <v>2.7035812892981771E-2</v>
      </c>
      <c r="AI55" s="982">
        <f t="shared" si="88"/>
        <v>3.5952509307493101E-2</v>
      </c>
      <c r="AJ55" s="982">
        <f t="shared" si="88"/>
        <v>4.5231550399148342E-2</v>
      </c>
      <c r="AK55" s="982">
        <f t="shared" si="88"/>
        <v>5.1154966927361663E-2</v>
      </c>
      <c r="AL55" s="982">
        <f t="shared" si="88"/>
        <v>5.1741762853276196E-2</v>
      </c>
      <c r="AM55" s="982">
        <f t="shared" si="88"/>
        <v>5.3427741081457265E-2</v>
      </c>
      <c r="AN55" s="982">
        <f t="shared" si="88"/>
        <v>5.5262851100377264E-2</v>
      </c>
      <c r="AO55" s="982">
        <f t="shared" si="88"/>
        <v>5.9830364329908202E-2</v>
      </c>
      <c r="AP55" s="982">
        <f t="shared" si="88"/>
        <v>6.0320329229445177E-2</v>
      </c>
      <c r="AQ55" s="982">
        <f t="shared" si="88"/>
        <v>6.1816489967997539E-2</v>
      </c>
      <c r="AR55" s="982">
        <f t="shared" si="88"/>
        <v>6.1744078262107337E-2</v>
      </c>
      <c r="AS55" s="982">
        <f t="shared" si="88"/>
        <v>6.3331947163351818E-2</v>
      </c>
      <c r="AT55" s="982">
        <f t="shared" ref="AT55:AW55" si="89">AT25/AT$13</f>
        <v>6.3705214475907657E-2</v>
      </c>
      <c r="AU55" s="982">
        <f t="shared" si="89"/>
        <v>6.5157147562137599E-2</v>
      </c>
      <c r="AV55" s="982">
        <f t="shared" si="89"/>
        <v>6.5029544575375436E-2</v>
      </c>
      <c r="AW55" s="982">
        <f t="shared" si="89"/>
        <v>6.6620034187471644E-2</v>
      </c>
    </row>
    <row r="56" spans="1:49" s="983" customFormat="1" hidden="1" outlineLevel="1">
      <c r="A56" s="983" t="s">
        <v>853</v>
      </c>
      <c r="B56" s="984">
        <f t="shared" ref="B56:AB56" si="90">B26/B$13</f>
        <v>0.233790871554514</v>
      </c>
      <c r="C56" s="984">
        <f t="shared" si="90"/>
        <v>0.19228028503562947</v>
      </c>
      <c r="D56" s="984">
        <f t="shared" si="90"/>
        <v>0.10120942075111394</v>
      </c>
      <c r="E56" s="984">
        <f t="shared" si="90"/>
        <v>0.12959770114942529</v>
      </c>
      <c r="F56" s="984">
        <f t="shared" si="90"/>
        <v>0.18623080733036157</v>
      </c>
      <c r="G56" s="984">
        <f t="shared" si="90"/>
        <v>0.20237920399471288</v>
      </c>
      <c r="H56" s="985">
        <f t="shared" si="90"/>
        <v>7.9636638909916735E-2</v>
      </c>
      <c r="I56" s="985">
        <f t="shared" si="90"/>
        <v>-0.13474210406725745</v>
      </c>
      <c r="J56" s="985">
        <f t="shared" si="90"/>
        <v>3.6378876781223805E-2</v>
      </c>
      <c r="K56" s="985">
        <f t="shared" si="90"/>
        <v>0.13318247939227412</v>
      </c>
      <c r="L56" s="985">
        <f t="shared" si="90"/>
        <v>5.5796975491048152E-2</v>
      </c>
      <c r="M56" s="985">
        <f t="shared" si="90"/>
        <v>6.361724500525763E-2</v>
      </c>
      <c r="N56" s="984">
        <f t="shared" si="90"/>
        <v>0.1939624770771618</v>
      </c>
      <c r="O56" s="984">
        <f t="shared" si="90"/>
        <v>0.16872842347525893</v>
      </c>
      <c r="P56" s="984">
        <f t="shared" si="90"/>
        <v>9.5489781536293158E-2</v>
      </c>
      <c r="Q56" s="984">
        <f t="shared" si="90"/>
        <v>-4.3981104414399737E-2</v>
      </c>
      <c r="R56" s="984">
        <f t="shared" si="90"/>
        <v>0.17572118904671255</v>
      </c>
      <c r="S56" s="984">
        <f t="shared" si="90"/>
        <v>-0.10103667027696116</v>
      </c>
      <c r="T56" s="984">
        <f t="shared" si="90"/>
        <v>0.1477652782000608</v>
      </c>
      <c r="U56" s="984">
        <f t="shared" si="90"/>
        <v>0.11032642812303829</v>
      </c>
      <c r="V56" s="984">
        <f t="shared" si="90"/>
        <v>0.15555889875131637</v>
      </c>
      <c r="W56" s="984">
        <f t="shared" si="90"/>
        <v>0.15327102803738318</v>
      </c>
      <c r="X56" s="984">
        <f t="shared" si="90"/>
        <v>0.12848788638262323</v>
      </c>
      <c r="Y56" s="984">
        <f t="shared" si="90"/>
        <v>-1.380997624703088</v>
      </c>
      <c r="Z56" s="984">
        <f t="shared" si="90"/>
        <v>-6.5761103924105224E-2</v>
      </c>
      <c r="AA56" s="984">
        <f t="shared" si="90"/>
        <v>3.4847298355520751E-2</v>
      </c>
      <c r="AB56" s="984">
        <f t="shared" si="90"/>
        <v>6.8569310600444773E-3</v>
      </c>
      <c r="AC56" s="984">
        <f t="shared" ref="AC56:AF56" si="91">AC26/AC$13</f>
        <v>-0.5051148426944605</v>
      </c>
      <c r="AD56" s="984">
        <f t="shared" si="91"/>
        <v>0.10697506324539212</v>
      </c>
      <c r="AE56" s="984">
        <f t="shared" si="91"/>
        <v>5.8789625360230545E-2</v>
      </c>
      <c r="AF56" s="984">
        <f t="shared" si="91"/>
        <v>4.9678197908286405E-2</v>
      </c>
      <c r="AG56" s="986">
        <f t="shared" ref="AG56:AS56" si="92">AG26/AG$13</f>
        <v>7.7458686887667785E-2</v>
      </c>
      <c r="AH56" s="986">
        <f t="shared" si="92"/>
        <v>8.1107438678945321E-2</v>
      </c>
      <c r="AI56" s="986">
        <f t="shared" si="92"/>
        <v>0.10785752792247931</v>
      </c>
      <c r="AJ56" s="986">
        <f t="shared" si="92"/>
        <v>0.13569465119744503</v>
      </c>
      <c r="AK56" s="986">
        <f t="shared" si="92"/>
        <v>0.153464900782085</v>
      </c>
      <c r="AL56" s="986">
        <f t="shared" si="92"/>
        <v>0.15522528855982856</v>
      </c>
      <c r="AM56" s="986">
        <f t="shared" si="92"/>
        <v>0.1602832232443718</v>
      </c>
      <c r="AN56" s="986">
        <f t="shared" si="92"/>
        <v>0.16578855330113179</v>
      </c>
      <c r="AO56" s="986">
        <f t="shared" si="92"/>
        <v>0.1794910929897246</v>
      </c>
      <c r="AP56" s="986">
        <f t="shared" si="92"/>
        <v>0.18096098768833552</v>
      </c>
      <c r="AQ56" s="986">
        <f t="shared" si="92"/>
        <v>0.18544946990399261</v>
      </c>
      <c r="AR56" s="986">
        <f t="shared" si="92"/>
        <v>0.185232234786322</v>
      </c>
      <c r="AS56" s="986">
        <f t="shared" si="92"/>
        <v>0.18999584149005547</v>
      </c>
      <c r="AT56" s="986">
        <f t="shared" ref="AT56:AW56" si="93">AT26/AT$13</f>
        <v>0.19111564342772294</v>
      </c>
      <c r="AU56" s="986">
        <f t="shared" si="93"/>
        <v>0.19547144268641281</v>
      </c>
      <c r="AV56" s="986">
        <f t="shared" si="93"/>
        <v>0.19508863372612631</v>
      </c>
      <c r="AW56" s="986">
        <f t="shared" si="93"/>
        <v>0.19986010256241493</v>
      </c>
    </row>
    <row r="57" spans="1:49" s="966" customFormat="1" hidden="1" outlineLevel="1">
      <c r="A57" s="966" t="s">
        <v>15</v>
      </c>
      <c r="B57" s="980">
        <f t="shared" ref="B57:AB57" si="94">B27/B$13</f>
        <v>-2.120299073764089E-3</v>
      </c>
      <c r="C57" s="980">
        <f t="shared" si="94"/>
        <v>0</v>
      </c>
      <c r="D57" s="980">
        <f t="shared" si="94"/>
        <v>0</v>
      </c>
      <c r="E57" s="980">
        <f t="shared" si="94"/>
        <v>0</v>
      </c>
      <c r="F57" s="980">
        <f t="shared" si="94"/>
        <v>-3.714710252600297E-4</v>
      </c>
      <c r="G57" s="980">
        <f t="shared" si="94"/>
        <v>-1.3217799970627112E-3</v>
      </c>
      <c r="H57" s="981">
        <f t="shared" si="94"/>
        <v>-2.1196063588190765E-3</v>
      </c>
      <c r="I57" s="981">
        <f t="shared" si="94"/>
        <v>2.2722108611679165E-4</v>
      </c>
      <c r="J57" s="981">
        <f t="shared" si="94"/>
        <v>-5.0293378038558255E-4</v>
      </c>
      <c r="K57" s="981">
        <f t="shared" si="94"/>
        <v>-6.4651689025375784E-4</v>
      </c>
      <c r="L57" s="981">
        <f t="shared" si="94"/>
        <v>-3.4764470710933428E-4</v>
      </c>
      <c r="M57" s="981">
        <f t="shared" si="94"/>
        <v>-5.432877672625307E-3</v>
      </c>
      <c r="N57" s="980">
        <f t="shared" si="94"/>
        <v>8.4638171815488788E-4</v>
      </c>
      <c r="O57" s="980">
        <f t="shared" si="94"/>
        <v>-1.2945914844649021E-3</v>
      </c>
      <c r="P57" s="980">
        <f t="shared" si="94"/>
        <v>2.6427061310782242E-2</v>
      </c>
      <c r="Q57" s="980">
        <f t="shared" si="94"/>
        <v>-3.2578595862518323E-4</v>
      </c>
      <c r="R57" s="980">
        <f t="shared" si="94"/>
        <v>2.196514863083907E-3</v>
      </c>
      <c r="S57" s="980">
        <f t="shared" si="94"/>
        <v>-1.3925421630821601E-3</v>
      </c>
      <c r="T57" s="980">
        <f t="shared" si="94"/>
        <v>1.6114320462146548E-2</v>
      </c>
      <c r="U57" s="980">
        <f t="shared" si="94"/>
        <v>-1.5693659761456371E-3</v>
      </c>
      <c r="V57" s="980">
        <f t="shared" si="94"/>
        <v>0</v>
      </c>
      <c r="W57" s="980">
        <f t="shared" si="94"/>
        <v>0</v>
      </c>
      <c r="X57" s="980">
        <f t="shared" si="94"/>
        <v>0</v>
      </c>
      <c r="Y57" s="980">
        <f t="shared" si="94"/>
        <v>0</v>
      </c>
      <c r="Z57" s="980">
        <f t="shared" si="94"/>
        <v>0</v>
      </c>
      <c r="AA57" s="980">
        <f t="shared" si="94"/>
        <v>0</v>
      </c>
      <c r="AB57" s="980">
        <f t="shared" si="94"/>
        <v>0</v>
      </c>
      <c r="AC57" s="980">
        <f t="shared" ref="AC57:AF57" si="95">AC27/AC$13</f>
        <v>0</v>
      </c>
      <c r="AD57" s="980">
        <f t="shared" si="95"/>
        <v>0</v>
      </c>
      <c r="AE57" s="980">
        <f t="shared" si="95"/>
        <v>0</v>
      </c>
      <c r="AF57" s="980">
        <f t="shared" si="95"/>
        <v>0</v>
      </c>
      <c r="AG57" s="982">
        <f t="shared" ref="AG57:AS57" si="96">AG27/AG$13</f>
        <v>0</v>
      </c>
      <c r="AH57" s="982">
        <f t="shared" si="96"/>
        <v>0</v>
      </c>
      <c r="AI57" s="982">
        <f t="shared" si="96"/>
        <v>0</v>
      </c>
      <c r="AJ57" s="982">
        <f t="shared" si="96"/>
        <v>0</v>
      </c>
      <c r="AK57" s="982">
        <f t="shared" si="96"/>
        <v>0</v>
      </c>
      <c r="AL57" s="982">
        <f t="shared" si="96"/>
        <v>0</v>
      </c>
      <c r="AM57" s="982">
        <f t="shared" si="96"/>
        <v>0</v>
      </c>
      <c r="AN57" s="982">
        <f t="shared" si="96"/>
        <v>0</v>
      </c>
      <c r="AO57" s="982">
        <f t="shared" si="96"/>
        <v>0</v>
      </c>
      <c r="AP57" s="982">
        <f t="shared" si="96"/>
        <v>0</v>
      </c>
      <c r="AQ57" s="982">
        <f t="shared" si="96"/>
        <v>0</v>
      </c>
      <c r="AR57" s="982">
        <f t="shared" si="96"/>
        <v>0</v>
      </c>
      <c r="AS57" s="982">
        <f t="shared" si="96"/>
        <v>0</v>
      </c>
      <c r="AT57" s="982">
        <f t="shared" ref="AT57:AW57" si="97">AT27/AT$13</f>
        <v>0</v>
      </c>
      <c r="AU57" s="982">
        <f t="shared" si="97"/>
        <v>0</v>
      </c>
      <c r="AV57" s="982">
        <f t="shared" si="97"/>
        <v>0</v>
      </c>
      <c r="AW57" s="982">
        <f t="shared" si="97"/>
        <v>0</v>
      </c>
    </row>
    <row r="58" spans="1:49" s="983" customFormat="1" hidden="1" outlineLevel="1">
      <c r="A58" s="983" t="s">
        <v>16</v>
      </c>
      <c r="B58" s="984">
        <f t="shared" ref="B58:AB58" si="98">B28/B$13</f>
        <v>0.2316705724807499</v>
      </c>
      <c r="C58" s="984">
        <f t="shared" si="98"/>
        <v>0.19228028503562947</v>
      </c>
      <c r="D58" s="984">
        <f t="shared" si="98"/>
        <v>0.10120942075111394</v>
      </c>
      <c r="E58" s="984">
        <f t="shared" si="98"/>
        <v>0.12959770114942529</v>
      </c>
      <c r="F58" s="984">
        <f t="shared" si="98"/>
        <v>0.18585933630510154</v>
      </c>
      <c r="G58" s="984">
        <f t="shared" si="98"/>
        <v>0.20105742399765017</v>
      </c>
      <c r="H58" s="985">
        <f t="shared" si="98"/>
        <v>7.7517032551097653E-2</v>
      </c>
      <c r="I58" s="985">
        <f t="shared" si="98"/>
        <v>-0.13451488298114064</v>
      </c>
      <c r="J58" s="985">
        <f t="shared" si="98"/>
        <v>3.5875943000838226E-2</v>
      </c>
      <c r="K58" s="985">
        <f t="shared" si="98"/>
        <v>0.13253596250202038</v>
      </c>
      <c r="L58" s="985">
        <f t="shared" si="98"/>
        <v>5.5449330783938815E-2</v>
      </c>
      <c r="M58" s="985">
        <f t="shared" si="98"/>
        <v>5.8184367332632318E-2</v>
      </c>
      <c r="N58" s="984">
        <f t="shared" si="98"/>
        <v>0.19480885879531668</v>
      </c>
      <c r="O58" s="984">
        <f t="shared" si="98"/>
        <v>0.16743383199079401</v>
      </c>
      <c r="P58" s="984">
        <f t="shared" si="98"/>
        <v>0.12191684284707541</v>
      </c>
      <c r="Q58" s="984">
        <f t="shared" si="98"/>
        <v>-4.4306890373024925E-2</v>
      </c>
      <c r="R58" s="984">
        <f t="shared" si="98"/>
        <v>0.17791770390979644</v>
      </c>
      <c r="S58" s="984">
        <f t="shared" si="98"/>
        <v>-0.10242921244004333</v>
      </c>
      <c r="T58" s="984">
        <f t="shared" si="98"/>
        <v>0.16387959866220736</v>
      </c>
      <c r="U58" s="984">
        <f t="shared" si="98"/>
        <v>0.10875706214689265</v>
      </c>
      <c r="V58" s="984">
        <f t="shared" si="98"/>
        <v>0.15555889875131637</v>
      </c>
      <c r="W58" s="984">
        <f t="shared" si="98"/>
        <v>0.15327102803738318</v>
      </c>
      <c r="X58" s="984">
        <f t="shared" si="98"/>
        <v>0.12848788638262323</v>
      </c>
      <c r="Y58" s="984">
        <f t="shared" si="98"/>
        <v>-1.380997624703088</v>
      </c>
      <c r="Z58" s="984">
        <f t="shared" si="98"/>
        <v>-6.5761103924105224E-2</v>
      </c>
      <c r="AA58" s="984">
        <f t="shared" si="98"/>
        <v>3.4847298355520751E-2</v>
      </c>
      <c r="AB58" s="984">
        <f t="shared" si="98"/>
        <v>6.8569310600444773E-3</v>
      </c>
      <c r="AC58" s="984">
        <f t="shared" ref="AC58:AF58" si="99">AC28/AC$13</f>
        <v>-0.5051148426944605</v>
      </c>
      <c r="AD58" s="984">
        <f t="shared" si="99"/>
        <v>0.10697506324539212</v>
      </c>
      <c r="AE58" s="984">
        <f t="shared" si="99"/>
        <v>5.8789625360230545E-2</v>
      </c>
      <c r="AF58" s="984">
        <f t="shared" si="99"/>
        <v>4.9678197908286405E-2</v>
      </c>
      <c r="AG58" s="986">
        <f t="shared" ref="AG58:AS58" si="100">AG28/AG$13</f>
        <v>7.7458686887667785E-2</v>
      </c>
      <c r="AH58" s="986">
        <f t="shared" si="100"/>
        <v>8.1107438678945321E-2</v>
      </c>
      <c r="AI58" s="986">
        <f t="shared" si="100"/>
        <v>0.10785752792247931</v>
      </c>
      <c r="AJ58" s="986">
        <f t="shared" si="100"/>
        <v>0.13569465119744503</v>
      </c>
      <c r="AK58" s="986">
        <f t="shared" si="100"/>
        <v>0.153464900782085</v>
      </c>
      <c r="AL58" s="986">
        <f t="shared" si="100"/>
        <v>0.15522528855982856</v>
      </c>
      <c r="AM58" s="986">
        <f t="shared" si="100"/>
        <v>0.1602832232443718</v>
      </c>
      <c r="AN58" s="986">
        <f t="shared" si="100"/>
        <v>0.16578855330113179</v>
      </c>
      <c r="AO58" s="986">
        <f t="shared" si="100"/>
        <v>0.1794910929897246</v>
      </c>
      <c r="AP58" s="986">
        <f t="shared" si="100"/>
        <v>0.18096098768833552</v>
      </c>
      <c r="AQ58" s="986">
        <f t="shared" si="100"/>
        <v>0.18544946990399261</v>
      </c>
      <c r="AR58" s="986">
        <f t="shared" si="100"/>
        <v>0.185232234786322</v>
      </c>
      <c r="AS58" s="986">
        <f t="shared" si="100"/>
        <v>0.18999584149005547</v>
      </c>
      <c r="AT58" s="986">
        <f t="shared" ref="AT58:AW58" si="101">AT28/AT$13</f>
        <v>0.19111564342772294</v>
      </c>
      <c r="AU58" s="986">
        <f t="shared" si="101"/>
        <v>0.19547144268641281</v>
      </c>
      <c r="AV58" s="986">
        <f t="shared" si="101"/>
        <v>0.19508863372612631</v>
      </c>
      <c r="AW58" s="986">
        <f t="shared" si="101"/>
        <v>0.19986010256241493</v>
      </c>
    </row>
    <row r="59" spans="1:49" s="966" customFormat="1" hidden="1" outlineLevel="1">
      <c r="A59" s="966" t="s">
        <v>608</v>
      </c>
      <c r="B59" s="980">
        <f t="shared" ref="B59:AB59" si="102">B29/B$13</f>
        <v>2.3434884499497822E-3</v>
      </c>
      <c r="C59" s="980">
        <f t="shared" si="102"/>
        <v>3.0878859857482186E-3</v>
      </c>
      <c r="D59" s="980">
        <f t="shared" si="102"/>
        <v>4.2966263526416299E-3</v>
      </c>
      <c r="E59" s="980">
        <f t="shared" si="102"/>
        <v>8.7643678160919548E-3</v>
      </c>
      <c r="F59" s="980">
        <f t="shared" si="102"/>
        <v>4.482417038137692E-2</v>
      </c>
      <c r="G59" s="980">
        <f t="shared" si="102"/>
        <v>8.8265530914965487E-2</v>
      </c>
      <c r="H59" s="981">
        <f t="shared" si="102"/>
        <v>-2.5889477668433004E-2</v>
      </c>
      <c r="I59" s="981">
        <f t="shared" si="102"/>
        <v>1.0224948875255624E-2</v>
      </c>
      <c r="J59" s="981">
        <f t="shared" si="102"/>
        <v>2.8499580888516344E-2</v>
      </c>
      <c r="K59" s="981">
        <f t="shared" si="102"/>
        <v>5.1721351220300627E-3</v>
      </c>
      <c r="L59" s="981">
        <f t="shared" si="102"/>
        <v>1.1298452981053364E-2</v>
      </c>
      <c r="M59" s="981">
        <f t="shared" si="102"/>
        <v>1.2092534174553101E-2</v>
      </c>
      <c r="N59" s="980">
        <f t="shared" si="102"/>
        <v>1.1002962336013541E-2</v>
      </c>
      <c r="O59" s="980">
        <f t="shared" si="102"/>
        <v>1.7117376294591483E-2</v>
      </c>
      <c r="P59" s="980">
        <f t="shared" si="102"/>
        <v>4.193093727977449E-2</v>
      </c>
      <c r="Q59" s="980">
        <f t="shared" si="102"/>
        <v>3.3230167779768692E-2</v>
      </c>
      <c r="R59" s="980">
        <f t="shared" si="102"/>
        <v>5.2130619417191389E-2</v>
      </c>
      <c r="S59" s="980">
        <f t="shared" si="102"/>
        <v>5.8796224663468979E-3</v>
      </c>
      <c r="T59" s="980">
        <f t="shared" si="102"/>
        <v>8.0571602310732741E-3</v>
      </c>
      <c r="U59" s="980">
        <f t="shared" si="102"/>
        <v>3.1387319522912746E-4</v>
      </c>
      <c r="V59" s="980">
        <f t="shared" si="102"/>
        <v>-3.0088761847449977E-3</v>
      </c>
      <c r="W59" s="980">
        <f t="shared" si="102"/>
        <v>2.1567217828900071E-3</v>
      </c>
      <c r="X59" s="980">
        <f t="shared" si="102"/>
        <v>-1.6708437761069339E-3</v>
      </c>
      <c r="Y59" s="980">
        <f t="shared" si="102"/>
        <v>3.3254156769596198E-3</v>
      </c>
      <c r="Z59" s="980">
        <f t="shared" si="102"/>
        <v>-6.4683053040103498E-4</v>
      </c>
      <c r="AA59" s="980">
        <f t="shared" si="102"/>
        <v>1.5661707126076742E-3</v>
      </c>
      <c r="AB59" s="980">
        <f t="shared" si="102"/>
        <v>7.4128984432913266E-4</v>
      </c>
      <c r="AC59" s="980">
        <f t="shared" ref="AC59:AF59" si="103">AC29/AC$13</f>
        <v>3.8602586373287008E-4</v>
      </c>
      <c r="AD59" s="980">
        <f t="shared" si="103"/>
        <v>-7.2280448138778463E-4</v>
      </c>
      <c r="AE59" s="980">
        <f t="shared" si="103"/>
        <v>5.7636887608069167E-4</v>
      </c>
      <c r="AF59" s="980">
        <f t="shared" si="103"/>
        <v>6.0337892196299272E-4</v>
      </c>
      <c r="AG59" s="993"/>
      <c r="AH59" s="993"/>
      <c r="AI59" s="993"/>
      <c r="AJ59" s="993"/>
      <c r="AK59" s="993"/>
      <c r="AL59" s="993"/>
      <c r="AM59" s="993"/>
      <c r="AN59" s="993"/>
      <c r="AO59" s="993"/>
      <c r="AP59" s="993"/>
      <c r="AQ59" s="993"/>
      <c r="AR59" s="993"/>
      <c r="AS59" s="993"/>
      <c r="AT59" s="993"/>
      <c r="AU59" s="993"/>
      <c r="AV59" s="993"/>
      <c r="AW59" s="993"/>
    </row>
    <row r="60" spans="1:49" s="966" customFormat="1" hidden="1" outlineLevel="1">
      <c r="A60" s="966" t="s">
        <v>744</v>
      </c>
      <c r="B60" s="980">
        <f t="shared" ref="B60:AB60" si="104">B30/B$13</f>
        <v>0.22932708403080013</v>
      </c>
      <c r="C60" s="980">
        <f t="shared" si="104"/>
        <v>0.18919239904988122</v>
      </c>
      <c r="D60" s="980">
        <f t="shared" si="104"/>
        <v>9.6912794398472307E-2</v>
      </c>
      <c r="E60" s="980">
        <f t="shared" si="104"/>
        <v>0.12083333333333333</v>
      </c>
      <c r="F60" s="980">
        <f t="shared" si="104"/>
        <v>0.14103516592372461</v>
      </c>
      <c r="G60" s="980">
        <f t="shared" si="104"/>
        <v>0.11279189308268468</v>
      </c>
      <c r="H60" s="981">
        <f t="shared" si="104"/>
        <v>0.10340651021953066</v>
      </c>
      <c r="I60" s="981">
        <f t="shared" si="104"/>
        <v>-0.14473983185639627</v>
      </c>
      <c r="J60" s="981">
        <f t="shared" si="104"/>
        <v>7.3763621123218775E-3</v>
      </c>
      <c r="K60" s="981">
        <f t="shared" si="104"/>
        <v>0.1273638273799903</v>
      </c>
      <c r="L60" s="981">
        <f t="shared" si="104"/>
        <v>4.4150877802885451E-2</v>
      </c>
      <c r="M60" s="981">
        <f t="shared" si="104"/>
        <v>4.6091833158079215E-2</v>
      </c>
      <c r="N60" s="980">
        <f t="shared" si="104"/>
        <v>0.18380589645930315</v>
      </c>
      <c r="O60" s="980">
        <f t="shared" si="104"/>
        <v>0.15031645569620253</v>
      </c>
      <c r="P60" s="980">
        <f t="shared" si="104"/>
        <v>7.9985905567300911E-2</v>
      </c>
      <c r="Q60" s="980">
        <f t="shared" si="104"/>
        <v>-7.7537058152793617E-2</v>
      </c>
      <c r="R60" s="980">
        <f t="shared" si="104"/>
        <v>0.12578708449260506</v>
      </c>
      <c r="S60" s="980">
        <f t="shared" si="104"/>
        <v>-0.10830883490639022</v>
      </c>
      <c r="T60" s="980">
        <f t="shared" si="104"/>
        <v>0.15582243843113408</v>
      </c>
      <c r="U60" s="980">
        <f t="shared" si="104"/>
        <v>0.10844318895166352</v>
      </c>
      <c r="V60" s="980">
        <f t="shared" si="104"/>
        <v>0.15856777493606139</v>
      </c>
      <c r="W60" s="980">
        <f t="shared" si="104"/>
        <v>0.15111430625449318</v>
      </c>
      <c r="X60" s="980">
        <f t="shared" si="104"/>
        <v>0.13015873015873017</v>
      </c>
      <c r="Y60" s="980">
        <f t="shared" si="104"/>
        <v>-1.3843230403800475</v>
      </c>
      <c r="Z60" s="980">
        <f t="shared" si="104"/>
        <v>-6.5114273393704181E-2</v>
      </c>
      <c r="AA60" s="980">
        <f t="shared" si="104"/>
        <v>3.3281127642913078E-2</v>
      </c>
      <c r="AB60" s="980">
        <f t="shared" si="104"/>
        <v>7.59822090437361E-3</v>
      </c>
      <c r="AC60" s="980">
        <f t="shared" ref="AC60:AF60" si="105">AC30/AC$13</f>
        <v>-0.50550086855819343</v>
      </c>
      <c r="AD60" s="980">
        <f t="shared" si="105"/>
        <v>0.1076978677267799</v>
      </c>
      <c r="AE60" s="980">
        <f t="shared" si="105"/>
        <v>5.8213256484149857E-2</v>
      </c>
      <c r="AF60" s="980">
        <f t="shared" si="105"/>
        <v>4.9074818986323411E-2</v>
      </c>
      <c r="AG60" s="993"/>
      <c r="AH60" s="993"/>
      <c r="AI60" s="993"/>
      <c r="AJ60" s="993"/>
      <c r="AK60" s="993"/>
      <c r="AL60" s="993"/>
      <c r="AM60" s="993"/>
      <c r="AN60" s="993"/>
      <c r="AO60" s="993"/>
      <c r="AP60" s="993"/>
      <c r="AQ60" s="993"/>
      <c r="AR60" s="993"/>
      <c r="AS60" s="993"/>
      <c r="AT60" s="993"/>
      <c r="AU60" s="993"/>
      <c r="AV60" s="993"/>
      <c r="AW60" s="993"/>
    </row>
    <row r="61" spans="1:49" s="966" customFormat="1" hidden="1" outlineLevel="1">
      <c r="A61" s="966" t="s">
        <v>609</v>
      </c>
      <c r="B61" s="980">
        <f t="shared" ref="B61:AB61" si="106">B31/B$13</f>
        <v>0.23144738310456422</v>
      </c>
      <c r="C61" s="980">
        <f t="shared" si="106"/>
        <v>0.18919239904988122</v>
      </c>
      <c r="D61" s="980">
        <f t="shared" si="106"/>
        <v>9.6912794398472307E-2</v>
      </c>
      <c r="E61" s="980">
        <f t="shared" si="106"/>
        <v>0.12083333333333333</v>
      </c>
      <c r="F61" s="980">
        <f t="shared" si="106"/>
        <v>0.14140663694898464</v>
      </c>
      <c r="G61" s="980">
        <f t="shared" si="106"/>
        <v>0.11411367307974739</v>
      </c>
      <c r="H61" s="981">
        <f t="shared" si="106"/>
        <v>0.10552611657834973</v>
      </c>
      <c r="I61" s="981">
        <f t="shared" si="106"/>
        <v>-0.14496705294251305</v>
      </c>
      <c r="J61" s="981">
        <f t="shared" si="106"/>
        <v>7.8792958927074597E-3</v>
      </c>
      <c r="K61" s="981">
        <f t="shared" si="106"/>
        <v>0.12801034427024405</v>
      </c>
      <c r="L61" s="981">
        <f t="shared" si="106"/>
        <v>4.4498522509994788E-2</v>
      </c>
      <c r="M61" s="981">
        <f t="shared" si="106"/>
        <v>5.152471083070452E-2</v>
      </c>
      <c r="N61" s="980">
        <f t="shared" si="106"/>
        <v>0.18295951474114827</v>
      </c>
      <c r="O61" s="980">
        <f t="shared" si="106"/>
        <v>0.15161104718066742</v>
      </c>
      <c r="P61" s="980">
        <f t="shared" si="106"/>
        <v>5.3558844256518676E-2</v>
      </c>
      <c r="Q61" s="980">
        <f t="shared" si="106"/>
        <v>-7.7211272194168429E-2</v>
      </c>
      <c r="R61" s="980">
        <f t="shared" si="106"/>
        <v>0.12359056962952115</v>
      </c>
      <c r="S61" s="980">
        <f t="shared" si="106"/>
        <v>-0.10691629274330806</v>
      </c>
      <c r="T61" s="980">
        <f t="shared" si="106"/>
        <v>0.13970811796898752</v>
      </c>
      <c r="U61" s="980">
        <f t="shared" si="106"/>
        <v>0.11001255492780916</v>
      </c>
      <c r="V61" s="980">
        <f t="shared" si="106"/>
        <v>0.15856777493606139</v>
      </c>
      <c r="W61" s="980">
        <f t="shared" si="106"/>
        <v>0.15111430625449318</v>
      </c>
      <c r="X61" s="980">
        <f t="shared" si="106"/>
        <v>0.13015873015873017</v>
      </c>
      <c r="Y61" s="980">
        <f t="shared" si="106"/>
        <v>-1.3843230403800475</v>
      </c>
      <c r="Z61" s="980">
        <f t="shared" si="106"/>
        <v>-6.5114273393704181E-2</v>
      </c>
      <c r="AA61" s="980">
        <f t="shared" si="106"/>
        <v>3.3281127642913078E-2</v>
      </c>
      <c r="AB61" s="980">
        <f t="shared" si="106"/>
        <v>7.59822090437361E-3</v>
      </c>
      <c r="AC61" s="980">
        <f t="shared" ref="AC61:AF61" si="107">AC31/AC$13</f>
        <v>0</v>
      </c>
      <c r="AD61" s="980">
        <f t="shared" si="107"/>
        <v>0</v>
      </c>
      <c r="AE61" s="980">
        <f t="shared" si="107"/>
        <v>0</v>
      </c>
      <c r="AF61" s="980">
        <f t="shared" si="107"/>
        <v>0</v>
      </c>
      <c r="AG61" s="993"/>
      <c r="AH61" s="993"/>
      <c r="AI61" s="993"/>
      <c r="AJ61" s="993"/>
      <c r="AK61" s="993"/>
      <c r="AL61" s="993"/>
      <c r="AM61" s="993"/>
      <c r="AN61" s="993"/>
      <c r="AO61" s="993"/>
      <c r="AP61" s="993"/>
      <c r="AQ61" s="993"/>
      <c r="AR61" s="993"/>
      <c r="AS61" s="993"/>
      <c r="AT61" s="993"/>
      <c r="AU61" s="993"/>
      <c r="AV61" s="993"/>
      <c r="AW61" s="993"/>
    </row>
    <row r="62" spans="1:49" s="994" customFormat="1" hidden="1" outlineLevel="1">
      <c r="A62" s="994" t="s">
        <v>610</v>
      </c>
      <c r="B62" s="995">
        <f t="shared" ref="B62:AB62" si="108">B32/B$13</f>
        <v>-2.120299073764089E-3</v>
      </c>
      <c r="C62" s="995">
        <f t="shared" si="108"/>
        <v>0</v>
      </c>
      <c r="D62" s="995">
        <f t="shared" si="108"/>
        <v>0</v>
      </c>
      <c r="E62" s="995">
        <f t="shared" si="108"/>
        <v>0</v>
      </c>
      <c r="F62" s="995">
        <f t="shared" si="108"/>
        <v>-3.714710252600297E-4</v>
      </c>
      <c r="G62" s="995">
        <f t="shared" si="108"/>
        <v>-1.3217799970627112E-3</v>
      </c>
      <c r="H62" s="996">
        <f t="shared" si="108"/>
        <v>-2.1196063588190765E-3</v>
      </c>
      <c r="I62" s="996">
        <f t="shared" si="108"/>
        <v>2.2722108611679165E-4</v>
      </c>
      <c r="J62" s="996">
        <f t="shared" si="108"/>
        <v>-5.0293378038558255E-4</v>
      </c>
      <c r="K62" s="996">
        <f t="shared" si="108"/>
        <v>-6.4651689025375784E-4</v>
      </c>
      <c r="L62" s="996">
        <f t="shared" si="108"/>
        <v>-3.4764470710933428E-4</v>
      </c>
      <c r="M62" s="996">
        <f t="shared" si="108"/>
        <v>-5.432877672625307E-3</v>
      </c>
      <c r="N62" s="995">
        <f t="shared" si="108"/>
        <v>8.4638171815488788E-4</v>
      </c>
      <c r="O62" s="995">
        <f t="shared" si="108"/>
        <v>-1.2945914844649021E-3</v>
      </c>
      <c r="P62" s="995">
        <f t="shared" si="108"/>
        <v>2.6427061310782242E-2</v>
      </c>
      <c r="Q62" s="995">
        <f t="shared" si="108"/>
        <v>-3.2578595862518323E-4</v>
      </c>
      <c r="R62" s="995">
        <f t="shared" si="108"/>
        <v>2.196514863083907E-3</v>
      </c>
      <c r="S62" s="995">
        <f t="shared" si="108"/>
        <v>-1.3925421630821601E-3</v>
      </c>
      <c r="T62" s="995">
        <f t="shared" si="108"/>
        <v>1.6114320462146548E-2</v>
      </c>
      <c r="U62" s="995">
        <f t="shared" si="108"/>
        <v>-1.5693659761456371E-3</v>
      </c>
      <c r="V62" s="995">
        <f t="shared" si="108"/>
        <v>0</v>
      </c>
      <c r="W62" s="995">
        <f t="shared" si="108"/>
        <v>0</v>
      </c>
      <c r="X62" s="995">
        <f t="shared" si="108"/>
        <v>0</v>
      </c>
      <c r="Y62" s="995">
        <f t="shared" si="108"/>
        <v>0</v>
      </c>
      <c r="Z62" s="995">
        <f t="shared" si="108"/>
        <v>0</v>
      </c>
      <c r="AA62" s="995">
        <f t="shared" si="108"/>
        <v>0</v>
      </c>
      <c r="AB62" s="995">
        <f t="shared" si="108"/>
        <v>0</v>
      </c>
      <c r="AC62" s="995">
        <f t="shared" ref="AC62:AF62" si="109">AC32/AC$13</f>
        <v>0</v>
      </c>
      <c r="AD62" s="995">
        <f t="shared" si="109"/>
        <v>0</v>
      </c>
      <c r="AE62" s="995">
        <f t="shared" si="109"/>
        <v>0</v>
      </c>
      <c r="AF62" s="995">
        <f t="shared" si="109"/>
        <v>0</v>
      </c>
      <c r="AG62" s="997"/>
      <c r="AH62" s="997"/>
      <c r="AI62" s="997"/>
      <c r="AJ62" s="997"/>
      <c r="AK62" s="997"/>
      <c r="AL62" s="997"/>
      <c r="AM62" s="997"/>
      <c r="AN62" s="997"/>
      <c r="AO62" s="997"/>
      <c r="AP62" s="997"/>
      <c r="AQ62" s="997"/>
      <c r="AR62" s="997"/>
      <c r="AS62" s="997"/>
      <c r="AT62" s="997"/>
      <c r="AU62" s="997"/>
      <c r="AV62" s="997"/>
      <c r="AW62" s="997"/>
    </row>
    <row r="63" spans="1:49" s="998" customFormat="1" hidden="1" outlineLevel="1">
      <c r="A63" s="998" t="s">
        <v>483</v>
      </c>
      <c r="I63" s="999"/>
      <c r="J63" s="1000"/>
      <c r="K63" s="1000"/>
      <c r="L63" s="1000"/>
      <c r="M63" s="1000">
        <f t="shared" ref="M63:AB63" si="110">M33/M$13</f>
        <v>5.8184367332632318E-2</v>
      </c>
      <c r="N63" s="1346">
        <f t="shared" si="110"/>
        <v>0.19480885879531668</v>
      </c>
      <c r="O63" s="1346">
        <f t="shared" si="110"/>
        <v>0.16743383199079401</v>
      </c>
      <c r="P63" s="1346">
        <f t="shared" si="110"/>
        <v>0.12191684284707541</v>
      </c>
      <c r="Q63" s="1346">
        <f t="shared" si="110"/>
        <v>-4.2352174621273823E-2</v>
      </c>
      <c r="R63" s="1346">
        <f t="shared" si="110"/>
        <v>0.17791770390979644</v>
      </c>
      <c r="S63" s="1346">
        <f t="shared" si="110"/>
        <v>-0.10242921244004333</v>
      </c>
      <c r="T63" s="1346">
        <f t="shared" si="110"/>
        <v>0.16387959866220736</v>
      </c>
      <c r="U63" s="1346">
        <f t="shared" si="110"/>
        <v>0.10875706214689265</v>
      </c>
      <c r="V63" s="1346">
        <f t="shared" si="110"/>
        <v>0.15555889875131637</v>
      </c>
      <c r="W63" s="1346">
        <f t="shared" si="110"/>
        <v>0.15327102803738318</v>
      </c>
      <c r="X63" s="1346">
        <f t="shared" si="110"/>
        <v>0.12848788638262323</v>
      </c>
      <c r="Y63" s="1346">
        <f t="shared" si="110"/>
        <v>-0.39477434679334916</v>
      </c>
      <c r="Z63" s="1346">
        <f t="shared" si="110"/>
        <v>-1.078050884001725E-2</v>
      </c>
      <c r="AA63" s="1346">
        <f t="shared" si="110"/>
        <v>5.2662490211433044E-2</v>
      </c>
      <c r="AB63" s="1346">
        <f t="shared" si="110"/>
        <v>-3.039288361749444E-2</v>
      </c>
      <c r="AC63" s="1346">
        <f t="shared" ref="AC63:AF63" si="111">AC33/AC$13</f>
        <v>-7.6819146882841152E-2</v>
      </c>
      <c r="AD63" s="1346">
        <f t="shared" si="111"/>
        <v>0.13173111673292373</v>
      </c>
      <c r="AE63" s="1346">
        <f t="shared" si="111"/>
        <v>7.2046109510086456E-2</v>
      </c>
      <c r="AF63" s="1346">
        <f t="shared" si="111"/>
        <v>7.2204344328238135E-2</v>
      </c>
      <c r="AG63" s="1347" t="e">
        <f t="shared" ref="AG63:AS63" si="112">AG33/AG$13</f>
        <v>#VALUE!</v>
      </c>
      <c r="AH63" s="1347">
        <f t="shared" si="112"/>
        <v>8.1107438678945321E-2</v>
      </c>
      <c r="AI63" s="1347">
        <f t="shared" si="112"/>
        <v>0.10785752792247931</v>
      </c>
      <c r="AJ63" s="1347">
        <f t="shared" si="112"/>
        <v>0.13569465119744503</v>
      </c>
      <c r="AK63" s="1347">
        <f t="shared" si="112"/>
        <v>0.153464900782085</v>
      </c>
      <c r="AL63" s="1347">
        <f t="shared" si="112"/>
        <v>0.15522528855982856</v>
      </c>
      <c r="AM63" s="1347">
        <f t="shared" si="112"/>
        <v>0.1602832232443718</v>
      </c>
      <c r="AN63" s="1347">
        <f t="shared" si="112"/>
        <v>0.16578855330113179</v>
      </c>
      <c r="AO63" s="1347">
        <f t="shared" si="112"/>
        <v>0.1794910929897246</v>
      </c>
      <c r="AP63" s="1347">
        <f t="shared" si="112"/>
        <v>0.18096098768833552</v>
      </c>
      <c r="AQ63" s="1347">
        <f t="shared" si="112"/>
        <v>0.18544946990399261</v>
      </c>
      <c r="AR63" s="1347">
        <f t="shared" si="112"/>
        <v>0.185232234786322</v>
      </c>
      <c r="AS63" s="1347">
        <f t="shared" si="112"/>
        <v>0.18999584149005547</v>
      </c>
      <c r="AT63" s="1347">
        <f t="shared" ref="AT63:AW63" si="113">AT33/AT$13</f>
        <v>0.19111564342772294</v>
      </c>
      <c r="AU63" s="1347">
        <f t="shared" si="113"/>
        <v>0.19547144268641281</v>
      </c>
      <c r="AV63" s="1347">
        <f t="shared" si="113"/>
        <v>0.19508863372612631</v>
      </c>
      <c r="AW63" s="1347">
        <f t="shared" si="113"/>
        <v>0.19986010256241493</v>
      </c>
    </row>
    <row r="64" spans="1:49" collapsed="1">
      <c r="N64" s="91"/>
      <c r="O64" s="91"/>
      <c r="P64" s="91"/>
      <c r="Q64" s="91"/>
      <c r="R64" s="91"/>
      <c r="S64" s="91"/>
      <c r="T64" s="91"/>
      <c r="U64" s="91"/>
      <c r="V64" s="91"/>
      <c r="W64" s="91"/>
      <c r="X64" s="91"/>
      <c r="Y64" s="91"/>
      <c r="Z64" s="91"/>
      <c r="AA64" s="91"/>
      <c r="AT64" s="18"/>
      <c r="AU64" s="18"/>
      <c r="AV64" s="18"/>
      <c r="AW64" s="18"/>
    </row>
    <row r="65" spans="1:49">
      <c r="N65" s="133"/>
      <c r="O65" s="133"/>
      <c r="P65" s="133"/>
      <c r="Q65" s="133"/>
      <c r="R65" s="133"/>
      <c r="S65" s="133"/>
      <c r="T65" s="133"/>
      <c r="U65" s="133"/>
      <c r="V65" s="133"/>
      <c r="W65" s="133"/>
      <c r="X65" s="133"/>
      <c r="Y65" s="133"/>
      <c r="Z65" s="133"/>
      <c r="AA65" s="133"/>
      <c r="AT65" s="18"/>
      <c r="AU65" s="18"/>
      <c r="AV65" s="18"/>
      <c r="AW65" s="18"/>
    </row>
    <row r="66" spans="1:49" s="152" customFormat="1">
      <c r="A66" s="152" t="s">
        <v>203</v>
      </c>
      <c r="AB66" s="153"/>
      <c r="AC66" s="1142">
        <f>AC28/Y28-1</f>
        <v>-0.54987960096319233</v>
      </c>
      <c r="AD66" s="1142">
        <f t="shared" ref="AD66:AK66" si="114">AD28/Z28-1</f>
        <v>-2.9409836065573769</v>
      </c>
      <c r="AE66" s="1142">
        <f t="shared" si="114"/>
        <v>0.7191011235955056</v>
      </c>
      <c r="AF66" s="1142">
        <f t="shared" si="114"/>
        <v>5.6756756756756754</v>
      </c>
      <c r="AG66" s="155">
        <f t="shared" si="114"/>
        <v>-1.1612928861449119</v>
      </c>
      <c r="AH66" s="155">
        <f t="shared" si="114"/>
        <v>-0.26435478646605848</v>
      </c>
      <c r="AI66" s="155">
        <f t="shared" si="114"/>
        <v>0.95091263021877293</v>
      </c>
      <c r="AJ66" s="155">
        <f t="shared" si="114"/>
        <v>2.0156267811172239</v>
      </c>
      <c r="AK66" s="155">
        <f t="shared" si="114"/>
        <v>1.0710122441676257</v>
      </c>
      <c r="AL66" s="155">
        <f t="shared" ref="AL66:AS66" si="115">AL28/AH28-1</f>
        <v>1.0221224845520962</v>
      </c>
      <c r="AM66" s="155">
        <f t="shared" si="115"/>
        <v>0.56485243040561084</v>
      </c>
      <c r="AN66" s="155">
        <f t="shared" si="115"/>
        <v>0.26320692620998654</v>
      </c>
      <c r="AO66" s="155">
        <f t="shared" si="115"/>
        <v>0.2080744350296615</v>
      </c>
      <c r="AP66" s="155">
        <f t="shared" si="115"/>
        <v>0.20514944847427197</v>
      </c>
      <c r="AQ66" s="155">
        <f t="shared" si="115"/>
        <v>0.19721603998735548</v>
      </c>
      <c r="AR66" s="155">
        <f t="shared" si="115"/>
        <v>0.15240408632506708</v>
      </c>
      <c r="AS66" s="155">
        <f t="shared" si="115"/>
        <v>8.7209761417825105E-2</v>
      </c>
      <c r="AT66" s="155">
        <f t="shared" ref="AT66" si="116">AT28/AP28-1</f>
        <v>8.5659747091680893E-2</v>
      </c>
      <c r="AU66" s="155">
        <f t="shared" ref="AU66" si="117">AU28/AQ28-1</f>
        <v>8.4777212472045615E-2</v>
      </c>
      <c r="AV66" s="155">
        <f t="shared" ref="AV66" si="118">AV28/AR28-1</f>
        <v>8.4283071828560985E-2</v>
      </c>
      <c r="AW66" s="155">
        <f t="shared" ref="AW66" si="119">AW28/AS28-1</f>
        <v>8.4267180884114223E-2</v>
      </c>
    </row>
    <row r="67" spans="1:49" s="9" customFormat="1">
      <c r="A67" s="9" t="s">
        <v>204</v>
      </c>
      <c r="AB67" s="21"/>
      <c r="AC67" s="1143">
        <f>AC28/AB28-1</f>
        <v>-71.729729729729726</v>
      </c>
      <c r="AD67" s="1143">
        <f t="shared" ref="AD67:AL67" si="120">AD28/AC28-1</f>
        <v>-1.2262132212457011</v>
      </c>
      <c r="AE67" s="1143">
        <f t="shared" si="120"/>
        <v>-0.48310810810810811</v>
      </c>
      <c r="AF67" s="1143">
        <f t="shared" si="120"/>
        <v>-0.19281045751633985</v>
      </c>
      <c r="AG67" s="154">
        <f t="shared" si="120"/>
        <v>0.70892098397260828</v>
      </c>
      <c r="AH67" s="154">
        <f t="shared" si="120"/>
        <v>3.1742176762730612E-2</v>
      </c>
      <c r="AI67" s="154">
        <f t="shared" si="120"/>
        <v>0.37078431531593425</v>
      </c>
      <c r="AJ67" s="154">
        <f t="shared" si="120"/>
        <v>0.24771471774136744</v>
      </c>
      <c r="AK67" s="154">
        <f t="shared" si="120"/>
        <v>0.17361879934328739</v>
      </c>
      <c r="AL67" s="154">
        <f t="shared" si="120"/>
        <v>7.3861512736557167E-3</v>
      </c>
      <c r="AM67" s="154">
        <f t="shared" ref="AM67:AS67" si="121">AM28/AL28-1</f>
        <v>6.0803776117038355E-2</v>
      </c>
      <c r="AN67" s="154">
        <f t="shared" si="121"/>
        <v>7.2016010969810917E-3</v>
      </c>
      <c r="AO67" s="154">
        <f t="shared" si="121"/>
        <v>0.12239636954076016</v>
      </c>
      <c r="AP67" s="154">
        <f t="shared" si="121"/>
        <v>4.9470706482233062E-3</v>
      </c>
      <c r="AQ67" s="154">
        <f t="shared" si="121"/>
        <v>5.3820584371770064E-2</v>
      </c>
      <c r="AR67" s="154">
        <f t="shared" si="121"/>
        <v>-3.0498087154286591E-2</v>
      </c>
      <c r="AS67" s="154">
        <f t="shared" si="121"/>
        <v>5.8899654752204045E-2</v>
      </c>
      <c r="AT67" s="154">
        <f t="shared" ref="AT67" si="122">AT28/AS28-1</f>
        <v>3.5143366793062292E-3</v>
      </c>
      <c r="AU67" s="154">
        <f t="shared" ref="AU67" si="123">AU28/AT28-1</f>
        <v>5.2963931860627644E-2</v>
      </c>
      <c r="AV67" s="154">
        <f t="shared" ref="AV67" si="124">AV28/AU28-1</f>
        <v>-3.0939717282173818E-2</v>
      </c>
      <c r="AW67" s="154">
        <f t="shared" ref="AW67" si="125">AW28/AV28-1</f>
        <v>5.8884135819901928E-2</v>
      </c>
    </row>
    <row r="68" spans="1:49">
      <c r="A68" s="136"/>
      <c r="AC68" s="563"/>
      <c r="AD68" s="563"/>
      <c r="AE68" s="563"/>
      <c r="AF68" s="563"/>
      <c r="AT68" s="18"/>
      <c r="AU68" s="18"/>
      <c r="AV68" s="18"/>
      <c r="AW68" s="18"/>
    </row>
    <row r="69" spans="1:49" s="156" customFormat="1">
      <c r="AB69" s="18"/>
      <c r="AC69" s="563"/>
      <c r="AD69" s="563"/>
      <c r="AE69" s="563"/>
      <c r="AF69" s="563"/>
      <c r="AG69" s="18"/>
      <c r="AH69" s="18"/>
      <c r="AI69" s="18"/>
      <c r="AJ69" s="18"/>
      <c r="AK69" s="18"/>
      <c r="AL69" s="18"/>
      <c r="AM69" s="18"/>
      <c r="AN69" s="18"/>
      <c r="AO69" s="18"/>
      <c r="AP69" s="18"/>
      <c r="AQ69" s="18"/>
      <c r="AR69" s="18"/>
      <c r="AS69" s="18"/>
      <c r="AT69" s="18"/>
      <c r="AU69" s="18"/>
      <c r="AV69" s="18"/>
      <c r="AW69" s="18"/>
    </row>
    <row r="70" spans="1:49" s="102" customFormat="1" ht="27" thickBot="1">
      <c r="A70" s="102" t="s">
        <v>161</v>
      </c>
      <c r="AB70" s="103"/>
      <c r="AC70" s="1144"/>
      <c r="AD70" s="1144"/>
      <c r="AE70" s="1144"/>
      <c r="AF70" s="1144"/>
      <c r="AG70" s="103"/>
      <c r="AH70" s="103"/>
      <c r="AI70" s="103"/>
      <c r="AJ70" s="103"/>
      <c r="AK70" s="103"/>
      <c r="AL70" s="103"/>
      <c r="AM70" s="103"/>
      <c r="AN70" s="103"/>
      <c r="AO70" s="103"/>
      <c r="AP70" s="103"/>
      <c r="AQ70" s="103"/>
      <c r="AR70" s="103"/>
      <c r="AS70" s="103"/>
      <c r="AT70" s="103"/>
      <c r="AU70" s="103"/>
      <c r="AV70" s="103"/>
      <c r="AW70" s="103"/>
    </row>
    <row r="71" spans="1:49">
      <c r="AC71" s="563"/>
      <c r="AD71" s="563"/>
      <c r="AE71" s="563"/>
      <c r="AF71" s="563"/>
      <c r="AT71" s="18"/>
      <c r="AU71" s="18"/>
      <c r="AV71" s="18"/>
      <c r="AW71" s="18"/>
    </row>
    <row r="72" spans="1:49" s="843" customFormat="1" ht="16.5" thickBot="1">
      <c r="A72" s="843" t="s">
        <v>21</v>
      </c>
      <c r="AC72" s="1145"/>
      <c r="AD72" s="1145"/>
      <c r="AE72" s="1145"/>
      <c r="AF72" s="1145"/>
      <c r="AG72" s="844"/>
      <c r="AH72" s="844"/>
      <c r="AI72" s="844"/>
      <c r="AJ72" s="844"/>
      <c r="AK72" s="844"/>
      <c r="AL72" s="844"/>
      <c r="AM72" s="844"/>
      <c r="AN72" s="844"/>
      <c r="AO72" s="844"/>
      <c r="AP72" s="844"/>
      <c r="AQ72" s="844"/>
      <c r="AR72" s="844"/>
      <c r="AS72" s="844"/>
      <c r="AT72" s="844"/>
      <c r="AU72" s="844"/>
      <c r="AV72" s="844"/>
      <c r="AW72" s="844"/>
    </row>
    <row r="73" spans="1:49" ht="16.5" thickTop="1">
      <c r="A73" t="s">
        <v>22</v>
      </c>
      <c r="N73">
        <v>57242</v>
      </c>
      <c r="O73">
        <v>56584</v>
      </c>
      <c r="P73">
        <v>78119</v>
      </c>
      <c r="Q73">
        <v>68692</v>
      </c>
      <c r="R73">
        <v>65972</v>
      </c>
      <c r="S73">
        <v>66469</v>
      </c>
      <c r="T73">
        <v>78119</v>
      </c>
      <c r="U73">
        <v>79349</v>
      </c>
      <c r="V73">
        <v>87913</v>
      </c>
      <c r="W73">
        <v>104054</v>
      </c>
      <c r="X73">
        <v>94643</v>
      </c>
      <c r="Y73">
        <v>92328</v>
      </c>
      <c r="Z73">
        <v>94210</v>
      </c>
      <c r="AA73">
        <v>114049</v>
      </c>
      <c r="AB73" s="851">
        <v>104972</v>
      </c>
      <c r="AC73" s="1136">
        <v>121161</v>
      </c>
      <c r="AD73" s="1136">
        <v>101856</v>
      </c>
      <c r="AE73" s="1136">
        <v>110332</v>
      </c>
      <c r="AF73" s="1136">
        <v>105779</v>
      </c>
      <c r="AG73" s="143">
        <f t="shared" ref="AG73:AS73" si="126">(SUM(AF74:AF86)-SUM(AG74:AG86))+((AG100+AG108)-(AF100+AF108))+AF73</f>
        <v>113115.79531066271</v>
      </c>
      <c r="AH73" s="143">
        <f t="shared" si="126"/>
        <v>121952.80144487775</v>
      </c>
      <c r="AI73" s="143">
        <f t="shared" si="126"/>
        <v>128773.58745942474</v>
      </c>
      <c r="AJ73" s="143">
        <f t="shared" si="126"/>
        <v>137172.67387443827</v>
      </c>
      <c r="AK73" s="143">
        <f t="shared" si="126"/>
        <v>145372.21380116988</v>
      </c>
      <c r="AL73" s="143">
        <f t="shared" si="126"/>
        <v>153275.63887151354</v>
      </c>
      <c r="AM73" s="143">
        <f t="shared" si="126"/>
        <v>158403.80977321125</v>
      </c>
      <c r="AN73" s="143">
        <f t="shared" si="126"/>
        <v>165845.15091903054</v>
      </c>
      <c r="AO73" s="143">
        <f t="shared" si="126"/>
        <v>173176.81725893868</v>
      </c>
      <c r="AP73" s="143">
        <f t="shared" si="126"/>
        <v>180285.04359339422</v>
      </c>
      <c r="AQ73" s="143">
        <f t="shared" si="126"/>
        <v>184713.74842524005</v>
      </c>
      <c r="AR73" s="143">
        <f t="shared" si="126"/>
        <v>191502.57003273082</v>
      </c>
      <c r="AS73" s="143">
        <f t="shared" si="126"/>
        <v>198214.19494116877</v>
      </c>
      <c r="AT73" s="143">
        <f t="shared" ref="AT73" si="127">(SUM(AS74:AS86)-SUM(AT74:AT86))+((AT100+AT108)-(AS100+AS108))+AS73</f>
        <v>204767.94788193994</v>
      </c>
      <c r="AU73" s="143">
        <f t="shared" ref="AU73" si="128">(SUM(AT74:AT86)-SUM(AU74:AU86))+((AU100+AU108)-(AT100+AT108))+AT73</f>
        <v>207955.09035668976</v>
      </c>
      <c r="AV73" s="143">
        <f t="shared" ref="AV73" si="129">(SUM(AU74:AU86)-SUM(AV74:AV86))+((AV100+AV108)-(AU100+AU108))+AU73</f>
        <v>214337.87471046252</v>
      </c>
      <c r="AW73" s="143">
        <f t="shared" ref="AW73" si="130">(SUM(AV74:AV86)-SUM(AW74:AW86))+((AW100+AW108)-(AV100+AV108))+AV73</f>
        <v>220718.43031699699</v>
      </c>
    </row>
    <row r="74" spans="1:49">
      <c r="A74" t="s">
        <v>23</v>
      </c>
      <c r="N74">
        <v>1781</v>
      </c>
      <c r="O74">
        <v>1563</v>
      </c>
      <c r="P74">
        <v>1211</v>
      </c>
      <c r="Q74">
        <v>1515</v>
      </c>
      <c r="R74">
        <v>1728</v>
      </c>
      <c r="S74">
        <v>1749</v>
      </c>
      <c r="T74">
        <v>1211</v>
      </c>
      <c r="U74">
        <v>1244</v>
      </c>
      <c r="V74">
        <v>1117</v>
      </c>
      <c r="W74">
        <v>928</v>
      </c>
      <c r="X74">
        <v>1087</v>
      </c>
      <c r="Y74">
        <v>867</v>
      </c>
      <c r="Z74">
        <v>868</v>
      </c>
      <c r="AA74">
        <v>820</v>
      </c>
      <c r="AB74" s="851">
        <v>827</v>
      </c>
      <c r="AC74" s="563">
        <v>772</v>
      </c>
      <c r="AD74" s="563">
        <v>1066</v>
      </c>
      <c r="AE74" s="563">
        <v>641</v>
      </c>
      <c r="AF74" s="563">
        <v>684</v>
      </c>
      <c r="AG74" s="18">
        <f t="shared" ref="AG74:AS74" si="131">AF74</f>
        <v>684</v>
      </c>
      <c r="AH74" s="18">
        <f t="shared" si="131"/>
        <v>684</v>
      </c>
      <c r="AI74" s="18">
        <f t="shared" si="131"/>
        <v>684</v>
      </c>
      <c r="AJ74" s="18">
        <f t="shared" si="131"/>
        <v>684</v>
      </c>
      <c r="AK74" s="18">
        <f t="shared" si="131"/>
        <v>684</v>
      </c>
      <c r="AL74" s="18">
        <f t="shared" si="131"/>
        <v>684</v>
      </c>
      <c r="AM74" s="18">
        <f t="shared" si="131"/>
        <v>684</v>
      </c>
      <c r="AN74" s="18">
        <f t="shared" si="131"/>
        <v>684</v>
      </c>
      <c r="AO74" s="18">
        <f t="shared" si="131"/>
        <v>684</v>
      </c>
      <c r="AP74" s="18">
        <f t="shared" si="131"/>
        <v>684</v>
      </c>
      <c r="AQ74" s="18">
        <f t="shared" si="131"/>
        <v>684</v>
      </c>
      <c r="AR74" s="18">
        <f t="shared" si="131"/>
        <v>684</v>
      </c>
      <c r="AS74" s="18">
        <f t="shared" si="131"/>
        <v>684</v>
      </c>
      <c r="AT74" s="18">
        <f t="shared" ref="AT74:AT76" si="132">AS74</f>
        <v>684</v>
      </c>
      <c r="AU74" s="18">
        <f t="shared" ref="AU74:AU76" si="133">AT74</f>
        <v>684</v>
      </c>
      <c r="AV74" s="18">
        <f t="shared" ref="AV74:AV76" si="134">AU74</f>
        <v>684</v>
      </c>
      <c r="AW74" s="18">
        <f t="shared" ref="AW74:AW76" si="135">AV74</f>
        <v>684</v>
      </c>
    </row>
    <row r="75" spans="1:49">
      <c r="A75" t="s">
        <v>24</v>
      </c>
      <c r="N75">
        <v>180513</v>
      </c>
      <c r="O75">
        <v>173404</v>
      </c>
      <c r="P75">
        <v>187261</v>
      </c>
      <c r="Q75">
        <v>160022</v>
      </c>
      <c r="R75">
        <v>162890</v>
      </c>
      <c r="S75">
        <v>165744</v>
      </c>
      <c r="T75">
        <v>187261</v>
      </c>
      <c r="U75">
        <v>163208</v>
      </c>
      <c r="V75">
        <v>144859</v>
      </c>
      <c r="W75">
        <v>137834</v>
      </c>
      <c r="X75">
        <v>132106</v>
      </c>
      <c r="Y75">
        <v>123049</v>
      </c>
      <c r="Z75">
        <v>136211</v>
      </c>
      <c r="AA75">
        <v>122068</v>
      </c>
      <c r="AB75" s="851">
        <v>114793</v>
      </c>
      <c r="AC75" s="563">
        <v>134839</v>
      </c>
      <c r="AD75" s="563">
        <v>137978</v>
      </c>
      <c r="AE75" s="563">
        <v>129347</v>
      </c>
      <c r="AF75" s="563">
        <v>140041</v>
      </c>
      <c r="AG75" s="18">
        <f t="shared" ref="AG75:AS75" si="136">AF75</f>
        <v>140041</v>
      </c>
      <c r="AH75" s="18">
        <f t="shared" si="136"/>
        <v>140041</v>
      </c>
      <c r="AI75" s="18">
        <f t="shared" si="136"/>
        <v>140041</v>
      </c>
      <c r="AJ75" s="18">
        <f t="shared" si="136"/>
        <v>140041</v>
      </c>
      <c r="AK75" s="18">
        <f t="shared" si="136"/>
        <v>140041</v>
      </c>
      <c r="AL75" s="18">
        <f t="shared" si="136"/>
        <v>140041</v>
      </c>
      <c r="AM75" s="18">
        <f t="shared" si="136"/>
        <v>140041</v>
      </c>
      <c r="AN75" s="18">
        <f t="shared" si="136"/>
        <v>140041</v>
      </c>
      <c r="AO75" s="18">
        <f t="shared" si="136"/>
        <v>140041</v>
      </c>
      <c r="AP75" s="18">
        <f t="shared" si="136"/>
        <v>140041</v>
      </c>
      <c r="AQ75" s="18">
        <f t="shared" si="136"/>
        <v>140041</v>
      </c>
      <c r="AR75" s="18">
        <f t="shared" si="136"/>
        <v>140041</v>
      </c>
      <c r="AS75" s="18">
        <f t="shared" si="136"/>
        <v>140041</v>
      </c>
      <c r="AT75" s="18">
        <f t="shared" si="132"/>
        <v>140041</v>
      </c>
      <c r="AU75" s="18">
        <f t="shared" si="133"/>
        <v>140041</v>
      </c>
      <c r="AV75" s="18">
        <f t="shared" si="134"/>
        <v>140041</v>
      </c>
      <c r="AW75" s="18">
        <f t="shared" si="135"/>
        <v>140041</v>
      </c>
    </row>
    <row r="76" spans="1:49">
      <c r="A76" t="s">
        <v>25</v>
      </c>
      <c r="N76">
        <v>33199</v>
      </c>
      <c r="O76">
        <v>21675</v>
      </c>
      <c r="P76">
        <v>22246</v>
      </c>
      <c r="Q76">
        <v>22800</v>
      </c>
      <c r="R76">
        <v>23029</v>
      </c>
      <c r="S76">
        <v>21611</v>
      </c>
      <c r="T76">
        <v>22246</v>
      </c>
      <c r="U76">
        <v>26854</v>
      </c>
      <c r="V76">
        <v>28106</v>
      </c>
      <c r="W76">
        <v>28851</v>
      </c>
      <c r="X76">
        <v>26322</v>
      </c>
      <c r="Y76">
        <v>28511</v>
      </c>
      <c r="Z76">
        <v>25760</v>
      </c>
      <c r="AA76">
        <v>25993</v>
      </c>
      <c r="AB76" s="851">
        <v>27707</v>
      </c>
      <c r="AC76" s="563">
        <v>32564</v>
      </c>
      <c r="AD76" s="563">
        <v>37622</v>
      </c>
      <c r="AE76" s="563">
        <v>33385</v>
      </c>
      <c r="AF76" s="563">
        <v>35901</v>
      </c>
      <c r="AG76" s="18">
        <f t="shared" ref="AG76:AS76" si="137">AF76</f>
        <v>35901</v>
      </c>
      <c r="AH76" s="18">
        <f t="shared" si="137"/>
        <v>35901</v>
      </c>
      <c r="AI76" s="18">
        <f t="shared" si="137"/>
        <v>35901</v>
      </c>
      <c r="AJ76" s="18">
        <f t="shared" si="137"/>
        <v>35901</v>
      </c>
      <c r="AK76" s="18">
        <f t="shared" si="137"/>
        <v>35901</v>
      </c>
      <c r="AL76" s="18">
        <f t="shared" si="137"/>
        <v>35901</v>
      </c>
      <c r="AM76" s="18">
        <f t="shared" si="137"/>
        <v>35901</v>
      </c>
      <c r="AN76" s="18">
        <f t="shared" si="137"/>
        <v>35901</v>
      </c>
      <c r="AO76" s="18">
        <f t="shared" si="137"/>
        <v>35901</v>
      </c>
      <c r="AP76" s="18">
        <f t="shared" si="137"/>
        <v>35901</v>
      </c>
      <c r="AQ76" s="18">
        <f t="shared" si="137"/>
        <v>35901</v>
      </c>
      <c r="AR76" s="18">
        <f t="shared" si="137"/>
        <v>35901</v>
      </c>
      <c r="AS76" s="18">
        <f t="shared" si="137"/>
        <v>35901</v>
      </c>
      <c r="AT76" s="18">
        <f t="shared" si="132"/>
        <v>35901</v>
      </c>
      <c r="AU76" s="18">
        <f t="shared" si="133"/>
        <v>35901</v>
      </c>
      <c r="AV76" s="18">
        <f t="shared" si="134"/>
        <v>35901</v>
      </c>
      <c r="AW76" s="18">
        <f t="shared" si="135"/>
        <v>35901</v>
      </c>
    </row>
    <row r="77" spans="1:49">
      <c r="A77" t="s">
        <v>26</v>
      </c>
      <c r="N77">
        <v>264201</v>
      </c>
      <c r="O77">
        <v>245834</v>
      </c>
      <c r="P77">
        <v>245829</v>
      </c>
      <c r="Q77">
        <v>229413</v>
      </c>
      <c r="R77">
        <v>237069</v>
      </c>
      <c r="S77">
        <v>235427</v>
      </c>
      <c r="T77">
        <v>245829</v>
      </c>
      <c r="U77">
        <v>241131</v>
      </c>
      <c r="V77">
        <v>235564</v>
      </c>
      <c r="W77">
        <v>205688</v>
      </c>
      <c r="X77">
        <v>199792</v>
      </c>
      <c r="Y77">
        <v>190737</v>
      </c>
      <c r="Z77">
        <v>187550</v>
      </c>
      <c r="AA77">
        <v>177619</v>
      </c>
      <c r="AB77" s="851">
        <v>183870</v>
      </c>
      <c r="AC77" s="1136">
        <v>165150</v>
      </c>
      <c r="AD77" s="1136">
        <v>159792</v>
      </c>
      <c r="AE77" s="1136">
        <v>140981</v>
      </c>
      <c r="AF77" s="1136">
        <v>142379</v>
      </c>
      <c r="AG77" s="143">
        <f t="shared" ref="AG77:AW77" si="138">AF77*(AG473/AF473)*0.95</f>
        <v>149173.08654577989</v>
      </c>
      <c r="AH77" s="143">
        <f t="shared" si="138"/>
        <v>139564.63177561856</v>
      </c>
      <c r="AI77" s="143">
        <f t="shared" si="138"/>
        <v>130575.07150719369</v>
      </c>
      <c r="AJ77" s="143">
        <f t="shared" si="138"/>
        <v>122164.54184839751</v>
      </c>
      <c r="AK77" s="143">
        <f t="shared" si="138"/>
        <v>114295.74659820624</v>
      </c>
      <c r="AL77" s="143">
        <f t="shared" si="138"/>
        <v>106933.79185797465</v>
      </c>
      <c r="AM77" s="143">
        <f t="shared" si="138"/>
        <v>100046.03129565719</v>
      </c>
      <c r="AN77" s="143">
        <f t="shared" si="138"/>
        <v>93601.921376784827</v>
      </c>
      <c r="AO77" s="143">
        <f t="shared" si="138"/>
        <v>87572.885920224624</v>
      </c>
      <c r="AP77" s="143">
        <f t="shared" si="138"/>
        <v>81932.189378099094</v>
      </c>
      <c r="AQ77" s="143">
        <f t="shared" si="138"/>
        <v>76654.818277929779</v>
      </c>
      <c r="AR77" s="143">
        <f t="shared" si="138"/>
        <v>71717.370301264178</v>
      </c>
      <c r="AS77" s="143">
        <f t="shared" si="138"/>
        <v>67097.950506909183</v>
      </c>
      <c r="AT77" s="143">
        <f t="shared" si="138"/>
        <v>62776.074238576395</v>
      </c>
      <c r="AU77" s="143">
        <f t="shared" si="138"/>
        <v>58732.57628638688</v>
      </c>
      <c r="AV77" s="143">
        <f t="shared" si="138"/>
        <v>54949.525899415035</v>
      </c>
      <c r="AW77" s="143">
        <f t="shared" si="138"/>
        <v>51410.147272397735</v>
      </c>
    </row>
    <row r="78" spans="1:49">
      <c r="A78" t="s">
        <v>27</v>
      </c>
      <c r="N78">
        <v>3428</v>
      </c>
      <c r="O78">
        <v>3546</v>
      </c>
      <c r="P78">
        <v>2484</v>
      </c>
      <c r="Q78">
        <v>2987</v>
      </c>
      <c r="R78">
        <v>3320</v>
      </c>
      <c r="S78">
        <v>3323</v>
      </c>
      <c r="T78">
        <v>2484</v>
      </c>
      <c r="U78">
        <v>2791</v>
      </c>
      <c r="V78">
        <v>3052</v>
      </c>
      <c r="W78">
        <v>3370</v>
      </c>
      <c r="X78">
        <v>3185</v>
      </c>
      <c r="Y78">
        <v>3090</v>
      </c>
      <c r="Z78">
        <v>3143</v>
      </c>
      <c r="AA78">
        <v>2611</v>
      </c>
      <c r="AB78" s="851">
        <v>2377</v>
      </c>
      <c r="AC78" s="563">
        <v>2489</v>
      </c>
      <c r="AD78" s="563">
        <v>2625</v>
      </c>
      <c r="AE78" s="563">
        <v>2281</v>
      </c>
      <c r="AF78" s="563">
        <v>2704</v>
      </c>
      <c r="AG78" s="18">
        <f t="shared" ref="AG78:AS78" si="139">AF78</f>
        <v>2704</v>
      </c>
      <c r="AH78" s="18">
        <f t="shared" si="139"/>
        <v>2704</v>
      </c>
      <c r="AI78" s="18">
        <f t="shared" si="139"/>
        <v>2704</v>
      </c>
      <c r="AJ78" s="18">
        <f t="shared" si="139"/>
        <v>2704</v>
      </c>
      <c r="AK78" s="18">
        <f t="shared" si="139"/>
        <v>2704</v>
      </c>
      <c r="AL78" s="18">
        <f t="shared" si="139"/>
        <v>2704</v>
      </c>
      <c r="AM78" s="18">
        <f t="shared" si="139"/>
        <v>2704</v>
      </c>
      <c r="AN78" s="18">
        <f t="shared" si="139"/>
        <v>2704</v>
      </c>
      <c r="AO78" s="18">
        <f t="shared" si="139"/>
        <v>2704</v>
      </c>
      <c r="AP78" s="18">
        <f t="shared" si="139"/>
        <v>2704</v>
      </c>
      <c r="AQ78" s="18">
        <f t="shared" si="139"/>
        <v>2704</v>
      </c>
      <c r="AR78" s="18">
        <f t="shared" si="139"/>
        <v>2704</v>
      </c>
      <c r="AS78" s="18">
        <f t="shared" si="139"/>
        <v>2704</v>
      </c>
      <c r="AT78" s="18">
        <f t="shared" ref="AT78:AT79" si="140">AS78</f>
        <v>2704</v>
      </c>
      <c r="AU78" s="18">
        <f t="shared" ref="AU78:AU79" si="141">AT78</f>
        <v>2704</v>
      </c>
      <c r="AV78" s="18">
        <f t="shared" ref="AV78:AV79" si="142">AU78</f>
        <v>2704</v>
      </c>
      <c r="AW78" s="18">
        <f t="shared" ref="AW78:AW79" si="143">AV78</f>
        <v>2704</v>
      </c>
    </row>
    <row r="79" spans="1:49">
      <c r="A79" t="s">
        <v>28</v>
      </c>
      <c r="N79">
        <v>12084</v>
      </c>
      <c r="O79">
        <v>11628</v>
      </c>
      <c r="P79">
        <v>8275</v>
      </c>
      <c r="Q79">
        <v>10329</v>
      </c>
      <c r="R79">
        <v>7806</v>
      </c>
      <c r="S79">
        <v>7709</v>
      </c>
      <c r="T79">
        <v>8275</v>
      </c>
      <c r="U79">
        <v>8613</v>
      </c>
      <c r="V79">
        <v>7881</v>
      </c>
      <c r="W79">
        <v>7391</v>
      </c>
      <c r="X79">
        <v>7443</v>
      </c>
      <c r="Y79">
        <v>7021</v>
      </c>
      <c r="Z79">
        <v>6294</v>
      </c>
      <c r="AA79">
        <v>6149</v>
      </c>
      <c r="AB79" s="851">
        <v>6012</v>
      </c>
      <c r="AC79" s="563">
        <v>6777</v>
      </c>
      <c r="AD79" s="563">
        <v>7001</v>
      </c>
      <c r="AE79" s="563">
        <v>6633</v>
      </c>
      <c r="AF79" s="563">
        <v>6173</v>
      </c>
      <c r="AG79" s="18">
        <f t="shared" ref="AG79:AS79" si="144">AF79</f>
        <v>6173</v>
      </c>
      <c r="AH79" s="18">
        <f t="shared" si="144"/>
        <v>6173</v>
      </c>
      <c r="AI79" s="18">
        <f t="shared" si="144"/>
        <v>6173</v>
      </c>
      <c r="AJ79" s="18">
        <f t="shared" si="144"/>
        <v>6173</v>
      </c>
      <c r="AK79" s="18">
        <f t="shared" si="144"/>
        <v>6173</v>
      </c>
      <c r="AL79" s="18">
        <f t="shared" si="144"/>
        <v>6173</v>
      </c>
      <c r="AM79" s="18">
        <f t="shared" si="144"/>
        <v>6173</v>
      </c>
      <c r="AN79" s="18">
        <f t="shared" si="144"/>
        <v>6173</v>
      </c>
      <c r="AO79" s="18">
        <f t="shared" si="144"/>
        <v>6173</v>
      </c>
      <c r="AP79" s="18">
        <f t="shared" si="144"/>
        <v>6173</v>
      </c>
      <c r="AQ79" s="18">
        <f t="shared" si="144"/>
        <v>6173</v>
      </c>
      <c r="AR79" s="18">
        <f t="shared" si="144"/>
        <v>6173</v>
      </c>
      <c r="AS79" s="18">
        <f t="shared" si="144"/>
        <v>6173</v>
      </c>
      <c r="AT79" s="18">
        <f t="shared" si="140"/>
        <v>6173</v>
      </c>
      <c r="AU79" s="18">
        <f t="shared" si="141"/>
        <v>6173</v>
      </c>
      <c r="AV79" s="18">
        <f t="shared" si="142"/>
        <v>6173</v>
      </c>
      <c r="AW79" s="18">
        <f t="shared" si="143"/>
        <v>6173</v>
      </c>
    </row>
    <row r="80" spans="1:49">
      <c r="A80" t="s">
        <v>29</v>
      </c>
      <c r="N80">
        <v>248995</v>
      </c>
      <c r="O80">
        <v>246186</v>
      </c>
      <c r="P80">
        <v>265243</v>
      </c>
      <c r="Q80">
        <v>247054</v>
      </c>
      <c r="R80">
        <v>250659</v>
      </c>
      <c r="S80">
        <v>254532</v>
      </c>
      <c r="T80">
        <v>265243</v>
      </c>
      <c r="U80">
        <v>272551</v>
      </c>
      <c r="V80">
        <v>270774</v>
      </c>
      <c r="W80">
        <v>270171</v>
      </c>
      <c r="X80">
        <v>274825</v>
      </c>
      <c r="Y80">
        <v>272995</v>
      </c>
      <c r="Z80">
        <v>270248</v>
      </c>
      <c r="AA80">
        <v>273835</v>
      </c>
      <c r="AB80" s="851">
        <v>274606</v>
      </c>
      <c r="AC80" s="1146">
        <v>275976</v>
      </c>
      <c r="AD80" s="1146">
        <v>276370</v>
      </c>
      <c r="AE80" s="1146">
        <v>273865</v>
      </c>
      <c r="AF80" s="1146">
        <v>275853</v>
      </c>
      <c r="AG80" s="91">
        <f>AG121</f>
        <v>281186.10172843392</v>
      </c>
      <c r="AH80" s="91">
        <f t="shared" ref="AH80:AS80" si="145">AH121</f>
        <v>286615.53370619303</v>
      </c>
      <c r="AI80" s="91">
        <f t="shared" si="145"/>
        <v>292229.24947917898</v>
      </c>
      <c r="AJ80" s="91">
        <f t="shared" si="145"/>
        <v>298036.14893877122</v>
      </c>
      <c r="AK80" s="91">
        <f t="shared" si="145"/>
        <v>304045.61255304958</v>
      </c>
      <c r="AL80" s="91">
        <f t="shared" si="145"/>
        <v>310262.55472674378</v>
      </c>
      <c r="AM80" s="91">
        <f t="shared" si="145"/>
        <v>316706.56751877523</v>
      </c>
      <c r="AN80" s="91">
        <f t="shared" si="145"/>
        <v>323389.06541878165</v>
      </c>
      <c r="AO80" s="91">
        <f t="shared" si="145"/>
        <v>330322.0922516702</v>
      </c>
      <c r="AP80" s="91">
        <f t="shared" si="145"/>
        <v>337425.2040372495</v>
      </c>
      <c r="AQ80" s="91">
        <f t="shared" si="145"/>
        <v>344801.23361231701</v>
      </c>
      <c r="AR80" s="91">
        <f t="shared" si="145"/>
        <v>352464.12538878951</v>
      </c>
      <c r="AS80" s="91">
        <f t="shared" si="145"/>
        <v>360428.59317161428</v>
      </c>
      <c r="AT80" s="91">
        <f t="shared" ref="AT80:AW80" si="146">AT121</f>
        <v>368570.07774243114</v>
      </c>
      <c r="AU80" s="91">
        <f t="shared" si="146"/>
        <v>377036.90188378625</v>
      </c>
      <c r="AV80" s="91">
        <f t="shared" si="146"/>
        <v>385845.79011244531</v>
      </c>
      <c r="AW80" s="91">
        <f t="shared" si="146"/>
        <v>395014.38351362984</v>
      </c>
    </row>
    <row r="81" spans="1:49">
      <c r="A81" t="s">
        <v>30</v>
      </c>
      <c r="N81">
        <v>5593</v>
      </c>
      <c r="O81">
        <v>5459</v>
      </c>
      <c r="P81">
        <v>4875</v>
      </c>
      <c r="Q81">
        <v>5091</v>
      </c>
      <c r="R81">
        <v>4926</v>
      </c>
      <c r="S81">
        <v>4811</v>
      </c>
      <c r="T81">
        <v>4875</v>
      </c>
      <c r="U81">
        <v>4641</v>
      </c>
      <c r="V81">
        <v>4520</v>
      </c>
      <c r="W81">
        <v>4429</v>
      </c>
      <c r="X81">
        <v>4519</v>
      </c>
      <c r="Y81">
        <v>4644</v>
      </c>
      <c r="Z81">
        <v>4609</v>
      </c>
      <c r="AA81">
        <v>4693</v>
      </c>
      <c r="AB81" s="851">
        <v>4640</v>
      </c>
      <c r="AC81" s="563">
        <v>4711</v>
      </c>
      <c r="AD81" s="563">
        <v>4667</v>
      </c>
      <c r="AE81" s="563">
        <v>4525</v>
      </c>
      <c r="AF81" s="563">
        <v>4591</v>
      </c>
      <c r="AG81" s="18">
        <f t="shared" ref="AG81:AS81" si="147">AF81</f>
        <v>4591</v>
      </c>
      <c r="AH81" s="18">
        <f t="shared" si="147"/>
        <v>4591</v>
      </c>
      <c r="AI81" s="18">
        <f t="shared" si="147"/>
        <v>4591</v>
      </c>
      <c r="AJ81" s="18">
        <f t="shared" si="147"/>
        <v>4591</v>
      </c>
      <c r="AK81" s="18">
        <f t="shared" si="147"/>
        <v>4591</v>
      </c>
      <c r="AL81" s="18">
        <f t="shared" si="147"/>
        <v>4591</v>
      </c>
      <c r="AM81" s="18">
        <f t="shared" si="147"/>
        <v>4591</v>
      </c>
      <c r="AN81" s="18">
        <f t="shared" si="147"/>
        <v>4591</v>
      </c>
      <c r="AO81" s="18">
        <f t="shared" si="147"/>
        <v>4591</v>
      </c>
      <c r="AP81" s="18">
        <f t="shared" si="147"/>
        <v>4591</v>
      </c>
      <c r="AQ81" s="18">
        <f t="shared" si="147"/>
        <v>4591</v>
      </c>
      <c r="AR81" s="18">
        <f t="shared" si="147"/>
        <v>4591</v>
      </c>
      <c r="AS81" s="18">
        <f t="shared" si="147"/>
        <v>4591</v>
      </c>
      <c r="AT81" s="18">
        <f t="shared" ref="AT81:AT86" si="148">AS81</f>
        <v>4591</v>
      </c>
      <c r="AU81" s="18">
        <f t="shared" ref="AU81:AU86" si="149">AT81</f>
        <v>4591</v>
      </c>
      <c r="AV81" s="18">
        <f t="shared" ref="AV81:AV86" si="150">AU81</f>
        <v>4591</v>
      </c>
      <c r="AW81" s="18">
        <f t="shared" ref="AW81:AW86" si="151">AV81</f>
        <v>4591</v>
      </c>
    </row>
    <row r="82" spans="1:49">
      <c r="A82" t="s">
        <v>31</v>
      </c>
      <c r="N82">
        <v>8584</v>
      </c>
      <c r="O82">
        <v>8554</v>
      </c>
      <c r="P82">
        <v>8435</v>
      </c>
      <c r="Q82">
        <v>7999</v>
      </c>
      <c r="R82">
        <v>7956</v>
      </c>
      <c r="S82">
        <v>7983</v>
      </c>
      <c r="T82">
        <v>8435</v>
      </c>
      <c r="U82">
        <v>8644</v>
      </c>
      <c r="V82">
        <v>8504</v>
      </c>
      <c r="W82">
        <v>8238</v>
      </c>
      <c r="X82">
        <v>8526</v>
      </c>
      <c r="Y82">
        <v>4808</v>
      </c>
      <c r="Z82">
        <v>4688</v>
      </c>
      <c r="AA82">
        <v>4745</v>
      </c>
      <c r="AB82" s="851">
        <v>4725</v>
      </c>
      <c r="AC82" s="563">
        <v>4913</v>
      </c>
      <c r="AD82" s="563">
        <v>4831</v>
      </c>
      <c r="AE82" s="563">
        <v>4673</v>
      </c>
      <c r="AF82" s="563">
        <v>4715</v>
      </c>
      <c r="AG82" s="18">
        <f t="shared" ref="AG82:AS82" si="152">AF82</f>
        <v>4715</v>
      </c>
      <c r="AH82" s="18">
        <f t="shared" si="152"/>
        <v>4715</v>
      </c>
      <c r="AI82" s="18">
        <f t="shared" si="152"/>
        <v>4715</v>
      </c>
      <c r="AJ82" s="18">
        <f t="shared" si="152"/>
        <v>4715</v>
      </c>
      <c r="AK82" s="18">
        <f t="shared" si="152"/>
        <v>4715</v>
      </c>
      <c r="AL82" s="18">
        <f t="shared" si="152"/>
        <v>4715</v>
      </c>
      <c r="AM82" s="18">
        <f t="shared" si="152"/>
        <v>4715</v>
      </c>
      <c r="AN82" s="18">
        <f t="shared" si="152"/>
        <v>4715</v>
      </c>
      <c r="AO82" s="18">
        <f t="shared" si="152"/>
        <v>4715</v>
      </c>
      <c r="AP82" s="18">
        <f t="shared" si="152"/>
        <v>4715</v>
      </c>
      <c r="AQ82" s="18">
        <f t="shared" si="152"/>
        <v>4715</v>
      </c>
      <c r="AR82" s="18">
        <f t="shared" si="152"/>
        <v>4715</v>
      </c>
      <c r="AS82" s="18">
        <f t="shared" si="152"/>
        <v>4715</v>
      </c>
      <c r="AT82" s="18">
        <f t="shared" si="148"/>
        <v>4715</v>
      </c>
      <c r="AU82" s="18">
        <f t="shared" si="149"/>
        <v>4715</v>
      </c>
      <c r="AV82" s="18">
        <f t="shared" si="150"/>
        <v>4715</v>
      </c>
      <c r="AW82" s="18">
        <f t="shared" si="151"/>
        <v>4715</v>
      </c>
    </row>
    <row r="83" spans="1:49">
      <c r="A83" t="s">
        <v>32</v>
      </c>
      <c r="N83">
        <v>256</v>
      </c>
      <c r="O83">
        <v>237</v>
      </c>
      <c r="P83">
        <v>251</v>
      </c>
      <c r="Q83">
        <v>210</v>
      </c>
      <c r="R83">
        <v>228</v>
      </c>
      <c r="S83">
        <v>245</v>
      </c>
      <c r="T83">
        <v>251</v>
      </c>
      <c r="U83">
        <v>249</v>
      </c>
      <c r="V83">
        <v>220</v>
      </c>
      <c r="W83">
        <v>205</v>
      </c>
      <c r="X83">
        <v>209</v>
      </c>
      <c r="Y83">
        <v>196</v>
      </c>
      <c r="Z83">
        <v>186</v>
      </c>
      <c r="AA83">
        <v>191</v>
      </c>
      <c r="AB83" s="851">
        <v>192</v>
      </c>
      <c r="AC83" s="563">
        <v>213</v>
      </c>
      <c r="AD83" s="563">
        <v>202</v>
      </c>
      <c r="AE83" s="563">
        <v>195</v>
      </c>
      <c r="AF83" s="563">
        <v>219</v>
      </c>
      <c r="AG83" s="18">
        <f t="shared" ref="AG83:AS83" si="153">AF83</f>
        <v>219</v>
      </c>
      <c r="AH83" s="18">
        <f t="shared" si="153"/>
        <v>219</v>
      </c>
      <c r="AI83" s="18">
        <f t="shared" si="153"/>
        <v>219</v>
      </c>
      <c r="AJ83" s="18">
        <f t="shared" si="153"/>
        <v>219</v>
      </c>
      <c r="AK83" s="18">
        <f t="shared" si="153"/>
        <v>219</v>
      </c>
      <c r="AL83" s="18">
        <f t="shared" si="153"/>
        <v>219</v>
      </c>
      <c r="AM83" s="18">
        <f t="shared" si="153"/>
        <v>219</v>
      </c>
      <c r="AN83" s="18">
        <f t="shared" si="153"/>
        <v>219</v>
      </c>
      <c r="AO83" s="18">
        <f t="shared" si="153"/>
        <v>219</v>
      </c>
      <c r="AP83" s="18">
        <f t="shared" si="153"/>
        <v>219</v>
      </c>
      <c r="AQ83" s="18">
        <f t="shared" si="153"/>
        <v>219</v>
      </c>
      <c r="AR83" s="18">
        <f t="shared" si="153"/>
        <v>219</v>
      </c>
      <c r="AS83" s="18">
        <f t="shared" si="153"/>
        <v>219</v>
      </c>
      <c r="AT83" s="18">
        <f t="shared" si="148"/>
        <v>219</v>
      </c>
      <c r="AU83" s="18">
        <f t="shared" si="149"/>
        <v>219</v>
      </c>
      <c r="AV83" s="18">
        <f t="shared" si="150"/>
        <v>219</v>
      </c>
      <c r="AW83" s="18">
        <f t="shared" si="151"/>
        <v>219</v>
      </c>
    </row>
    <row r="84" spans="1:49">
      <c r="A84" t="s">
        <v>33</v>
      </c>
      <c r="N84">
        <v>58538</v>
      </c>
      <c r="O84">
        <v>72247</v>
      </c>
      <c r="P84">
        <v>61519</v>
      </c>
      <c r="Q84">
        <v>52045</v>
      </c>
      <c r="R84">
        <v>49353</v>
      </c>
      <c r="S84">
        <v>56309</v>
      </c>
      <c r="T84">
        <v>61519</v>
      </c>
      <c r="U84">
        <v>41629</v>
      </c>
      <c r="V84">
        <v>45383</v>
      </c>
      <c r="W84">
        <v>48414</v>
      </c>
      <c r="X84">
        <v>48501</v>
      </c>
      <c r="Y84">
        <v>34542</v>
      </c>
      <c r="Z84">
        <v>35504</v>
      </c>
      <c r="AA84">
        <v>42108</v>
      </c>
      <c r="AB84" s="851">
        <v>39392</v>
      </c>
      <c r="AC84" s="563">
        <v>33431</v>
      </c>
      <c r="AD84" s="563">
        <v>41700</v>
      </c>
      <c r="AE84" s="563">
        <v>40279</v>
      </c>
      <c r="AF84" s="563">
        <v>35525</v>
      </c>
      <c r="AG84" s="18">
        <f t="shared" ref="AG84:AS84" si="154">AF84</f>
        <v>35525</v>
      </c>
      <c r="AH84" s="18">
        <f t="shared" si="154"/>
        <v>35525</v>
      </c>
      <c r="AI84" s="18">
        <f t="shared" si="154"/>
        <v>35525</v>
      </c>
      <c r="AJ84" s="18">
        <f t="shared" si="154"/>
        <v>35525</v>
      </c>
      <c r="AK84" s="18">
        <f t="shared" si="154"/>
        <v>35525</v>
      </c>
      <c r="AL84" s="18">
        <f t="shared" si="154"/>
        <v>35525</v>
      </c>
      <c r="AM84" s="18">
        <f t="shared" si="154"/>
        <v>35525</v>
      </c>
      <c r="AN84" s="18">
        <f t="shared" si="154"/>
        <v>35525</v>
      </c>
      <c r="AO84" s="18">
        <f t="shared" si="154"/>
        <v>35525</v>
      </c>
      <c r="AP84" s="18">
        <f t="shared" si="154"/>
        <v>35525</v>
      </c>
      <c r="AQ84" s="18">
        <f t="shared" si="154"/>
        <v>35525</v>
      </c>
      <c r="AR84" s="18">
        <f t="shared" si="154"/>
        <v>35525</v>
      </c>
      <c r="AS84" s="18">
        <f t="shared" si="154"/>
        <v>35525</v>
      </c>
      <c r="AT84" s="18">
        <f t="shared" si="148"/>
        <v>35525</v>
      </c>
      <c r="AU84" s="18">
        <f t="shared" si="149"/>
        <v>35525</v>
      </c>
      <c r="AV84" s="18">
        <f t="shared" si="150"/>
        <v>35525</v>
      </c>
      <c r="AW84" s="18">
        <f t="shared" si="151"/>
        <v>35525</v>
      </c>
    </row>
    <row r="85" spans="1:49">
      <c r="A85" t="s">
        <v>34</v>
      </c>
      <c r="N85">
        <v>72204</v>
      </c>
      <c r="O85">
        <v>72986</v>
      </c>
      <c r="P85">
        <v>68614</v>
      </c>
      <c r="Q85">
        <v>63065</v>
      </c>
      <c r="R85">
        <v>62405</v>
      </c>
      <c r="S85">
        <v>64689</v>
      </c>
      <c r="T85">
        <v>68614</v>
      </c>
      <c r="U85">
        <v>70558</v>
      </c>
      <c r="V85">
        <v>66497</v>
      </c>
      <c r="W85">
        <v>59749</v>
      </c>
      <c r="X85">
        <v>57262</v>
      </c>
      <c r="Y85">
        <v>58017</v>
      </c>
      <c r="Z85">
        <v>44627</v>
      </c>
      <c r="AA85">
        <v>46283</v>
      </c>
      <c r="AB85" s="851">
        <v>42598</v>
      </c>
      <c r="AC85" s="563">
        <v>36865</v>
      </c>
      <c r="AD85" s="563">
        <v>36269</v>
      </c>
      <c r="AE85" s="563">
        <v>36274</v>
      </c>
      <c r="AF85" s="563">
        <v>34126</v>
      </c>
      <c r="AG85" s="18">
        <f>AF85-2300</f>
        <v>31826</v>
      </c>
      <c r="AH85" s="18">
        <f t="shared" ref="AH85:AS85" si="155">AG85</f>
        <v>31826</v>
      </c>
      <c r="AI85" s="18">
        <f t="shared" si="155"/>
        <v>31826</v>
      </c>
      <c r="AJ85" s="18">
        <f t="shared" si="155"/>
        <v>31826</v>
      </c>
      <c r="AK85" s="18">
        <f t="shared" si="155"/>
        <v>31826</v>
      </c>
      <c r="AL85" s="18">
        <f t="shared" si="155"/>
        <v>31826</v>
      </c>
      <c r="AM85" s="18">
        <f t="shared" si="155"/>
        <v>31826</v>
      </c>
      <c r="AN85" s="18">
        <f t="shared" si="155"/>
        <v>31826</v>
      </c>
      <c r="AO85" s="18">
        <f t="shared" si="155"/>
        <v>31826</v>
      </c>
      <c r="AP85" s="18">
        <f t="shared" si="155"/>
        <v>31826</v>
      </c>
      <c r="AQ85" s="18">
        <f t="shared" si="155"/>
        <v>31826</v>
      </c>
      <c r="AR85" s="18">
        <f t="shared" si="155"/>
        <v>31826</v>
      </c>
      <c r="AS85" s="18">
        <f t="shared" si="155"/>
        <v>31826</v>
      </c>
      <c r="AT85" s="18">
        <f t="shared" si="148"/>
        <v>31826</v>
      </c>
      <c r="AU85" s="18">
        <f t="shared" si="149"/>
        <v>31826</v>
      </c>
      <c r="AV85" s="18">
        <f t="shared" si="150"/>
        <v>31826</v>
      </c>
      <c r="AW85" s="18">
        <f t="shared" si="151"/>
        <v>31826</v>
      </c>
    </row>
    <row r="86" spans="1:49">
      <c r="A86" t="s">
        <v>35</v>
      </c>
      <c r="N86">
        <v>0</v>
      </c>
      <c r="O86">
        <v>0</v>
      </c>
      <c r="P86">
        <v>0</v>
      </c>
      <c r="Q86">
        <v>1584</v>
      </c>
      <c r="R86">
        <v>749</v>
      </c>
      <c r="S86">
        <v>979</v>
      </c>
      <c r="T86">
        <v>0</v>
      </c>
      <c r="U86">
        <v>0</v>
      </c>
      <c r="V86">
        <v>0</v>
      </c>
      <c r="W86">
        <v>0</v>
      </c>
      <c r="X86">
        <v>0</v>
      </c>
      <c r="Y86">
        <v>0</v>
      </c>
      <c r="Z86">
        <v>0</v>
      </c>
      <c r="AA86">
        <v>0</v>
      </c>
      <c r="AB86" s="851">
        <v>0</v>
      </c>
      <c r="AC86" s="563">
        <v>0</v>
      </c>
      <c r="AD86" s="563">
        <v>0</v>
      </c>
      <c r="AE86" s="563">
        <v>0</v>
      </c>
      <c r="AF86" s="563">
        <v>0</v>
      </c>
      <c r="AG86" s="18">
        <f t="shared" ref="AG86:AS86" si="156">AF86</f>
        <v>0</v>
      </c>
      <c r="AH86" s="18">
        <f t="shared" si="156"/>
        <v>0</v>
      </c>
      <c r="AI86" s="18">
        <f t="shared" si="156"/>
        <v>0</v>
      </c>
      <c r="AJ86" s="18">
        <f t="shared" si="156"/>
        <v>0</v>
      </c>
      <c r="AK86" s="18">
        <f t="shared" si="156"/>
        <v>0</v>
      </c>
      <c r="AL86" s="18">
        <f t="shared" si="156"/>
        <v>0</v>
      </c>
      <c r="AM86" s="18">
        <f t="shared" si="156"/>
        <v>0</v>
      </c>
      <c r="AN86" s="18">
        <f t="shared" si="156"/>
        <v>0</v>
      </c>
      <c r="AO86" s="18">
        <f t="shared" si="156"/>
        <v>0</v>
      </c>
      <c r="AP86" s="18">
        <f t="shared" si="156"/>
        <v>0</v>
      </c>
      <c r="AQ86" s="18">
        <f t="shared" si="156"/>
        <v>0</v>
      </c>
      <c r="AR86" s="18">
        <f t="shared" si="156"/>
        <v>0</v>
      </c>
      <c r="AS86" s="18">
        <f t="shared" si="156"/>
        <v>0</v>
      </c>
      <c r="AT86" s="18">
        <f t="shared" si="148"/>
        <v>0</v>
      </c>
      <c r="AU86" s="18">
        <f t="shared" si="149"/>
        <v>0</v>
      </c>
      <c r="AV86" s="18">
        <f t="shared" si="150"/>
        <v>0</v>
      </c>
      <c r="AW86" s="18">
        <f t="shared" si="151"/>
        <v>0</v>
      </c>
    </row>
    <row r="87" spans="1:49" s="142" customFormat="1" ht="16.5" thickBot="1">
      <c r="A87" s="142" t="s">
        <v>36</v>
      </c>
      <c r="N87" s="142">
        <f>SUM(N73:N86)</f>
        <v>946618</v>
      </c>
      <c r="O87" s="142">
        <f>SUM(O73:O86)</f>
        <v>919903</v>
      </c>
      <c r="P87" s="142">
        <f>SUM(P73:P86)</f>
        <v>954362</v>
      </c>
      <c r="Q87" s="142">
        <f>SUM(Q73:Q86)</f>
        <v>872806</v>
      </c>
      <c r="R87" s="142">
        <v>878090</v>
      </c>
      <c r="S87" s="142">
        <v>891580</v>
      </c>
      <c r="T87" s="142">
        <v>954362</v>
      </c>
      <c r="U87" s="142">
        <v>921462</v>
      </c>
      <c r="V87" s="142">
        <v>904390</v>
      </c>
      <c r="W87" s="142">
        <v>879322</v>
      </c>
      <c r="X87" s="142">
        <v>858420</v>
      </c>
      <c r="Y87" s="142">
        <v>820805</v>
      </c>
      <c r="Z87" s="142">
        <v>813898</v>
      </c>
      <c r="AA87" s="142">
        <v>821164</v>
      </c>
      <c r="AB87" s="142">
        <v>806711</v>
      </c>
      <c r="AC87" s="1147">
        <f t="shared" ref="AC87:AS87" si="157">SUM(AC73:AC86)</f>
        <v>819861</v>
      </c>
      <c r="AD87" s="1147">
        <f t="shared" si="157"/>
        <v>811979</v>
      </c>
      <c r="AE87" s="1147">
        <f t="shared" si="157"/>
        <v>783411</v>
      </c>
      <c r="AF87" s="1147">
        <f t="shared" si="157"/>
        <v>788690</v>
      </c>
      <c r="AG87" s="845">
        <f t="shared" si="157"/>
        <v>805853.98358487652</v>
      </c>
      <c r="AH87" s="845">
        <f t="shared" si="157"/>
        <v>810511.96692668926</v>
      </c>
      <c r="AI87" s="845">
        <f t="shared" si="157"/>
        <v>813956.90844579739</v>
      </c>
      <c r="AJ87" s="845">
        <f t="shared" si="157"/>
        <v>819752.36466160696</v>
      </c>
      <c r="AK87" s="845">
        <f t="shared" si="157"/>
        <v>826092.57295242569</v>
      </c>
      <c r="AL87" s="845">
        <f t="shared" si="157"/>
        <v>832850.98545623198</v>
      </c>
      <c r="AM87" s="845">
        <f t="shared" si="157"/>
        <v>837535.40858764364</v>
      </c>
      <c r="AN87" s="845">
        <f t="shared" si="157"/>
        <v>845215.13771459693</v>
      </c>
      <c r="AO87" s="845">
        <f t="shared" si="157"/>
        <v>853450.79543083347</v>
      </c>
      <c r="AP87" s="845">
        <f t="shared" si="157"/>
        <v>862021.43700874283</v>
      </c>
      <c r="AQ87" s="845">
        <f t="shared" si="157"/>
        <v>868548.80031548685</v>
      </c>
      <c r="AR87" s="845">
        <f t="shared" si="157"/>
        <v>878063.06572278449</v>
      </c>
      <c r="AS87" s="845">
        <f t="shared" si="157"/>
        <v>888119.73861969216</v>
      </c>
      <c r="AT87" s="845">
        <f t="shared" ref="AT87:AW87" si="158">SUM(AT73:AT86)</f>
        <v>898493.09986294748</v>
      </c>
      <c r="AU87" s="845">
        <f t="shared" si="158"/>
        <v>906103.56852686289</v>
      </c>
      <c r="AV87" s="845">
        <f t="shared" si="158"/>
        <v>917512.19072232279</v>
      </c>
      <c r="AW87" s="845">
        <f t="shared" si="158"/>
        <v>929521.96110302466</v>
      </c>
    </row>
    <row r="88" spans="1:49">
      <c r="AB88" s="851"/>
      <c r="AC88" s="563"/>
      <c r="AD88" s="563"/>
      <c r="AE88" s="563"/>
      <c r="AF88" s="563"/>
      <c r="AT88" s="18"/>
      <c r="AU88" s="18"/>
      <c r="AV88" s="18"/>
      <c r="AW88" s="18"/>
    </row>
    <row r="89" spans="1:49" s="10" customFormat="1" ht="16.5" thickBot="1">
      <c r="A89" s="10" t="s">
        <v>37</v>
      </c>
      <c r="AC89" s="1148"/>
      <c r="AD89" s="1148"/>
      <c r="AE89" s="1148"/>
      <c r="AF89" s="1148"/>
      <c r="AG89" s="22"/>
      <c r="AH89" s="22"/>
      <c r="AI89" s="22"/>
      <c r="AJ89" s="22"/>
      <c r="AK89" s="22"/>
      <c r="AL89" s="22"/>
      <c r="AM89" s="22"/>
      <c r="AN89" s="22"/>
      <c r="AO89" s="22"/>
      <c r="AP89" s="22"/>
      <c r="AQ89" s="22"/>
      <c r="AR89" s="22"/>
      <c r="AS89" s="22"/>
      <c r="AT89" s="22"/>
      <c r="AU89" s="22"/>
      <c r="AV89" s="22"/>
      <c r="AW89" s="22"/>
    </row>
    <row r="90" spans="1:49">
      <c r="A90" t="s">
        <v>38</v>
      </c>
      <c r="N90">
        <v>35033</v>
      </c>
      <c r="O90">
        <v>29440</v>
      </c>
      <c r="P90">
        <v>30548</v>
      </c>
      <c r="Q90">
        <v>23108</v>
      </c>
      <c r="R90">
        <v>24211</v>
      </c>
      <c r="S90">
        <v>26701</v>
      </c>
      <c r="T90">
        <v>30548</v>
      </c>
      <c r="U90">
        <v>26009</v>
      </c>
      <c r="V90">
        <v>27262</v>
      </c>
      <c r="W90">
        <v>30205</v>
      </c>
      <c r="X90">
        <v>27313</v>
      </c>
      <c r="Y90">
        <v>21054</v>
      </c>
      <c r="Z90">
        <v>23961</v>
      </c>
      <c r="AA90">
        <v>23229</v>
      </c>
      <c r="AB90" s="851">
        <v>21964</v>
      </c>
      <c r="AC90" s="563">
        <v>22800</v>
      </c>
      <c r="AD90" s="563">
        <v>20820</v>
      </c>
      <c r="AE90" s="563">
        <v>17654</v>
      </c>
      <c r="AF90" s="563">
        <v>17497</v>
      </c>
      <c r="AG90" s="18">
        <f t="shared" ref="AG90:AS90" si="159">AF90</f>
        <v>17497</v>
      </c>
      <c r="AH90" s="18">
        <f t="shared" si="159"/>
        <v>17497</v>
      </c>
      <c r="AI90" s="18">
        <f t="shared" si="159"/>
        <v>17497</v>
      </c>
      <c r="AJ90" s="18">
        <f t="shared" si="159"/>
        <v>17497</v>
      </c>
      <c r="AK90" s="18">
        <f t="shared" si="159"/>
        <v>17497</v>
      </c>
      <c r="AL90" s="18">
        <f t="shared" si="159"/>
        <v>17497</v>
      </c>
      <c r="AM90" s="18">
        <f t="shared" si="159"/>
        <v>17497</v>
      </c>
      <c r="AN90" s="18">
        <f t="shared" si="159"/>
        <v>17497</v>
      </c>
      <c r="AO90" s="18">
        <f t="shared" si="159"/>
        <v>17497</v>
      </c>
      <c r="AP90" s="18">
        <f t="shared" si="159"/>
        <v>17497</v>
      </c>
      <c r="AQ90" s="18">
        <f t="shared" si="159"/>
        <v>17497</v>
      </c>
      <c r="AR90" s="18">
        <f t="shared" si="159"/>
        <v>17497</v>
      </c>
      <c r="AS90" s="18">
        <f t="shared" si="159"/>
        <v>17497</v>
      </c>
      <c r="AT90" s="18">
        <f t="shared" ref="AT90" si="160">AS90</f>
        <v>17497</v>
      </c>
      <c r="AU90" s="18">
        <f t="shared" ref="AU90" si="161">AT90</f>
        <v>17497</v>
      </c>
      <c r="AV90" s="18">
        <f t="shared" ref="AV90" si="162">AU90</f>
        <v>17497</v>
      </c>
      <c r="AW90" s="18">
        <f t="shared" ref="AW90" si="163">AV90</f>
        <v>17497</v>
      </c>
    </row>
    <row r="91" spans="1:49">
      <c r="A91" t="s">
        <v>39</v>
      </c>
      <c r="N91">
        <v>316681</v>
      </c>
      <c r="O91">
        <v>328389</v>
      </c>
      <c r="P91">
        <v>363220</v>
      </c>
      <c r="Q91">
        <v>333089</v>
      </c>
      <c r="R91">
        <v>348450</v>
      </c>
      <c r="S91">
        <v>346296</v>
      </c>
      <c r="T91">
        <v>363220</v>
      </c>
      <c r="U91">
        <v>369058</v>
      </c>
      <c r="V91">
        <v>365007</v>
      </c>
      <c r="W91">
        <v>356453</v>
      </c>
      <c r="X91">
        <v>358760</v>
      </c>
      <c r="Y91">
        <v>342705</v>
      </c>
      <c r="Z91">
        <v>344545</v>
      </c>
      <c r="AA91">
        <v>347559</v>
      </c>
      <c r="AB91" s="851">
        <v>345148</v>
      </c>
      <c r="AC91" s="1136">
        <v>355833</v>
      </c>
      <c r="AD91" s="1136">
        <v>352092</v>
      </c>
      <c r="AE91" s="1136">
        <v>356674</v>
      </c>
      <c r="AF91" s="1136">
        <v>354386</v>
      </c>
      <c r="AG91" s="143">
        <f t="shared" ref="AG91:AS91" si="164">AF91*AG80/AF80</f>
        <v>361237.39037506492</v>
      </c>
      <c r="AH91" s="143">
        <f t="shared" si="164"/>
        <v>368212.53540111193</v>
      </c>
      <c r="AI91" s="143">
        <f t="shared" si="164"/>
        <v>375424.42824956891</v>
      </c>
      <c r="AJ91" s="143">
        <f t="shared" si="164"/>
        <v>382884.50253510161</v>
      </c>
      <c r="AK91" s="143">
        <f t="shared" si="164"/>
        <v>390604.8092651703</v>
      </c>
      <c r="AL91" s="143">
        <f t="shared" si="164"/>
        <v>398591.6619336814</v>
      </c>
      <c r="AM91" s="143">
        <f t="shared" si="164"/>
        <v>406870.23029188981</v>
      </c>
      <c r="AN91" s="143">
        <f t="shared" si="164"/>
        <v>415455.17843742989</v>
      </c>
      <c r="AO91" s="143">
        <f t="shared" si="164"/>
        <v>424361.97896959749</v>
      </c>
      <c r="AP91" s="143">
        <f t="shared" si="164"/>
        <v>433487.28619208303</v>
      </c>
      <c r="AQ91" s="143">
        <f t="shared" si="164"/>
        <v>442963.20857461961</v>
      </c>
      <c r="AR91" s="143">
        <f t="shared" si="164"/>
        <v>452807.66038444941</v>
      </c>
      <c r="AS91" s="143">
        <f t="shared" si="164"/>
        <v>463039.54432148882</v>
      </c>
      <c r="AT91" s="143">
        <f t="shared" ref="AT91" si="165">AS91*AT80/AS80</f>
        <v>473498.84021862788</v>
      </c>
      <c r="AU91" s="143">
        <f t="shared" ref="AU91" si="166">AT91*AU80/AT80</f>
        <v>484376.09709152131</v>
      </c>
      <c r="AV91" s="143">
        <f t="shared" ref="AV91" si="167">AU91*AV80/AU80</f>
        <v>495692.80078443588</v>
      </c>
      <c r="AW91" s="143">
        <f t="shared" ref="AW91" si="168">AV91*AW80/AV80</f>
        <v>507471.6146493284</v>
      </c>
    </row>
    <row r="92" spans="1:49">
      <c r="A92" t="s">
        <v>40</v>
      </c>
      <c r="N92">
        <v>127182</v>
      </c>
      <c r="O92">
        <v>99073</v>
      </c>
      <c r="P92">
        <v>89905</v>
      </c>
      <c r="Q92">
        <v>94032</v>
      </c>
      <c r="R92">
        <v>88675</v>
      </c>
      <c r="S92">
        <v>88066</v>
      </c>
      <c r="T92">
        <v>89905</v>
      </c>
      <c r="U92">
        <v>70119</v>
      </c>
      <c r="V92">
        <v>66140</v>
      </c>
      <c r="W92">
        <v>58567</v>
      </c>
      <c r="X92">
        <v>51313</v>
      </c>
      <c r="Y92">
        <v>46598</v>
      </c>
      <c r="Z92">
        <v>40150</v>
      </c>
      <c r="AA92">
        <v>32499</v>
      </c>
      <c r="AB92" s="851">
        <v>32261</v>
      </c>
      <c r="AC92" s="1136">
        <v>33016</v>
      </c>
      <c r="AD92" s="1136">
        <v>38113</v>
      </c>
      <c r="AE92" s="1136">
        <v>30711</v>
      </c>
      <c r="AF92" s="1136">
        <v>33146</v>
      </c>
      <c r="AG92" s="143">
        <f t="shared" ref="AG92:AS92" si="169">SUM($X$92:$AA$92)/SUM($X$75:$AA$75)*AG75</f>
        <v>46520.863363158656</v>
      </c>
      <c r="AH92" s="143">
        <f t="shared" si="169"/>
        <v>46520.863363158656</v>
      </c>
      <c r="AI92" s="143">
        <f t="shared" si="169"/>
        <v>46520.863363158656</v>
      </c>
      <c r="AJ92" s="143">
        <f t="shared" si="169"/>
        <v>46520.863363158656</v>
      </c>
      <c r="AK92" s="143">
        <f t="shared" si="169"/>
        <v>46520.863363158656</v>
      </c>
      <c r="AL92" s="143">
        <f t="shared" si="169"/>
        <v>46520.863363158656</v>
      </c>
      <c r="AM92" s="143">
        <f t="shared" si="169"/>
        <v>46520.863363158656</v>
      </c>
      <c r="AN92" s="143">
        <f t="shared" si="169"/>
        <v>46520.863363158656</v>
      </c>
      <c r="AO92" s="143">
        <f t="shared" si="169"/>
        <v>46520.863363158656</v>
      </c>
      <c r="AP92" s="143">
        <f t="shared" si="169"/>
        <v>46520.863363158656</v>
      </c>
      <c r="AQ92" s="143">
        <f t="shared" si="169"/>
        <v>46520.863363158656</v>
      </c>
      <c r="AR92" s="143">
        <f t="shared" si="169"/>
        <v>46520.863363158656</v>
      </c>
      <c r="AS92" s="143">
        <f t="shared" si="169"/>
        <v>46520.863363158656</v>
      </c>
      <c r="AT92" s="143">
        <f t="shared" ref="AT92:AW92" si="170">SUM($X$92:$AA$92)/SUM($X$75:$AA$75)*AT75</f>
        <v>46520.863363158656</v>
      </c>
      <c r="AU92" s="143">
        <f t="shared" si="170"/>
        <v>46520.863363158656</v>
      </c>
      <c r="AV92" s="143">
        <f t="shared" si="170"/>
        <v>46520.863363158656</v>
      </c>
      <c r="AW92" s="143">
        <f t="shared" si="170"/>
        <v>46520.863363158656</v>
      </c>
    </row>
    <row r="93" spans="1:49">
      <c r="A93" t="s">
        <v>41</v>
      </c>
      <c r="N93">
        <v>33199</v>
      </c>
      <c r="O93">
        <v>21675</v>
      </c>
      <c r="P93">
        <v>22246</v>
      </c>
      <c r="Q93">
        <v>22800</v>
      </c>
      <c r="R93">
        <v>23029</v>
      </c>
      <c r="S93">
        <v>21611</v>
      </c>
      <c r="T93">
        <v>22246</v>
      </c>
      <c r="U93">
        <v>26854</v>
      </c>
      <c r="V93">
        <v>28106</v>
      </c>
      <c r="W93">
        <v>28851</v>
      </c>
      <c r="X93">
        <v>26322</v>
      </c>
      <c r="Y93">
        <v>28511</v>
      </c>
      <c r="Z93">
        <v>25760</v>
      </c>
      <c r="AA93">
        <v>25993</v>
      </c>
      <c r="AB93" s="851">
        <v>27707</v>
      </c>
      <c r="AC93" s="563">
        <v>32564</v>
      </c>
      <c r="AD93" s="563">
        <v>37622</v>
      </c>
      <c r="AE93" s="563">
        <v>33385</v>
      </c>
      <c r="AF93" s="563">
        <v>35901</v>
      </c>
      <c r="AG93" s="18">
        <f t="shared" ref="AG93:AS93" si="171">AG76</f>
        <v>35901</v>
      </c>
      <c r="AH93" s="18">
        <f t="shared" si="171"/>
        <v>35901</v>
      </c>
      <c r="AI93" s="18">
        <f t="shared" si="171"/>
        <v>35901</v>
      </c>
      <c r="AJ93" s="18">
        <f t="shared" si="171"/>
        <v>35901</v>
      </c>
      <c r="AK93" s="18">
        <f t="shared" si="171"/>
        <v>35901</v>
      </c>
      <c r="AL93" s="18">
        <f t="shared" si="171"/>
        <v>35901</v>
      </c>
      <c r="AM93" s="18">
        <f t="shared" si="171"/>
        <v>35901</v>
      </c>
      <c r="AN93" s="18">
        <f t="shared" si="171"/>
        <v>35901</v>
      </c>
      <c r="AO93" s="18">
        <f t="shared" si="171"/>
        <v>35901</v>
      </c>
      <c r="AP93" s="18">
        <f t="shared" si="171"/>
        <v>35901</v>
      </c>
      <c r="AQ93" s="18">
        <f t="shared" si="171"/>
        <v>35901</v>
      </c>
      <c r="AR93" s="18">
        <f t="shared" si="171"/>
        <v>35901</v>
      </c>
      <c r="AS93" s="18">
        <f t="shared" si="171"/>
        <v>35901</v>
      </c>
      <c r="AT93" s="18">
        <f t="shared" ref="AT93:AW93" si="172">AT76</f>
        <v>35901</v>
      </c>
      <c r="AU93" s="18">
        <f t="shared" si="172"/>
        <v>35901</v>
      </c>
      <c r="AV93" s="18">
        <f t="shared" si="172"/>
        <v>35901</v>
      </c>
      <c r="AW93" s="18">
        <f t="shared" si="172"/>
        <v>35901</v>
      </c>
    </row>
    <row r="94" spans="1:49">
      <c r="A94" t="s">
        <v>42</v>
      </c>
      <c r="N94">
        <v>91490</v>
      </c>
      <c r="O94">
        <v>89917</v>
      </c>
      <c r="P94">
        <v>77902</v>
      </c>
      <c r="Q94">
        <v>76635</v>
      </c>
      <c r="R94">
        <v>73029</v>
      </c>
      <c r="S94">
        <v>75129</v>
      </c>
      <c r="T94">
        <v>77902</v>
      </c>
      <c r="U94">
        <v>72655</v>
      </c>
      <c r="V94">
        <v>69757</v>
      </c>
      <c r="W94">
        <v>59390</v>
      </c>
      <c r="X94">
        <v>62260</v>
      </c>
      <c r="Y94">
        <v>48971</v>
      </c>
      <c r="Z94">
        <v>53582</v>
      </c>
      <c r="AA94">
        <v>51682</v>
      </c>
      <c r="AB94" s="851">
        <v>47893</v>
      </c>
      <c r="AC94" s="1136">
        <v>44930</v>
      </c>
      <c r="AD94" s="1136">
        <v>47662</v>
      </c>
      <c r="AE94" s="1136">
        <v>43535</v>
      </c>
      <c r="AF94" s="1136">
        <v>43920</v>
      </c>
      <c r="AG94" s="143">
        <f t="shared" ref="AG94:AS94" si="173">SUM($X$94:$AA$94)/SUM($X$77:$AA$77)*AG77</f>
        <v>42735.626363611678</v>
      </c>
      <c r="AH94" s="143">
        <f t="shared" si="173"/>
        <v>39982.962712965418</v>
      </c>
      <c r="AI94" s="143">
        <f t="shared" si="173"/>
        <v>37407.60211876953</v>
      </c>
      <c r="AJ94" s="143">
        <f t="shared" si="173"/>
        <v>34998.124234110473</v>
      </c>
      <c r="AK94" s="143">
        <f t="shared" si="173"/>
        <v>32743.844313176243</v>
      </c>
      <c r="AL94" s="143">
        <f t="shared" si="173"/>
        <v>30634.765830122909</v>
      </c>
      <c r="AM94" s="143">
        <f t="shared" si="173"/>
        <v>28661.536149828771</v>
      </c>
      <c r="AN94" s="143">
        <f t="shared" si="173"/>
        <v>26815.405053959428</v>
      </c>
      <c r="AO94" s="143">
        <f t="shared" si="173"/>
        <v>25088.185938429149</v>
      </c>
      <c r="AP94" s="143">
        <f t="shared" si="173"/>
        <v>23472.21951019</v>
      </c>
      <c r="AQ94" s="143">
        <f t="shared" si="173"/>
        <v>21960.339822363439</v>
      </c>
      <c r="AR94" s="143">
        <f t="shared" si="173"/>
        <v>20545.842497098296</v>
      </c>
      <c r="AS94" s="143">
        <f t="shared" si="173"/>
        <v>19222.454995240565</v>
      </c>
      <c r="AT94" s="143">
        <f t="shared" ref="AT94:AW94" si="174">SUM($X$94:$AA$94)/SUM($X$77:$AA$77)*AT77</f>
        <v>17984.30880097684</v>
      </c>
      <c r="AU94" s="143">
        <f t="shared" si="174"/>
        <v>16825.913398105233</v>
      </c>
      <c r="AV94" s="143">
        <f t="shared" si="174"/>
        <v>15742.131922532359</v>
      </c>
      <c r="AW94" s="143">
        <f t="shared" si="174"/>
        <v>14728.158383028336</v>
      </c>
    </row>
    <row r="95" spans="1:49">
      <c r="A95" t="s">
        <v>43</v>
      </c>
      <c r="N95">
        <v>24657</v>
      </c>
      <c r="O95">
        <v>20976</v>
      </c>
      <c r="P95">
        <v>32310</v>
      </c>
      <c r="Q95">
        <v>20193</v>
      </c>
      <c r="R95">
        <v>24181</v>
      </c>
      <c r="S95">
        <v>29426</v>
      </c>
      <c r="T95">
        <v>32310</v>
      </c>
      <c r="U95">
        <v>25921</v>
      </c>
      <c r="V95">
        <v>27577</v>
      </c>
      <c r="W95">
        <v>26401</v>
      </c>
      <c r="X95">
        <v>14007</v>
      </c>
      <c r="Y95">
        <v>8657</v>
      </c>
      <c r="Z95">
        <v>14768</v>
      </c>
      <c r="AA95">
        <v>11178</v>
      </c>
      <c r="AB95" s="851">
        <v>11600</v>
      </c>
      <c r="AC95" s="563">
        <v>15385</v>
      </c>
      <c r="AD95" s="563">
        <v>13784</v>
      </c>
      <c r="AE95" s="563">
        <v>17237</v>
      </c>
      <c r="AF95" s="563">
        <v>16227</v>
      </c>
      <c r="AG95" s="18">
        <f t="shared" ref="AG95:AS95" si="175">AF95</f>
        <v>16227</v>
      </c>
      <c r="AH95" s="18">
        <f t="shared" si="175"/>
        <v>16227</v>
      </c>
      <c r="AI95" s="18">
        <f t="shared" si="175"/>
        <v>16227</v>
      </c>
      <c r="AJ95" s="18">
        <f t="shared" si="175"/>
        <v>16227</v>
      </c>
      <c r="AK95" s="18">
        <f t="shared" si="175"/>
        <v>16227</v>
      </c>
      <c r="AL95" s="18">
        <f t="shared" si="175"/>
        <v>16227</v>
      </c>
      <c r="AM95" s="18">
        <f t="shared" si="175"/>
        <v>16227</v>
      </c>
      <c r="AN95" s="18">
        <f t="shared" si="175"/>
        <v>16227</v>
      </c>
      <c r="AO95" s="18">
        <f t="shared" si="175"/>
        <v>16227</v>
      </c>
      <c r="AP95" s="18">
        <f t="shared" si="175"/>
        <v>16227</v>
      </c>
      <c r="AQ95" s="18">
        <f t="shared" si="175"/>
        <v>16227</v>
      </c>
      <c r="AR95" s="18">
        <f t="shared" si="175"/>
        <v>16227</v>
      </c>
      <c r="AS95" s="18">
        <f t="shared" si="175"/>
        <v>16227</v>
      </c>
      <c r="AT95" s="18">
        <f t="shared" ref="AT95:AT99" si="176">AS95</f>
        <v>16227</v>
      </c>
      <c r="AU95" s="18">
        <f t="shared" ref="AU95:AU99" si="177">AT95</f>
        <v>16227</v>
      </c>
      <c r="AV95" s="18">
        <f t="shared" ref="AV95:AV99" si="178">AU95</f>
        <v>16227</v>
      </c>
      <c r="AW95" s="18">
        <f t="shared" ref="AW95:AW99" si="179">AV95</f>
        <v>16227</v>
      </c>
    </row>
    <row r="96" spans="1:49">
      <c r="A96" t="s">
        <v>44</v>
      </c>
      <c r="N96">
        <v>143094</v>
      </c>
      <c r="O96">
        <v>133505</v>
      </c>
      <c r="P96">
        <v>163676</v>
      </c>
      <c r="Q96">
        <v>130042</v>
      </c>
      <c r="R96">
        <v>132434</v>
      </c>
      <c r="S96">
        <v>143827</v>
      </c>
      <c r="T96">
        <v>163676</v>
      </c>
      <c r="U96">
        <v>177898</v>
      </c>
      <c r="V96">
        <v>175678</v>
      </c>
      <c r="W96">
        <v>182655</v>
      </c>
      <c r="X96">
        <v>190126</v>
      </c>
      <c r="Y96">
        <v>197608</v>
      </c>
      <c r="Z96">
        <v>183490</v>
      </c>
      <c r="AA96">
        <v>200226</v>
      </c>
      <c r="AB96" s="851">
        <v>195455</v>
      </c>
      <c r="AC96" s="563">
        <v>193315</v>
      </c>
      <c r="AD96" s="563">
        <v>187321</v>
      </c>
      <c r="AE96" s="563">
        <v>176700</v>
      </c>
      <c r="AF96" s="563">
        <v>180294</v>
      </c>
      <c r="AG96" s="18">
        <f t="shared" ref="AG96:AS96" si="180">AF96</f>
        <v>180294</v>
      </c>
      <c r="AH96" s="18">
        <f t="shared" si="180"/>
        <v>180294</v>
      </c>
      <c r="AI96" s="18">
        <f t="shared" si="180"/>
        <v>180294</v>
      </c>
      <c r="AJ96" s="18">
        <f t="shared" si="180"/>
        <v>180294</v>
      </c>
      <c r="AK96" s="18">
        <f t="shared" si="180"/>
        <v>180294</v>
      </c>
      <c r="AL96" s="18">
        <f t="shared" si="180"/>
        <v>180294</v>
      </c>
      <c r="AM96" s="18">
        <f t="shared" si="180"/>
        <v>180294</v>
      </c>
      <c r="AN96" s="18">
        <f t="shared" si="180"/>
        <v>180294</v>
      </c>
      <c r="AO96" s="18">
        <f t="shared" si="180"/>
        <v>180294</v>
      </c>
      <c r="AP96" s="18">
        <f t="shared" si="180"/>
        <v>180294</v>
      </c>
      <c r="AQ96" s="18">
        <f t="shared" si="180"/>
        <v>180294</v>
      </c>
      <c r="AR96" s="18">
        <f t="shared" si="180"/>
        <v>180294</v>
      </c>
      <c r="AS96" s="18">
        <f t="shared" si="180"/>
        <v>180294</v>
      </c>
      <c r="AT96" s="18">
        <f t="shared" si="176"/>
        <v>180294</v>
      </c>
      <c r="AU96" s="18">
        <f t="shared" si="177"/>
        <v>180294</v>
      </c>
      <c r="AV96" s="18">
        <f t="shared" si="178"/>
        <v>180294</v>
      </c>
      <c r="AW96" s="18">
        <f t="shared" si="179"/>
        <v>180294</v>
      </c>
    </row>
    <row r="97" spans="1:49">
      <c r="A97" t="s">
        <v>45</v>
      </c>
      <c r="N97">
        <v>73466</v>
      </c>
      <c r="O97">
        <v>91404</v>
      </c>
      <c r="P97">
        <v>76708</v>
      </c>
      <c r="Q97">
        <v>73154</v>
      </c>
      <c r="R97">
        <v>70250</v>
      </c>
      <c r="S97">
        <v>68842</v>
      </c>
      <c r="T97">
        <v>76708</v>
      </c>
      <c r="U97">
        <v>56977</v>
      </c>
      <c r="V97">
        <v>55229</v>
      </c>
      <c r="W97">
        <v>48039</v>
      </c>
      <c r="X97">
        <v>40069</v>
      </c>
      <c r="Y97">
        <v>39452</v>
      </c>
      <c r="Z97">
        <v>41880</v>
      </c>
      <c r="AA97">
        <v>43944</v>
      </c>
      <c r="AB97" s="851">
        <v>42188</v>
      </c>
      <c r="AC97" s="563">
        <v>39852</v>
      </c>
      <c r="AD97" s="563">
        <v>41226</v>
      </c>
      <c r="AE97" s="563">
        <v>33545</v>
      </c>
      <c r="AF97" s="563">
        <v>32416</v>
      </c>
      <c r="AG97" s="18">
        <f t="shared" ref="AG97:AS97" si="181">AF97</f>
        <v>32416</v>
      </c>
      <c r="AH97" s="18">
        <f t="shared" si="181"/>
        <v>32416</v>
      </c>
      <c r="AI97" s="18">
        <f t="shared" si="181"/>
        <v>32416</v>
      </c>
      <c r="AJ97" s="18">
        <f t="shared" si="181"/>
        <v>32416</v>
      </c>
      <c r="AK97" s="18">
        <f t="shared" si="181"/>
        <v>32416</v>
      </c>
      <c r="AL97" s="18">
        <f t="shared" si="181"/>
        <v>32416</v>
      </c>
      <c r="AM97" s="18">
        <f t="shared" si="181"/>
        <v>32416</v>
      </c>
      <c r="AN97" s="18">
        <f t="shared" si="181"/>
        <v>32416</v>
      </c>
      <c r="AO97" s="18">
        <f t="shared" si="181"/>
        <v>32416</v>
      </c>
      <c r="AP97" s="18">
        <f t="shared" si="181"/>
        <v>32416</v>
      </c>
      <c r="AQ97" s="18">
        <f t="shared" si="181"/>
        <v>32416</v>
      </c>
      <c r="AR97" s="18">
        <f t="shared" si="181"/>
        <v>32416</v>
      </c>
      <c r="AS97" s="18">
        <f t="shared" si="181"/>
        <v>32416</v>
      </c>
      <c r="AT97" s="18">
        <f t="shared" si="176"/>
        <v>32416</v>
      </c>
      <c r="AU97" s="18">
        <f t="shared" si="177"/>
        <v>32416</v>
      </c>
      <c r="AV97" s="18">
        <f t="shared" si="178"/>
        <v>32416</v>
      </c>
      <c r="AW97" s="18">
        <f t="shared" si="179"/>
        <v>32416</v>
      </c>
    </row>
    <row r="98" spans="1:49">
      <c r="A98" t="s">
        <v>46</v>
      </c>
      <c r="N98">
        <v>56870</v>
      </c>
      <c r="O98">
        <v>56117</v>
      </c>
      <c r="P98">
        <v>52896</v>
      </c>
      <c r="Q98">
        <v>51447</v>
      </c>
      <c r="R98">
        <v>48768</v>
      </c>
      <c r="S98">
        <v>48913</v>
      </c>
      <c r="T98">
        <v>52896</v>
      </c>
      <c r="U98">
        <v>50970</v>
      </c>
      <c r="V98">
        <v>45349</v>
      </c>
      <c r="W98">
        <v>45301</v>
      </c>
      <c r="X98">
        <v>42750</v>
      </c>
      <c r="Y98">
        <v>42231</v>
      </c>
      <c r="Z98">
        <v>40315</v>
      </c>
      <c r="AA98">
        <v>39525</v>
      </c>
      <c r="AB98" s="851">
        <v>37738</v>
      </c>
      <c r="AC98" s="563">
        <v>39855</v>
      </c>
      <c r="AD98" s="563">
        <v>31260</v>
      </c>
      <c r="AE98" s="563">
        <v>30134</v>
      </c>
      <c r="AF98" s="563">
        <v>30822</v>
      </c>
      <c r="AG98" s="18">
        <f t="shared" ref="AG98:AS98" si="182">AF98</f>
        <v>30822</v>
      </c>
      <c r="AH98" s="18">
        <f t="shared" si="182"/>
        <v>30822</v>
      </c>
      <c r="AI98" s="18">
        <f t="shared" si="182"/>
        <v>30822</v>
      </c>
      <c r="AJ98" s="18">
        <f t="shared" si="182"/>
        <v>30822</v>
      </c>
      <c r="AK98" s="18">
        <f t="shared" si="182"/>
        <v>30822</v>
      </c>
      <c r="AL98" s="18">
        <f t="shared" si="182"/>
        <v>30822</v>
      </c>
      <c r="AM98" s="18">
        <f t="shared" si="182"/>
        <v>30822</v>
      </c>
      <c r="AN98" s="18">
        <f t="shared" si="182"/>
        <v>30822</v>
      </c>
      <c r="AO98" s="18">
        <f t="shared" si="182"/>
        <v>30822</v>
      </c>
      <c r="AP98" s="18">
        <f t="shared" si="182"/>
        <v>30822</v>
      </c>
      <c r="AQ98" s="18">
        <f t="shared" si="182"/>
        <v>30822</v>
      </c>
      <c r="AR98" s="18">
        <f t="shared" si="182"/>
        <v>30822</v>
      </c>
      <c r="AS98" s="18">
        <f t="shared" si="182"/>
        <v>30822</v>
      </c>
      <c r="AT98" s="18">
        <f t="shared" si="176"/>
        <v>30822</v>
      </c>
      <c r="AU98" s="18">
        <f t="shared" si="177"/>
        <v>30822</v>
      </c>
      <c r="AV98" s="18">
        <f t="shared" si="178"/>
        <v>30822</v>
      </c>
      <c r="AW98" s="18">
        <f t="shared" si="179"/>
        <v>30822</v>
      </c>
    </row>
    <row r="99" spans="1:49">
      <c r="A99" t="s">
        <v>47</v>
      </c>
      <c r="N99">
        <v>0</v>
      </c>
      <c r="O99">
        <v>0</v>
      </c>
      <c r="P99">
        <v>0</v>
      </c>
      <c r="Q99">
        <v>1140</v>
      </c>
      <c r="R99">
        <v>781</v>
      </c>
      <c r="S99">
        <v>742</v>
      </c>
      <c r="T99">
        <v>0</v>
      </c>
      <c r="U99">
        <v>0</v>
      </c>
      <c r="V99">
        <v>0</v>
      </c>
      <c r="W99">
        <v>0</v>
      </c>
      <c r="X99">
        <v>0</v>
      </c>
      <c r="Y99">
        <v>0</v>
      </c>
      <c r="Z99">
        <v>0</v>
      </c>
      <c r="AA99">
        <v>0</v>
      </c>
      <c r="AB99" s="851">
        <v>0</v>
      </c>
      <c r="AC99" s="563">
        <f t="shared" ref="AC99:AS99" si="183">AB99</f>
        <v>0</v>
      </c>
      <c r="AD99" s="563">
        <f t="shared" si="183"/>
        <v>0</v>
      </c>
      <c r="AE99" s="563">
        <f t="shared" si="183"/>
        <v>0</v>
      </c>
      <c r="AF99" s="563">
        <f t="shared" si="183"/>
        <v>0</v>
      </c>
      <c r="AG99" s="18">
        <f t="shared" si="183"/>
        <v>0</v>
      </c>
      <c r="AH99" s="18">
        <f t="shared" si="183"/>
        <v>0</v>
      </c>
      <c r="AI99" s="18">
        <f t="shared" si="183"/>
        <v>0</v>
      </c>
      <c r="AJ99" s="18">
        <f t="shared" si="183"/>
        <v>0</v>
      </c>
      <c r="AK99" s="18">
        <f t="shared" si="183"/>
        <v>0</v>
      </c>
      <c r="AL99" s="18">
        <f t="shared" si="183"/>
        <v>0</v>
      </c>
      <c r="AM99" s="18">
        <f t="shared" si="183"/>
        <v>0</v>
      </c>
      <c r="AN99" s="18">
        <f t="shared" si="183"/>
        <v>0</v>
      </c>
      <c r="AO99" s="18">
        <f t="shared" si="183"/>
        <v>0</v>
      </c>
      <c r="AP99" s="18">
        <f t="shared" si="183"/>
        <v>0</v>
      </c>
      <c r="AQ99" s="18">
        <f t="shared" si="183"/>
        <v>0</v>
      </c>
      <c r="AR99" s="18">
        <f t="shared" si="183"/>
        <v>0</v>
      </c>
      <c r="AS99" s="18">
        <f t="shared" si="183"/>
        <v>0</v>
      </c>
      <c r="AT99" s="18">
        <f t="shared" si="176"/>
        <v>0</v>
      </c>
      <c r="AU99" s="18">
        <f t="shared" si="177"/>
        <v>0</v>
      </c>
      <c r="AV99" s="18">
        <f t="shared" si="178"/>
        <v>0</v>
      </c>
      <c r="AW99" s="18">
        <f t="shared" si="179"/>
        <v>0</v>
      </c>
    </row>
    <row r="100" spans="1:49" s="7" customFormat="1">
      <c r="A100" s="7" t="s">
        <v>48</v>
      </c>
      <c r="N100" s="7">
        <f>SUM(N90:N99)</f>
        <v>901672</v>
      </c>
      <c r="O100" s="7">
        <f>SUM(O90:O99)</f>
        <v>870496</v>
      </c>
      <c r="P100" s="7">
        <f>SUM(P90:P99)</f>
        <v>909411</v>
      </c>
      <c r="Q100" s="7">
        <f>SUM(Q90:Q99)</f>
        <v>825640</v>
      </c>
      <c r="R100" s="7">
        <v>833808</v>
      </c>
      <c r="S100" s="7">
        <v>849553</v>
      </c>
      <c r="T100" s="7">
        <v>909411</v>
      </c>
      <c r="U100" s="7">
        <v>876461</v>
      </c>
      <c r="V100" s="7">
        <v>860105</v>
      </c>
      <c r="W100" s="7">
        <v>835862</v>
      </c>
      <c r="X100" s="7">
        <v>812920</v>
      </c>
      <c r="Y100" s="7">
        <v>775787</v>
      </c>
      <c r="Z100" s="7">
        <v>768451</v>
      </c>
      <c r="AA100" s="7">
        <v>775835</v>
      </c>
      <c r="AB100" s="7">
        <v>761954</v>
      </c>
      <c r="AC100" s="1149">
        <f t="shared" ref="AC100:AS100" si="184">SUM(AC90:AC99)</f>
        <v>777550</v>
      </c>
      <c r="AD100" s="1149">
        <f t="shared" si="184"/>
        <v>769900</v>
      </c>
      <c r="AE100" s="1149">
        <f t="shared" si="184"/>
        <v>739575</v>
      </c>
      <c r="AF100" s="1149">
        <f t="shared" si="184"/>
        <v>744609</v>
      </c>
      <c r="AG100" s="849">
        <f t="shared" si="184"/>
        <v>763650.88010183524</v>
      </c>
      <c r="AH100" s="849">
        <f t="shared" si="184"/>
        <v>767873.36147723603</v>
      </c>
      <c r="AI100" s="849">
        <f t="shared" si="184"/>
        <v>772509.89373149711</v>
      </c>
      <c r="AJ100" s="849">
        <f t="shared" si="184"/>
        <v>777560.49013237073</v>
      </c>
      <c r="AK100" s="849">
        <f t="shared" si="184"/>
        <v>783026.51694150525</v>
      </c>
      <c r="AL100" s="849">
        <f t="shared" si="184"/>
        <v>788904.29112696298</v>
      </c>
      <c r="AM100" s="849">
        <f t="shared" si="184"/>
        <v>795209.62980487722</v>
      </c>
      <c r="AN100" s="849">
        <f t="shared" si="184"/>
        <v>801948.44685454795</v>
      </c>
      <c r="AO100" s="849">
        <f t="shared" si="184"/>
        <v>809128.02827118535</v>
      </c>
      <c r="AP100" s="849">
        <f t="shared" si="184"/>
        <v>816637.36906543165</v>
      </c>
      <c r="AQ100" s="849">
        <f t="shared" si="184"/>
        <v>824601.41176014172</v>
      </c>
      <c r="AR100" s="849">
        <f t="shared" si="184"/>
        <v>833031.36624470633</v>
      </c>
      <c r="AS100" s="849">
        <f t="shared" si="184"/>
        <v>841939.86267988803</v>
      </c>
      <c r="AT100" s="849">
        <f t="shared" ref="AT100:AW100" si="185">SUM(AT90:AT99)</f>
        <v>851161.01238276332</v>
      </c>
      <c r="AU100" s="849">
        <f t="shared" si="185"/>
        <v>860879.87385278521</v>
      </c>
      <c r="AV100" s="849">
        <f t="shared" si="185"/>
        <v>871112.79607012682</v>
      </c>
      <c r="AW100" s="849">
        <f t="shared" si="185"/>
        <v>881877.63639551541</v>
      </c>
    </row>
    <row r="101" spans="1:49" s="11" customFormat="1">
      <c r="A101" s="12" t="s">
        <v>61</v>
      </c>
      <c r="N101" s="11">
        <v>54</v>
      </c>
      <c r="O101" s="11">
        <v>64</v>
      </c>
      <c r="P101" s="11">
        <v>64</v>
      </c>
      <c r="Q101" s="11">
        <v>64</v>
      </c>
      <c r="R101" s="11">
        <v>64</v>
      </c>
      <c r="S101" s="11">
        <v>64</v>
      </c>
      <c r="T101" s="11">
        <v>64</v>
      </c>
      <c r="U101" s="11">
        <v>64</v>
      </c>
      <c r="V101" s="13">
        <v>64</v>
      </c>
      <c r="W101" s="13">
        <v>65</v>
      </c>
      <c r="X101" s="13">
        <v>65</v>
      </c>
      <c r="Y101" s="11">
        <v>78</v>
      </c>
      <c r="Z101" s="13">
        <v>78</v>
      </c>
      <c r="AA101" s="13">
        <v>84</v>
      </c>
      <c r="AB101" s="13">
        <v>84</v>
      </c>
      <c r="AC101" s="1140">
        <v>84</v>
      </c>
      <c r="AD101" s="1140">
        <v>84</v>
      </c>
      <c r="AE101" s="1140">
        <v>102</v>
      </c>
      <c r="AF101" s="1140">
        <v>102</v>
      </c>
      <c r="AG101" s="23"/>
      <c r="AH101" s="23"/>
      <c r="AI101" s="23"/>
      <c r="AJ101" s="23"/>
      <c r="AK101" s="23"/>
      <c r="AL101" s="23"/>
      <c r="AM101" s="23"/>
      <c r="AN101" s="23"/>
      <c r="AO101" s="23"/>
      <c r="AP101" s="23"/>
      <c r="AQ101" s="23"/>
      <c r="AR101" s="23"/>
      <c r="AS101" s="23"/>
      <c r="AT101" s="23"/>
      <c r="AU101" s="23"/>
      <c r="AV101" s="23"/>
      <c r="AW101" s="23"/>
    </row>
    <row r="102" spans="1:49" s="11" customFormat="1">
      <c r="A102" s="12" t="s">
        <v>62</v>
      </c>
      <c r="N102" s="13">
        <v>23808</v>
      </c>
      <c r="O102" s="13">
        <v>27196</v>
      </c>
      <c r="P102" s="13">
        <v>26851</v>
      </c>
      <c r="Q102" s="13">
        <v>27853</v>
      </c>
      <c r="R102" s="13">
        <v>28406</v>
      </c>
      <c r="S102" s="13">
        <v>26655</v>
      </c>
      <c r="T102" s="13">
        <v>26851</v>
      </c>
      <c r="U102" s="13">
        <v>27007</v>
      </c>
      <c r="V102" s="13">
        <v>27589</v>
      </c>
      <c r="W102" s="13">
        <v>25860</v>
      </c>
      <c r="X102" s="13">
        <v>25994</v>
      </c>
      <c r="Y102" s="13">
        <v>31925</v>
      </c>
      <c r="Z102" s="13">
        <v>32318</v>
      </c>
      <c r="AA102" s="13">
        <v>31702</v>
      </c>
      <c r="AB102" s="13">
        <v>31925</v>
      </c>
      <c r="AC102" s="1140">
        <v>32131</v>
      </c>
      <c r="AD102" s="1140">
        <v>32388</v>
      </c>
      <c r="AE102" s="1140">
        <v>35465</v>
      </c>
      <c r="AF102" s="1140">
        <v>35527</v>
      </c>
      <c r="AG102" s="23"/>
      <c r="AH102" s="23"/>
      <c r="AI102" s="23"/>
      <c r="AJ102" s="23"/>
      <c r="AK102" s="23"/>
      <c r="AL102" s="23"/>
      <c r="AM102" s="23"/>
      <c r="AN102" s="23"/>
      <c r="AO102" s="23"/>
      <c r="AP102" s="23"/>
      <c r="AQ102" s="23"/>
      <c r="AR102" s="23"/>
      <c r="AS102" s="23"/>
      <c r="AT102" s="23"/>
      <c r="AU102" s="23"/>
      <c r="AV102" s="23"/>
      <c r="AW102" s="23"/>
    </row>
    <row r="103" spans="1:49" s="11" customFormat="1">
      <c r="A103" s="12" t="s">
        <v>63</v>
      </c>
      <c r="N103" s="13">
        <v>29474</v>
      </c>
      <c r="O103" s="13">
        <v>30405</v>
      </c>
      <c r="P103" s="13">
        <v>31417</v>
      </c>
      <c r="Q103" s="13">
        <v>30261</v>
      </c>
      <c r="R103" s="13">
        <v>31092</v>
      </c>
      <c r="S103" s="13">
        <v>30392</v>
      </c>
      <c r="T103" s="13">
        <v>31417</v>
      </c>
      <c r="U103" s="13">
        <v>32083</v>
      </c>
      <c r="V103" s="13">
        <v>33137</v>
      </c>
      <c r="W103" s="13">
        <v>34188</v>
      </c>
      <c r="X103" s="13">
        <v>34967</v>
      </c>
      <c r="Y103" s="13">
        <v>29139</v>
      </c>
      <c r="Z103" s="13">
        <v>28302</v>
      </c>
      <c r="AA103" s="13">
        <v>28532</v>
      </c>
      <c r="AB103" s="13">
        <v>28573</v>
      </c>
      <c r="AC103" s="1140">
        <v>26226</v>
      </c>
      <c r="AD103" s="1140">
        <v>26552</v>
      </c>
      <c r="AE103" s="1140">
        <v>26855</v>
      </c>
      <c r="AF103" s="1140">
        <v>27099</v>
      </c>
      <c r="AG103" s="23"/>
      <c r="AH103" s="23"/>
      <c r="AI103" s="23"/>
      <c r="AJ103" s="23"/>
      <c r="AK103" s="23"/>
      <c r="AL103" s="23"/>
      <c r="AM103" s="23"/>
      <c r="AN103" s="23"/>
      <c r="AO103" s="23"/>
      <c r="AP103" s="23"/>
      <c r="AQ103" s="23"/>
      <c r="AR103" s="23"/>
      <c r="AS103" s="23"/>
      <c r="AT103" s="23"/>
      <c r="AU103" s="23"/>
      <c r="AV103" s="23"/>
      <c r="AW103" s="23"/>
    </row>
    <row r="104" spans="1:49" s="11" customFormat="1">
      <c r="A104" s="12" t="s">
        <v>64</v>
      </c>
      <c r="N104" s="13">
        <v>-446</v>
      </c>
      <c r="O104" s="13">
        <v>-62</v>
      </c>
      <c r="P104" s="13">
        <v>-163</v>
      </c>
      <c r="Q104" s="13">
        <v>-139</v>
      </c>
      <c r="R104" s="13">
        <v>-249</v>
      </c>
      <c r="S104" s="13">
        <v>-190</v>
      </c>
      <c r="T104" s="13">
        <v>-163</v>
      </c>
      <c r="U104" s="13">
        <v>-192</v>
      </c>
      <c r="V104" s="13">
        <v>-1008</v>
      </c>
      <c r="W104" s="13">
        <v>-151</v>
      </c>
      <c r="X104" s="13">
        <v>-118</v>
      </c>
      <c r="Y104" s="13">
        <v>-125</v>
      </c>
      <c r="Z104" s="13">
        <v>-158</v>
      </c>
      <c r="AA104" s="13">
        <v>-94</v>
      </c>
      <c r="AB104" s="13">
        <v>-18</v>
      </c>
      <c r="AC104" s="1140">
        <v>0</v>
      </c>
      <c r="AD104" s="1140">
        <v>-99</v>
      </c>
      <c r="AE104" s="1140">
        <v>-40</v>
      </c>
      <c r="AF104" s="1140">
        <v>-17</v>
      </c>
      <c r="AG104" s="23"/>
      <c r="AH104" s="23"/>
      <c r="AI104" s="23"/>
      <c r="AJ104" s="23"/>
      <c r="AK104" s="23"/>
      <c r="AL104" s="23"/>
      <c r="AM104" s="23"/>
      <c r="AN104" s="23"/>
      <c r="AO104" s="23"/>
      <c r="AP104" s="23"/>
      <c r="AQ104" s="23"/>
      <c r="AR104" s="23"/>
      <c r="AS104" s="23"/>
      <c r="AT104" s="23"/>
      <c r="AU104" s="23"/>
      <c r="AV104" s="23"/>
      <c r="AW104" s="23"/>
    </row>
    <row r="105" spans="1:49" s="11" customFormat="1">
      <c r="A105" s="12" t="s">
        <v>65</v>
      </c>
      <c r="N105" s="13">
        <v>-15065</v>
      </c>
      <c r="O105" s="13">
        <v>-15201</v>
      </c>
      <c r="P105" s="13">
        <v>-14305</v>
      </c>
      <c r="Q105" s="13">
        <v>-15875</v>
      </c>
      <c r="R105" s="13">
        <v>-16083</v>
      </c>
      <c r="S105" s="13">
        <v>-15977</v>
      </c>
      <c r="T105" s="13">
        <v>-14305</v>
      </c>
      <c r="U105" s="13">
        <v>-15003</v>
      </c>
      <c r="V105" s="13">
        <v>-16386</v>
      </c>
      <c r="W105" s="13">
        <v>-17320</v>
      </c>
      <c r="X105" s="13">
        <v>-16151</v>
      </c>
      <c r="Y105" s="13">
        <v>-16635</v>
      </c>
      <c r="Z105" s="13">
        <v>-15603</v>
      </c>
      <c r="AA105" s="13">
        <v>-15262</v>
      </c>
      <c r="AB105" s="13">
        <v>-16288</v>
      </c>
      <c r="AC105" s="1140">
        <v>-16272</v>
      </c>
      <c r="AD105" s="1140">
        <v>-17223</v>
      </c>
      <c r="AE105" s="1140">
        <v>-18889</v>
      </c>
      <c r="AF105" s="1140">
        <v>-18853</v>
      </c>
      <c r="AG105" s="23"/>
      <c r="AH105" s="23"/>
      <c r="AI105" s="23"/>
      <c r="AJ105" s="23"/>
      <c r="AK105" s="23"/>
      <c r="AL105" s="23"/>
      <c r="AM105" s="23"/>
      <c r="AN105" s="23"/>
      <c r="AO105" s="23"/>
      <c r="AP105" s="23"/>
      <c r="AQ105" s="23"/>
      <c r="AR105" s="23"/>
      <c r="AS105" s="23"/>
      <c r="AT105" s="23"/>
      <c r="AU105" s="23"/>
      <c r="AV105" s="23"/>
      <c r="AW105" s="23"/>
    </row>
    <row r="106" spans="1:49" s="2" customFormat="1">
      <c r="A106" s="2" t="s">
        <v>49</v>
      </c>
      <c r="N106" s="2">
        <f t="shared" ref="N106:Y106" si="186">SUM(N101:N105)</f>
        <v>37825</v>
      </c>
      <c r="O106" s="2">
        <f t="shared" si="186"/>
        <v>42402</v>
      </c>
      <c r="P106" s="2">
        <f t="shared" si="186"/>
        <v>43864</v>
      </c>
      <c r="Q106" s="2">
        <f t="shared" si="186"/>
        <v>42164</v>
      </c>
      <c r="R106" s="2">
        <f t="shared" si="186"/>
        <v>43230</v>
      </c>
      <c r="S106" s="2">
        <f t="shared" si="186"/>
        <v>40944</v>
      </c>
      <c r="T106" s="2">
        <f t="shared" si="186"/>
        <v>43864</v>
      </c>
      <c r="U106" s="2">
        <f t="shared" si="186"/>
        <v>43959</v>
      </c>
      <c r="V106" s="2">
        <f t="shared" si="186"/>
        <v>43396</v>
      </c>
      <c r="W106" s="2">
        <f t="shared" si="186"/>
        <v>42642</v>
      </c>
      <c r="X106" s="2">
        <f t="shared" si="186"/>
        <v>44757</v>
      </c>
      <c r="Y106" s="2">
        <f t="shared" si="186"/>
        <v>44382</v>
      </c>
      <c r="Z106" s="2">
        <v>44997</v>
      </c>
      <c r="AA106" s="2">
        <v>44962</v>
      </c>
      <c r="AB106" s="2">
        <v>44276</v>
      </c>
      <c r="AC106" s="1150">
        <v>41897</v>
      </c>
      <c r="AD106" s="1150">
        <v>41702</v>
      </c>
      <c r="AE106" s="1150">
        <v>43493</v>
      </c>
      <c r="AF106" s="1150">
        <v>43858</v>
      </c>
      <c r="AG106" s="848">
        <f>AF106+AG28-AG154-2300</f>
        <v>41980.103483041232</v>
      </c>
      <c r="AH106" s="848">
        <f t="shared" ref="AH106:AW106" si="187">AG106+AH28-AH154</f>
        <v>42415.605449453324</v>
      </c>
      <c r="AI106" s="848">
        <f t="shared" si="187"/>
        <v>41224.014714300269</v>
      </c>
      <c r="AJ106" s="848">
        <f t="shared" si="187"/>
        <v>41968.874529236222</v>
      </c>
      <c r="AK106" s="848">
        <f t="shared" si="187"/>
        <v>42843.056010920423</v>
      </c>
      <c r="AL106" s="848">
        <f t="shared" si="187"/>
        <v>43723.694329268968</v>
      </c>
      <c r="AM106" s="848">
        <f t="shared" si="187"/>
        <v>42102.778782766465</v>
      </c>
      <c r="AN106" s="848">
        <f t="shared" si="187"/>
        <v>43043.69086004905</v>
      </c>
      <c r="AO106" s="848">
        <f t="shared" si="187"/>
        <v>44099.76715964808</v>
      </c>
      <c r="AP106" s="848">
        <f t="shared" si="187"/>
        <v>45161.067943311136</v>
      </c>
      <c r="AQ106" s="848">
        <f t="shared" si="187"/>
        <v>43724.388555345162</v>
      </c>
      <c r="AR106" s="848">
        <f t="shared" si="187"/>
        <v>44808.699478078219</v>
      </c>
      <c r="AS106" s="848">
        <f t="shared" si="187"/>
        <v>45956.875939804297</v>
      </c>
      <c r="AT106" s="848">
        <f t="shared" si="187"/>
        <v>47109.087480184135</v>
      </c>
      <c r="AU106" s="848">
        <f t="shared" si="187"/>
        <v>45000.694674077684</v>
      </c>
      <c r="AV106" s="848">
        <f t="shared" si="187"/>
        <v>46176.394652195944</v>
      </c>
      <c r="AW106" s="848">
        <f t="shared" si="187"/>
        <v>47421.324707509179</v>
      </c>
    </row>
    <row r="107" spans="1:49">
      <c r="A107" t="s">
        <v>50</v>
      </c>
      <c r="N107" s="13">
        <v>7121</v>
      </c>
      <c r="O107" s="13">
        <v>7005</v>
      </c>
      <c r="P107" s="13">
        <v>1087</v>
      </c>
      <c r="Q107" s="13">
        <v>5002</v>
      </c>
      <c r="R107">
        <v>1052</v>
      </c>
      <c r="S107">
        <v>1083</v>
      </c>
      <c r="T107">
        <v>1087</v>
      </c>
      <c r="U107">
        <v>1042</v>
      </c>
      <c r="V107">
        <v>889</v>
      </c>
      <c r="W107">
        <v>818</v>
      </c>
      <c r="X107">
        <v>743</v>
      </c>
      <c r="Y107">
        <v>636</v>
      </c>
      <c r="Z107">
        <v>450</v>
      </c>
      <c r="AA107">
        <v>367</v>
      </c>
      <c r="AB107" s="851">
        <v>481</v>
      </c>
      <c r="AC107" s="563">
        <v>414</v>
      </c>
      <c r="AD107" s="563">
        <v>377</v>
      </c>
      <c r="AE107" s="563">
        <v>343</v>
      </c>
      <c r="AF107" s="563">
        <v>223</v>
      </c>
      <c r="AG107" s="18">
        <f t="shared" ref="AG107:AS107" si="188">AF107</f>
        <v>223</v>
      </c>
      <c r="AH107" s="18">
        <f t="shared" si="188"/>
        <v>223</v>
      </c>
      <c r="AI107" s="18">
        <f t="shared" si="188"/>
        <v>223</v>
      </c>
      <c r="AJ107" s="18">
        <f t="shared" si="188"/>
        <v>223</v>
      </c>
      <c r="AK107" s="18">
        <f t="shared" si="188"/>
        <v>223</v>
      </c>
      <c r="AL107" s="18">
        <f t="shared" si="188"/>
        <v>223</v>
      </c>
      <c r="AM107" s="18">
        <f t="shared" si="188"/>
        <v>223</v>
      </c>
      <c r="AN107" s="18">
        <f t="shared" si="188"/>
        <v>223</v>
      </c>
      <c r="AO107" s="18">
        <f t="shared" si="188"/>
        <v>223</v>
      </c>
      <c r="AP107" s="18">
        <f t="shared" si="188"/>
        <v>223</v>
      </c>
      <c r="AQ107" s="18">
        <f t="shared" si="188"/>
        <v>223</v>
      </c>
      <c r="AR107" s="18">
        <f t="shared" si="188"/>
        <v>223</v>
      </c>
      <c r="AS107" s="18">
        <f t="shared" si="188"/>
        <v>223</v>
      </c>
      <c r="AT107" s="18">
        <f t="shared" ref="AT107" si="189">AS107</f>
        <v>223</v>
      </c>
      <c r="AU107" s="18">
        <f t="shared" ref="AU107" si="190">AT107</f>
        <v>223</v>
      </c>
      <c r="AV107" s="18">
        <f t="shared" ref="AV107" si="191">AU107</f>
        <v>223</v>
      </c>
      <c r="AW107" s="18">
        <f t="shared" ref="AW107" si="192">AV107</f>
        <v>223</v>
      </c>
    </row>
    <row r="108" spans="1:49" s="8" customFormat="1">
      <c r="A108" s="8" t="s">
        <v>51</v>
      </c>
      <c r="N108" s="8">
        <f t="shared" ref="N108:T108" si="193">SUM(N106:N107)</f>
        <v>44946</v>
      </c>
      <c r="O108" s="8">
        <f t="shared" si="193"/>
        <v>49407</v>
      </c>
      <c r="P108" s="8">
        <f t="shared" si="193"/>
        <v>44951</v>
      </c>
      <c r="Q108" s="8">
        <f t="shared" si="193"/>
        <v>47166</v>
      </c>
      <c r="R108" s="8">
        <f t="shared" si="193"/>
        <v>44282</v>
      </c>
      <c r="S108" s="8">
        <f t="shared" si="193"/>
        <v>42027</v>
      </c>
      <c r="T108" s="8">
        <f t="shared" si="193"/>
        <v>44951</v>
      </c>
      <c r="U108" s="8">
        <f>SUM(U106:U107)</f>
        <v>45001</v>
      </c>
      <c r="V108" s="8">
        <f>SUM(V106:V107)</f>
        <v>44285</v>
      </c>
      <c r="W108" s="8">
        <f>SUM(W106:W107)</f>
        <v>43460</v>
      </c>
      <c r="X108" s="8">
        <f>SUM(X106:X107)</f>
        <v>45500</v>
      </c>
      <c r="Y108" s="8">
        <f>SUM(Y106:Y107)</f>
        <v>45018</v>
      </c>
      <c r="Z108" s="8">
        <v>45447</v>
      </c>
      <c r="AA108" s="8">
        <v>45329</v>
      </c>
      <c r="AB108" s="8">
        <f>SUM(AB106:AB107)</f>
        <v>44757</v>
      </c>
      <c r="AC108" s="1151">
        <f t="shared" ref="AC108:AS108" si="194">SUM(AC106:AC107)</f>
        <v>42311</v>
      </c>
      <c r="AD108" s="1151">
        <f t="shared" si="194"/>
        <v>42079</v>
      </c>
      <c r="AE108" s="1151">
        <f t="shared" si="194"/>
        <v>43836</v>
      </c>
      <c r="AF108" s="1151">
        <f t="shared" si="194"/>
        <v>44081</v>
      </c>
      <c r="AG108" s="846">
        <f t="shared" si="194"/>
        <v>42203.103483041232</v>
      </c>
      <c r="AH108" s="846">
        <f t="shared" si="194"/>
        <v>42638.605449453324</v>
      </c>
      <c r="AI108" s="846">
        <f t="shared" si="194"/>
        <v>41447.014714300269</v>
      </c>
      <c r="AJ108" s="846">
        <f t="shared" si="194"/>
        <v>42191.874529236222</v>
      </c>
      <c r="AK108" s="846">
        <f t="shared" si="194"/>
        <v>43066.056010920423</v>
      </c>
      <c r="AL108" s="846">
        <f t="shared" si="194"/>
        <v>43946.694329268968</v>
      </c>
      <c r="AM108" s="846">
        <f t="shared" si="194"/>
        <v>42325.778782766465</v>
      </c>
      <c r="AN108" s="846">
        <f t="shared" si="194"/>
        <v>43266.69086004905</v>
      </c>
      <c r="AO108" s="846">
        <f t="shared" si="194"/>
        <v>44322.76715964808</v>
      </c>
      <c r="AP108" s="846">
        <f t="shared" si="194"/>
        <v>45384.067943311136</v>
      </c>
      <c r="AQ108" s="846">
        <f t="shared" si="194"/>
        <v>43947.388555345162</v>
      </c>
      <c r="AR108" s="846">
        <f t="shared" si="194"/>
        <v>45031.699478078219</v>
      </c>
      <c r="AS108" s="846">
        <f t="shared" si="194"/>
        <v>46179.875939804297</v>
      </c>
      <c r="AT108" s="846">
        <f t="shared" ref="AT108:AW108" si="195">SUM(AT106:AT107)</f>
        <v>47332.087480184135</v>
      </c>
      <c r="AU108" s="846">
        <f t="shared" si="195"/>
        <v>45223.694674077684</v>
      </c>
      <c r="AV108" s="846">
        <f t="shared" si="195"/>
        <v>46399.394652195944</v>
      </c>
      <c r="AW108" s="846">
        <f t="shared" si="195"/>
        <v>47644.324707509179</v>
      </c>
    </row>
    <row r="109" spans="1:49" s="842" customFormat="1" ht="16.5" thickBot="1">
      <c r="A109" s="842" t="s">
        <v>52</v>
      </c>
      <c r="N109" s="842">
        <f>N100+N108</f>
        <v>946618</v>
      </c>
      <c r="O109" s="842">
        <f>O100+O108</f>
        <v>919903</v>
      </c>
      <c r="P109" s="842">
        <f t="shared" ref="P109:X109" si="196">P100+P108</f>
        <v>954362</v>
      </c>
      <c r="Q109" s="842">
        <f t="shared" si="196"/>
        <v>872806</v>
      </c>
      <c r="R109" s="842">
        <f t="shared" si="196"/>
        <v>878090</v>
      </c>
      <c r="S109" s="842">
        <f t="shared" si="196"/>
        <v>891580</v>
      </c>
      <c r="T109" s="842">
        <f t="shared" si="196"/>
        <v>954362</v>
      </c>
      <c r="U109" s="842">
        <f t="shared" si="196"/>
        <v>921462</v>
      </c>
      <c r="V109" s="842">
        <f t="shared" si="196"/>
        <v>904390</v>
      </c>
      <c r="W109" s="842">
        <f t="shared" si="196"/>
        <v>879322</v>
      </c>
      <c r="X109" s="842">
        <f t="shared" si="196"/>
        <v>858420</v>
      </c>
      <c r="Y109" s="842">
        <f>Y100+Y108</f>
        <v>820805</v>
      </c>
      <c r="Z109" s="842">
        <v>813898</v>
      </c>
      <c r="AA109" s="842">
        <v>821164</v>
      </c>
      <c r="AB109" s="842">
        <f>AB100+AB108</f>
        <v>806711</v>
      </c>
      <c r="AC109" s="1152">
        <f t="shared" ref="AC109:AS109" si="197">AC100+AC108</f>
        <v>819861</v>
      </c>
      <c r="AD109" s="1152">
        <f t="shared" si="197"/>
        <v>811979</v>
      </c>
      <c r="AE109" s="1152">
        <f t="shared" si="197"/>
        <v>783411</v>
      </c>
      <c r="AF109" s="1152">
        <f t="shared" si="197"/>
        <v>788690</v>
      </c>
      <c r="AG109" s="847">
        <f t="shared" si="197"/>
        <v>805853.98358487652</v>
      </c>
      <c r="AH109" s="847">
        <f t="shared" si="197"/>
        <v>810511.96692668938</v>
      </c>
      <c r="AI109" s="847">
        <f t="shared" si="197"/>
        <v>813956.90844579739</v>
      </c>
      <c r="AJ109" s="847">
        <f t="shared" si="197"/>
        <v>819752.36466160696</v>
      </c>
      <c r="AK109" s="847">
        <f t="shared" si="197"/>
        <v>826092.57295242569</v>
      </c>
      <c r="AL109" s="847">
        <f t="shared" si="197"/>
        <v>832850.98545623198</v>
      </c>
      <c r="AM109" s="847">
        <f t="shared" si="197"/>
        <v>837535.40858764364</v>
      </c>
      <c r="AN109" s="847">
        <f t="shared" si="197"/>
        <v>845215.13771459705</v>
      </c>
      <c r="AO109" s="847">
        <f t="shared" si="197"/>
        <v>853450.79543083347</v>
      </c>
      <c r="AP109" s="847">
        <f t="shared" si="197"/>
        <v>862021.43700874283</v>
      </c>
      <c r="AQ109" s="847">
        <f t="shared" si="197"/>
        <v>868548.80031548685</v>
      </c>
      <c r="AR109" s="847">
        <f t="shared" si="197"/>
        <v>878063.06572278449</v>
      </c>
      <c r="AS109" s="847">
        <f t="shared" si="197"/>
        <v>888119.73861969227</v>
      </c>
      <c r="AT109" s="847">
        <f t="shared" ref="AT109:AW109" si="198">AT100+AT108</f>
        <v>898493.09986294748</v>
      </c>
      <c r="AU109" s="847">
        <f t="shared" si="198"/>
        <v>906103.56852686289</v>
      </c>
      <c r="AV109" s="847">
        <f t="shared" si="198"/>
        <v>917512.19072232279</v>
      </c>
      <c r="AW109" s="847">
        <f t="shared" si="198"/>
        <v>929521.96110302454</v>
      </c>
    </row>
    <row r="110" spans="1:49" s="15" customFormat="1" ht="16.5" thickTop="1">
      <c r="A110" s="14" t="s">
        <v>66</v>
      </c>
      <c r="B110" s="15" t="str">
        <f t="shared" ref="B110:AS110" si="199">IF(B87=B109,"OK",B87-B109)</f>
        <v>OK</v>
      </c>
      <c r="C110" s="15" t="str">
        <f t="shared" si="199"/>
        <v>OK</v>
      </c>
      <c r="D110" s="15" t="str">
        <f t="shared" si="199"/>
        <v>OK</v>
      </c>
      <c r="E110" s="15" t="str">
        <f t="shared" si="199"/>
        <v>OK</v>
      </c>
      <c r="F110" s="15" t="str">
        <f t="shared" si="199"/>
        <v>OK</v>
      </c>
      <c r="G110" s="15" t="str">
        <f t="shared" si="199"/>
        <v>OK</v>
      </c>
      <c r="H110" s="15" t="str">
        <f t="shared" si="199"/>
        <v>OK</v>
      </c>
      <c r="I110" s="15" t="str">
        <f t="shared" si="199"/>
        <v>OK</v>
      </c>
      <c r="J110" s="15" t="str">
        <f t="shared" si="199"/>
        <v>OK</v>
      </c>
      <c r="K110" s="15" t="str">
        <f t="shared" si="199"/>
        <v>OK</v>
      </c>
      <c r="L110" s="15" t="str">
        <f t="shared" si="199"/>
        <v>OK</v>
      </c>
      <c r="M110" s="15" t="str">
        <f t="shared" si="199"/>
        <v>OK</v>
      </c>
      <c r="N110" s="15" t="str">
        <f t="shared" si="199"/>
        <v>OK</v>
      </c>
      <c r="O110" s="15" t="str">
        <f t="shared" si="199"/>
        <v>OK</v>
      </c>
      <c r="P110" s="15" t="str">
        <f t="shared" si="199"/>
        <v>OK</v>
      </c>
      <c r="Q110" s="15" t="str">
        <f t="shared" si="199"/>
        <v>OK</v>
      </c>
      <c r="R110" s="15" t="str">
        <f t="shared" si="199"/>
        <v>OK</v>
      </c>
      <c r="S110" s="15" t="str">
        <f t="shared" si="199"/>
        <v>OK</v>
      </c>
      <c r="T110" s="15" t="str">
        <f t="shared" si="199"/>
        <v>OK</v>
      </c>
      <c r="U110" s="15" t="str">
        <f t="shared" si="199"/>
        <v>OK</v>
      </c>
      <c r="V110" s="15" t="str">
        <f t="shared" si="199"/>
        <v>OK</v>
      </c>
      <c r="W110" s="15" t="str">
        <f t="shared" si="199"/>
        <v>OK</v>
      </c>
      <c r="X110" s="15" t="str">
        <f t="shared" si="199"/>
        <v>OK</v>
      </c>
      <c r="Y110" s="15" t="str">
        <f t="shared" si="199"/>
        <v>OK</v>
      </c>
      <c r="Z110" s="15" t="str">
        <f t="shared" si="199"/>
        <v>OK</v>
      </c>
      <c r="AA110" s="15" t="str">
        <f t="shared" si="199"/>
        <v>OK</v>
      </c>
      <c r="AB110" s="15" t="str">
        <f t="shared" si="199"/>
        <v>OK</v>
      </c>
      <c r="AC110" s="128" t="str">
        <f t="shared" si="199"/>
        <v>OK</v>
      </c>
      <c r="AD110" s="128" t="str">
        <f t="shared" si="199"/>
        <v>OK</v>
      </c>
      <c r="AE110" s="128" t="str">
        <f t="shared" si="199"/>
        <v>OK</v>
      </c>
      <c r="AF110" s="128" t="str">
        <f t="shared" si="199"/>
        <v>OK</v>
      </c>
      <c r="AG110" s="128" t="str">
        <f t="shared" si="199"/>
        <v>OK</v>
      </c>
      <c r="AH110" s="128" t="str">
        <f t="shared" si="199"/>
        <v>OK</v>
      </c>
      <c r="AI110" s="128" t="str">
        <f t="shared" si="199"/>
        <v>OK</v>
      </c>
      <c r="AJ110" s="128" t="str">
        <f t="shared" si="199"/>
        <v>OK</v>
      </c>
      <c r="AK110" s="128" t="str">
        <f t="shared" si="199"/>
        <v>OK</v>
      </c>
      <c r="AL110" s="128" t="str">
        <f t="shared" si="199"/>
        <v>OK</v>
      </c>
      <c r="AM110" s="128" t="str">
        <f t="shared" si="199"/>
        <v>OK</v>
      </c>
      <c r="AN110" s="128" t="str">
        <f t="shared" si="199"/>
        <v>OK</v>
      </c>
      <c r="AO110" s="128" t="str">
        <f t="shared" si="199"/>
        <v>OK</v>
      </c>
      <c r="AP110" s="128" t="str">
        <f t="shared" si="199"/>
        <v>OK</v>
      </c>
      <c r="AQ110" s="128" t="str">
        <f t="shared" si="199"/>
        <v>OK</v>
      </c>
      <c r="AR110" s="128" t="str">
        <f t="shared" si="199"/>
        <v>OK</v>
      </c>
      <c r="AS110" s="128" t="str">
        <f t="shared" si="199"/>
        <v>OK</v>
      </c>
      <c r="AT110" s="128" t="str">
        <f t="shared" ref="AT110:AW110" si="200">IF(AT87=AT109,"OK",AT87-AT109)</f>
        <v>OK</v>
      </c>
      <c r="AU110" s="128" t="str">
        <f t="shared" si="200"/>
        <v>OK</v>
      </c>
      <c r="AV110" s="128" t="str">
        <f t="shared" si="200"/>
        <v>OK</v>
      </c>
      <c r="AW110" s="128" t="str">
        <f t="shared" si="200"/>
        <v>OK</v>
      </c>
    </row>
    <row r="111" spans="1:49" s="15" customFormat="1">
      <c r="A111" s="14"/>
      <c r="AC111" s="128"/>
      <c r="AD111" s="128"/>
      <c r="AE111" s="128"/>
      <c r="AF111" s="128"/>
      <c r="AG111" s="128"/>
      <c r="AH111" s="128"/>
      <c r="AI111" s="128"/>
      <c r="AJ111" s="128"/>
      <c r="AK111" s="128"/>
      <c r="AL111" s="128"/>
      <c r="AM111" s="128"/>
      <c r="AN111" s="128"/>
      <c r="AO111" s="128"/>
      <c r="AP111" s="128"/>
      <c r="AQ111" s="128"/>
      <c r="AR111" s="128"/>
      <c r="AS111" s="128"/>
      <c r="AT111" s="128"/>
      <c r="AU111" s="128"/>
      <c r="AV111" s="128"/>
      <c r="AW111" s="128"/>
    </row>
    <row r="112" spans="1:49" s="1322" customFormat="1">
      <c r="A112" s="1321" t="s">
        <v>595</v>
      </c>
      <c r="V112" s="1323">
        <v>141</v>
      </c>
      <c r="W112" s="1323">
        <v>136.4</v>
      </c>
      <c r="X112" s="1323">
        <v>136.69999999999999</v>
      </c>
      <c r="Y112" s="1323">
        <v>27.3</v>
      </c>
      <c r="Z112" s="1323">
        <v>24.6</v>
      </c>
      <c r="AA112" s="1323">
        <v>19.8</v>
      </c>
      <c r="AB112" s="1323">
        <v>17.8</v>
      </c>
      <c r="AC112" s="1323">
        <v>13.7</v>
      </c>
      <c r="AD112" s="1323">
        <v>7.8</v>
      </c>
      <c r="AE112" s="1323">
        <v>6.7</v>
      </c>
      <c r="AF112" s="1323">
        <v>5.9</v>
      </c>
      <c r="AG112" s="1324">
        <f>AF112</f>
        <v>5.9</v>
      </c>
      <c r="AH112" s="1324">
        <f t="shared" ref="AH112:AW112" si="201">AG112</f>
        <v>5.9</v>
      </c>
      <c r="AI112" s="1324">
        <f t="shared" si="201"/>
        <v>5.9</v>
      </c>
      <c r="AJ112" s="1324">
        <f t="shared" si="201"/>
        <v>5.9</v>
      </c>
      <c r="AK112" s="1324">
        <f t="shared" si="201"/>
        <v>5.9</v>
      </c>
      <c r="AL112" s="1324">
        <f t="shared" si="201"/>
        <v>5.9</v>
      </c>
      <c r="AM112" s="1324">
        <f t="shared" si="201"/>
        <v>5.9</v>
      </c>
      <c r="AN112" s="1324">
        <f t="shared" si="201"/>
        <v>5.9</v>
      </c>
      <c r="AO112" s="1324">
        <f t="shared" si="201"/>
        <v>5.9</v>
      </c>
      <c r="AP112" s="1324">
        <f t="shared" si="201"/>
        <v>5.9</v>
      </c>
      <c r="AQ112" s="1324">
        <f t="shared" si="201"/>
        <v>5.9</v>
      </c>
      <c r="AR112" s="1324">
        <f t="shared" si="201"/>
        <v>5.9</v>
      </c>
      <c r="AS112" s="1324">
        <f t="shared" si="201"/>
        <v>5.9</v>
      </c>
      <c r="AT112" s="1324">
        <f t="shared" si="201"/>
        <v>5.9</v>
      </c>
      <c r="AU112" s="1324">
        <f t="shared" si="201"/>
        <v>5.9</v>
      </c>
      <c r="AV112" s="1324">
        <f t="shared" si="201"/>
        <v>5.9</v>
      </c>
      <c r="AW112" s="1324">
        <f t="shared" si="201"/>
        <v>5.9</v>
      </c>
    </row>
    <row r="113" spans="1:49">
      <c r="A113" s="1297" t="s">
        <v>892</v>
      </c>
      <c r="O113" s="157"/>
      <c r="P113" s="157"/>
      <c r="Q113" s="157"/>
      <c r="R113" s="157"/>
      <c r="S113" s="157"/>
      <c r="T113" s="157"/>
      <c r="U113" s="157"/>
      <c r="V113" s="1295">
        <v>-93.2</v>
      </c>
      <c r="W113" s="1295">
        <v>-92.5</v>
      </c>
      <c r="X113" s="1295">
        <v>-91.3</v>
      </c>
      <c r="Y113" s="1295">
        <v>-91.3</v>
      </c>
      <c r="Z113" s="1295">
        <v>-91.4</v>
      </c>
      <c r="AA113" s="1295">
        <v>-95.5</v>
      </c>
      <c r="AB113" s="1295">
        <v>-96.4</v>
      </c>
      <c r="AC113" s="1295">
        <v>-105.8</v>
      </c>
      <c r="AD113" s="1295">
        <v>-131.4</v>
      </c>
      <c r="AE113" s="1295">
        <v>-133.6</v>
      </c>
      <c r="AF113" s="1295">
        <v>-135.5</v>
      </c>
      <c r="AG113" s="143">
        <f>AG114*AG115</f>
        <v>-132.55373310719207</v>
      </c>
      <c r="AH113" s="143">
        <f t="shared" ref="AH113:AW113" si="202">AH114*AH115</f>
        <v>-133.9587393037329</v>
      </c>
      <c r="AI113" s="143">
        <f t="shared" si="202"/>
        <v>-135.38218357072566</v>
      </c>
      <c r="AJ113" s="143">
        <f t="shared" si="202"/>
        <v>-136.8243402043785</v>
      </c>
      <c r="AK113" s="143">
        <f t="shared" si="202"/>
        <v>-138.28548791405657</v>
      </c>
      <c r="AL113" s="143">
        <f t="shared" si="202"/>
        <v>-139.76590989743485</v>
      </c>
      <c r="AM113" s="143">
        <f t="shared" si="202"/>
        <v>-141.26589391698852</v>
      </c>
      <c r="AN113" s="143">
        <f t="shared" si="202"/>
        <v>-142.78573237784511</v>
      </c>
      <c r="AO113" s="143">
        <f t="shared" si="202"/>
        <v>-144.32572240702385</v>
      </c>
      <c r="AP113" s="143">
        <f t="shared" si="202"/>
        <v>-145.88616593408787</v>
      </c>
      <c r="AQ113" s="143">
        <f t="shared" si="202"/>
        <v>-147.46736977323454</v>
      </c>
      <c r="AR113" s="143">
        <f t="shared" si="202"/>
        <v>-149.0696457068517</v>
      </c>
      <c r="AS113" s="143">
        <f t="shared" si="202"/>
        <v>-150.69331057056547</v>
      </c>
      <c r="AT113" s="143">
        <f t="shared" si="202"/>
        <v>-152.33868633980828</v>
      </c>
      <c r="AU113" s="143">
        <f t="shared" si="202"/>
        <v>-154.00610021793446</v>
      </c>
      <c r="AV113" s="143">
        <f t="shared" si="202"/>
        <v>-155.69588472591249</v>
      </c>
      <c r="AW113" s="143">
        <f t="shared" si="202"/>
        <v>-157.40837779362261</v>
      </c>
    </row>
    <row r="114" spans="1:49" s="851" customFormat="1">
      <c r="A114" s="1325" t="s">
        <v>906</v>
      </c>
      <c r="V114" s="1296">
        <f t="shared" ref="V114:AE114" si="203">V113/V115</f>
        <v>-7.0707837038160998E-2</v>
      </c>
      <c r="W114" s="1296">
        <f t="shared" si="203"/>
        <v>-7.0951906113369642E-2</v>
      </c>
      <c r="X114" s="1296">
        <f t="shared" si="203"/>
        <v>-7.360528861657531E-2</v>
      </c>
      <c r="Y114" s="1296">
        <f t="shared" si="203"/>
        <v>-7.1434160081370782E-2</v>
      </c>
      <c r="Z114" s="1296">
        <f t="shared" si="203"/>
        <v>-7.3260660468098759E-2</v>
      </c>
      <c r="AA114" s="1296">
        <f t="shared" si="203"/>
        <v>-7.3796460860829929E-2</v>
      </c>
      <c r="AB114" s="1296">
        <f t="shared" si="203"/>
        <v>-7.2274703853651229E-2</v>
      </c>
      <c r="AC114" s="1296">
        <f t="shared" si="203"/>
        <v>-7.8767123287671229E-2</v>
      </c>
      <c r="AD114" s="1296">
        <f t="shared" si="203"/>
        <v>-9.2029696035859351E-2</v>
      </c>
      <c r="AE114" s="1296">
        <f t="shared" si="203"/>
        <v>-9.3152977269557929E-2</v>
      </c>
      <c r="AF114" s="1296">
        <f>AF113/AF115</f>
        <v>-9.1901790558871405E-2</v>
      </c>
      <c r="AG114" s="150">
        <f>AVERAGE(AC114:AF114)</f>
        <v>-8.8962896787989965E-2</v>
      </c>
      <c r="AH114" s="150">
        <f>AG114</f>
        <v>-8.8962896787989965E-2</v>
      </c>
      <c r="AI114" s="150">
        <f t="shared" ref="AI114:AW114" si="204">AH114</f>
        <v>-8.8962896787989965E-2</v>
      </c>
      <c r="AJ114" s="150">
        <f t="shared" si="204"/>
        <v>-8.8962896787989965E-2</v>
      </c>
      <c r="AK114" s="150">
        <f t="shared" si="204"/>
        <v>-8.8962896787989965E-2</v>
      </c>
      <c r="AL114" s="150">
        <f t="shared" si="204"/>
        <v>-8.8962896787989965E-2</v>
      </c>
      <c r="AM114" s="150">
        <f t="shared" si="204"/>
        <v>-8.8962896787989965E-2</v>
      </c>
      <c r="AN114" s="150">
        <f t="shared" si="204"/>
        <v>-8.8962896787989965E-2</v>
      </c>
      <c r="AO114" s="150">
        <f t="shared" si="204"/>
        <v>-8.8962896787989965E-2</v>
      </c>
      <c r="AP114" s="150">
        <f t="shared" si="204"/>
        <v>-8.8962896787989965E-2</v>
      </c>
      <c r="AQ114" s="150">
        <f t="shared" si="204"/>
        <v>-8.8962896787989965E-2</v>
      </c>
      <c r="AR114" s="150">
        <f t="shared" si="204"/>
        <v>-8.8962896787989965E-2</v>
      </c>
      <c r="AS114" s="150">
        <f t="shared" si="204"/>
        <v>-8.8962896787989965E-2</v>
      </c>
      <c r="AT114" s="150">
        <f t="shared" si="204"/>
        <v>-8.8962896787989965E-2</v>
      </c>
      <c r="AU114" s="150">
        <f t="shared" si="204"/>
        <v>-8.8962896787989965E-2</v>
      </c>
      <c r="AV114" s="150">
        <f t="shared" si="204"/>
        <v>-8.8962896787989965E-2</v>
      </c>
      <c r="AW114" s="150">
        <f t="shared" si="204"/>
        <v>-8.8962896787989965E-2</v>
      </c>
    </row>
    <row r="115" spans="1:49" s="8" customFormat="1">
      <c r="A115" s="8" t="s">
        <v>893</v>
      </c>
      <c r="N115" s="1292">
        <f t="shared" ref="N115:AE115" si="205">(N222+N314)/1000+N407</f>
        <v>1164.8</v>
      </c>
      <c r="O115" s="1292">
        <f t="shared" si="205"/>
        <v>1154.2</v>
      </c>
      <c r="P115" s="1292">
        <f t="shared" si="205"/>
        <v>1161.8999999999999</v>
      </c>
      <c r="Q115" s="1292">
        <f t="shared" si="205"/>
        <v>1183.3999999999999</v>
      </c>
      <c r="R115" s="1292">
        <f t="shared" si="205"/>
        <v>1215.0999999999999</v>
      </c>
      <c r="S115" s="1292">
        <f t="shared" si="205"/>
        <v>1256</v>
      </c>
      <c r="T115" s="1292">
        <f t="shared" si="205"/>
        <v>1301.0999999999999</v>
      </c>
      <c r="U115" s="1292">
        <f t="shared" si="205"/>
        <v>1313.9</v>
      </c>
      <c r="V115" s="1292">
        <f t="shared" si="205"/>
        <v>1318.1</v>
      </c>
      <c r="W115" s="1292">
        <f t="shared" si="205"/>
        <v>1303.7</v>
      </c>
      <c r="X115" s="1292">
        <f t="shared" si="205"/>
        <v>1240.3999999999999</v>
      </c>
      <c r="Y115" s="1292">
        <f t="shared" si="205"/>
        <v>1278.1000000000001</v>
      </c>
      <c r="Z115" s="1292">
        <f t="shared" si="205"/>
        <v>1247.5999999999999</v>
      </c>
      <c r="AA115" s="1292">
        <f t="shared" si="205"/>
        <v>1294.0999999999999</v>
      </c>
      <c r="AB115" s="1292">
        <f t="shared" si="205"/>
        <v>1333.8</v>
      </c>
      <c r="AC115" s="1293">
        <f t="shared" si="205"/>
        <v>1343.2</v>
      </c>
      <c r="AD115" s="1293">
        <f t="shared" si="205"/>
        <v>1427.8000000000002</v>
      </c>
      <c r="AE115" s="1293">
        <f t="shared" si="205"/>
        <v>1434.2</v>
      </c>
      <c r="AF115" s="1293">
        <f>(AF222+AF314)/1000+AF407</f>
        <v>1474.4</v>
      </c>
      <c r="AG115" s="1294">
        <f t="shared" ref="AG115:AW115" si="206">(AG222+AG314)/1000+AG407</f>
        <v>1489.9889492479622</v>
      </c>
      <c r="AH115" s="1294">
        <f t="shared" si="206"/>
        <v>1505.7821197411527</v>
      </c>
      <c r="AI115" s="1294">
        <f t="shared" si="206"/>
        <v>1521.782545968111</v>
      </c>
      <c r="AJ115" s="1294">
        <f t="shared" si="206"/>
        <v>1537.9933111940873</v>
      </c>
      <c r="AK115" s="1294">
        <f t="shared" si="206"/>
        <v>1554.4175482910441</v>
      </c>
      <c r="AL115" s="1294">
        <f t="shared" si="206"/>
        <v>1571.0584405824263</v>
      </c>
      <c r="AM115" s="1294">
        <f t="shared" si="206"/>
        <v>1587.9192227029582</v>
      </c>
      <c r="AN115" s="1294">
        <f t="shared" si="206"/>
        <v>1605.003181473754</v>
      </c>
      <c r="AO115" s="1294">
        <f t="shared" si="206"/>
        <v>1622.3136567930183</v>
      </c>
      <c r="AP115" s="1294">
        <f t="shared" si="206"/>
        <v>1639.8540425426274</v>
      </c>
      <c r="AQ115" s="1294">
        <f t="shared" si="206"/>
        <v>1657.6277875108797</v>
      </c>
      <c r="AR115" s="1294">
        <f t="shared" si="206"/>
        <v>1675.6383963317187</v>
      </c>
      <c r="AS115" s="1294">
        <f t="shared" si="206"/>
        <v>1693.8894304407268</v>
      </c>
      <c r="AT115" s="1294">
        <f t="shared" si="206"/>
        <v>1712.3845090482043</v>
      </c>
      <c r="AU115" s="1294">
        <f t="shared" si="206"/>
        <v>1731.1273101296467</v>
      </c>
      <c r="AV115" s="1294">
        <f t="shared" si="206"/>
        <v>1750.121571433941</v>
      </c>
      <c r="AW115" s="1294">
        <f t="shared" si="206"/>
        <v>1769.3710915096103</v>
      </c>
    </row>
    <row r="116" spans="1:49" s="8" customFormat="1">
      <c r="A116" s="8" t="s">
        <v>894</v>
      </c>
      <c r="N116" s="1292"/>
      <c r="O116" s="1292"/>
      <c r="P116" s="1292"/>
      <c r="Q116" s="1292"/>
      <c r="R116" s="1292"/>
      <c r="S116" s="1292"/>
      <c r="T116" s="1292"/>
      <c r="U116" s="1292"/>
      <c r="V116" s="1292">
        <f t="shared" ref="V116:AE116" si="207">V115+V113+V112</f>
        <v>1365.8999999999999</v>
      </c>
      <c r="W116" s="1292">
        <f t="shared" si="207"/>
        <v>1347.6000000000001</v>
      </c>
      <c r="X116" s="1292">
        <f t="shared" si="207"/>
        <v>1285.8</v>
      </c>
      <c r="Y116" s="1292">
        <f t="shared" si="207"/>
        <v>1214.1000000000001</v>
      </c>
      <c r="Z116" s="1292">
        <f t="shared" si="207"/>
        <v>1180.7999999999997</v>
      </c>
      <c r="AA116" s="1292">
        <f t="shared" si="207"/>
        <v>1218.3999999999999</v>
      </c>
      <c r="AB116" s="1292">
        <f t="shared" si="207"/>
        <v>1255.1999999999998</v>
      </c>
      <c r="AC116" s="1293">
        <f t="shared" si="207"/>
        <v>1251.1000000000001</v>
      </c>
      <c r="AD116" s="1293">
        <f t="shared" si="207"/>
        <v>1304.2</v>
      </c>
      <c r="AE116" s="1293">
        <f t="shared" si="207"/>
        <v>1307.3000000000002</v>
      </c>
      <c r="AF116" s="1293">
        <f>AF115+AF113+AF112</f>
        <v>1344.8000000000002</v>
      </c>
      <c r="AG116" s="1294">
        <f t="shared" ref="AG116:AW116" si="208">AG115+AG113+AG112</f>
        <v>1363.3352161407702</v>
      </c>
      <c r="AH116" s="1294">
        <f t="shared" si="208"/>
        <v>1377.7233804374198</v>
      </c>
      <c r="AI116" s="1294">
        <f t="shared" si="208"/>
        <v>1392.3003623973855</v>
      </c>
      <c r="AJ116" s="1294">
        <f t="shared" si="208"/>
        <v>1407.0689709897088</v>
      </c>
      <c r="AK116" s="1294">
        <f t="shared" si="208"/>
        <v>1422.0320603769876</v>
      </c>
      <c r="AL116" s="1294">
        <f t="shared" si="208"/>
        <v>1437.1925306849917</v>
      </c>
      <c r="AM116" s="1294">
        <f t="shared" si="208"/>
        <v>1452.5533287859698</v>
      </c>
      <c r="AN116" s="1294">
        <f t="shared" si="208"/>
        <v>1468.117449095909</v>
      </c>
      <c r="AO116" s="1294">
        <f t="shared" si="208"/>
        <v>1483.8879343859944</v>
      </c>
      <c r="AP116" s="1294">
        <f t="shared" si="208"/>
        <v>1499.8678766085397</v>
      </c>
      <c r="AQ116" s="1294">
        <f t="shared" si="208"/>
        <v>1516.0604177376451</v>
      </c>
      <c r="AR116" s="1294">
        <f t="shared" si="208"/>
        <v>1532.468750624867</v>
      </c>
      <c r="AS116" s="1294">
        <f t="shared" si="208"/>
        <v>1549.0961198701614</v>
      </c>
      <c r="AT116" s="1294">
        <f t="shared" si="208"/>
        <v>1565.9458227083962</v>
      </c>
      <c r="AU116" s="1294">
        <f t="shared" si="208"/>
        <v>1583.0212099117123</v>
      </c>
      <c r="AV116" s="1294">
        <f t="shared" si="208"/>
        <v>1600.3256867080286</v>
      </c>
      <c r="AW116" s="1294">
        <f t="shared" si="208"/>
        <v>1617.8627137159879</v>
      </c>
    </row>
    <row r="117" spans="1:49" s="851" customFormat="1">
      <c r="Z117" s="140"/>
      <c r="AA117" s="164"/>
      <c r="AB117" s="164"/>
      <c r="AC117" s="18"/>
      <c r="AD117" s="18"/>
      <c r="AE117" s="18"/>
      <c r="AF117" s="18"/>
      <c r="AG117" s="18"/>
      <c r="AH117" s="18"/>
      <c r="AI117" s="18"/>
      <c r="AJ117" s="18"/>
      <c r="AK117" s="18"/>
      <c r="AL117" s="18"/>
      <c r="AM117" s="18"/>
      <c r="AN117" s="18"/>
      <c r="AO117" s="18"/>
      <c r="AP117" s="18"/>
      <c r="AQ117" s="18"/>
      <c r="AR117" s="18"/>
      <c r="AS117" s="18"/>
      <c r="AT117" s="18"/>
      <c r="AU117" s="18"/>
      <c r="AV117" s="18"/>
      <c r="AW117" s="18"/>
    </row>
    <row r="118" spans="1:49" s="136" customFormat="1">
      <c r="Z118" s="140"/>
      <c r="AB118" s="851"/>
      <c r="AC118" s="18" t="s">
        <v>201</v>
      </c>
      <c r="AD118" s="18"/>
      <c r="AE118" s="18"/>
      <c r="AF118" s="18"/>
      <c r="AG118" s="18"/>
      <c r="AH118" s="18"/>
      <c r="AI118" s="18"/>
      <c r="AJ118" s="18"/>
      <c r="AK118" s="18"/>
      <c r="AL118" s="18"/>
      <c r="AM118" s="18"/>
      <c r="AN118" s="18"/>
      <c r="AO118" s="18"/>
      <c r="AP118" s="18"/>
      <c r="AQ118" s="18"/>
      <c r="AR118" s="18"/>
      <c r="AS118" s="18"/>
      <c r="AT118" s="18"/>
      <c r="AU118" s="18"/>
      <c r="AV118" s="18"/>
      <c r="AW118" s="18"/>
    </row>
    <row r="119" spans="1:49" s="136" customFormat="1">
      <c r="Z119" s="140"/>
      <c r="AB119" s="851"/>
      <c r="AC119" s="150">
        <f>AVERAGE(O125,S125,W125,AA125)/AVERAGE(N125:AA125)-1</f>
        <v>0.17122746586730342</v>
      </c>
      <c r="AD119" s="18"/>
      <c r="AE119" s="18"/>
      <c r="AF119" s="18"/>
      <c r="AG119" s="18"/>
      <c r="AH119" s="18"/>
      <c r="AI119" s="18"/>
      <c r="AJ119" s="18"/>
      <c r="AK119" s="18"/>
      <c r="AL119" s="18"/>
      <c r="AM119" s="18"/>
      <c r="AN119" s="18"/>
      <c r="AO119" s="18"/>
      <c r="AP119" s="18"/>
      <c r="AQ119" s="18"/>
      <c r="AR119" s="18"/>
      <c r="AS119" s="18"/>
      <c r="AT119" s="18"/>
      <c r="AU119" s="18"/>
      <c r="AV119" s="18"/>
      <c r="AW119" s="18"/>
    </row>
    <row r="120" spans="1:49" s="136" customFormat="1">
      <c r="A120" s="136" t="s">
        <v>199</v>
      </c>
      <c r="Y120" s="136">
        <v>274006</v>
      </c>
      <c r="Z120" s="140">
        <v>271370</v>
      </c>
      <c r="AA120">
        <f>274846</f>
        <v>274846</v>
      </c>
      <c r="AB120" s="851"/>
      <c r="AD120" s="18"/>
      <c r="AE120" s="18"/>
      <c r="AF120" s="18"/>
      <c r="AG120" s="18"/>
      <c r="AH120" s="18"/>
      <c r="AI120" s="18"/>
      <c r="AJ120" s="18"/>
      <c r="AK120" s="18"/>
      <c r="AL120" s="18"/>
      <c r="AM120" s="18"/>
      <c r="AN120" s="18"/>
      <c r="AO120" s="18"/>
      <c r="AP120" s="18"/>
      <c r="AQ120" s="18"/>
      <c r="AR120" s="18"/>
      <c r="AS120" s="18"/>
      <c r="AT120" s="18"/>
      <c r="AU120" s="18"/>
      <c r="AV120" s="18"/>
      <c r="AW120" s="18"/>
    </row>
    <row r="121" spans="1:49" s="156" customFormat="1">
      <c r="A121" s="156" t="s">
        <v>411</v>
      </c>
      <c r="V121" s="156">
        <f t="shared" ref="V121:AB121" si="209">V80</f>
        <v>270774</v>
      </c>
      <c r="W121" s="156">
        <f t="shared" si="209"/>
        <v>270171</v>
      </c>
      <c r="X121" s="156">
        <f t="shared" si="209"/>
        <v>274825</v>
      </c>
      <c r="Y121" s="156">
        <f t="shared" si="209"/>
        <v>272995</v>
      </c>
      <c r="Z121" s="156">
        <f t="shared" si="209"/>
        <v>270248</v>
      </c>
      <c r="AA121" s="156">
        <f t="shared" si="209"/>
        <v>273835</v>
      </c>
      <c r="AB121" s="851">
        <f t="shared" si="209"/>
        <v>274606</v>
      </c>
      <c r="AC121" s="851">
        <f t="shared" ref="AC121:AF121" si="210">AC80</f>
        <v>275976</v>
      </c>
      <c r="AD121" s="851">
        <f t="shared" si="210"/>
        <v>276370</v>
      </c>
      <c r="AE121" s="851">
        <f t="shared" si="210"/>
        <v>273865</v>
      </c>
      <c r="AF121" s="851">
        <f t="shared" si="210"/>
        <v>275853</v>
      </c>
      <c r="AG121" s="91">
        <f t="shared" ref="AG121:AS121" si="211">AG122+AG123</f>
        <v>281186.10172843392</v>
      </c>
      <c r="AH121" s="91">
        <f t="shared" si="211"/>
        <v>286615.53370619303</v>
      </c>
      <c r="AI121" s="91">
        <f t="shared" si="211"/>
        <v>292229.24947917898</v>
      </c>
      <c r="AJ121" s="91">
        <f t="shared" si="211"/>
        <v>298036.14893877122</v>
      </c>
      <c r="AK121" s="91">
        <f t="shared" si="211"/>
        <v>304045.61255304958</v>
      </c>
      <c r="AL121" s="91">
        <f t="shared" si="211"/>
        <v>310262.55472674378</v>
      </c>
      <c r="AM121" s="91">
        <f t="shared" si="211"/>
        <v>316706.56751877523</v>
      </c>
      <c r="AN121" s="91">
        <f t="shared" si="211"/>
        <v>323389.06541878165</v>
      </c>
      <c r="AO121" s="91">
        <f t="shared" si="211"/>
        <v>330322.0922516702</v>
      </c>
      <c r="AP121" s="91">
        <f t="shared" si="211"/>
        <v>337425.2040372495</v>
      </c>
      <c r="AQ121" s="91">
        <f t="shared" si="211"/>
        <v>344801.23361231701</v>
      </c>
      <c r="AR121" s="91">
        <f t="shared" si="211"/>
        <v>352464.12538878951</v>
      </c>
      <c r="AS121" s="91">
        <f t="shared" si="211"/>
        <v>360428.59317161428</v>
      </c>
      <c r="AT121" s="91">
        <f t="shared" ref="AT121:AW121" si="212">AT122+AT123</f>
        <v>368570.07774243114</v>
      </c>
      <c r="AU121" s="91">
        <f t="shared" si="212"/>
        <v>377036.90188378625</v>
      </c>
      <c r="AV121" s="91">
        <f t="shared" si="212"/>
        <v>385845.79011244531</v>
      </c>
      <c r="AW121" s="91">
        <f t="shared" si="212"/>
        <v>395014.38351362984</v>
      </c>
    </row>
    <row r="122" spans="1:49" s="156" customFormat="1">
      <c r="A122" s="156" t="s">
        <v>612</v>
      </c>
      <c r="T122" s="841"/>
      <c r="U122" s="841"/>
      <c r="V122" s="841">
        <f t="shared" ref="V122:AB122" si="213">V215+V303+V413</f>
        <v>234593</v>
      </c>
      <c r="W122" s="841">
        <f t="shared" si="213"/>
        <v>235448</v>
      </c>
      <c r="X122" s="841">
        <f t="shared" si="213"/>
        <v>238102</v>
      </c>
      <c r="Y122" s="841">
        <f t="shared" si="213"/>
        <v>238706</v>
      </c>
      <c r="Z122" s="841">
        <f t="shared" si="213"/>
        <v>238496</v>
      </c>
      <c r="AA122" s="841">
        <f t="shared" si="213"/>
        <v>245533</v>
      </c>
      <c r="AB122" s="841">
        <f t="shared" si="213"/>
        <v>248521</v>
      </c>
      <c r="AC122" s="841">
        <f t="shared" ref="AC122:AF122" si="214">AC215+AC303+AC413</f>
        <v>250784</v>
      </c>
      <c r="AD122" s="841">
        <f t="shared" si="214"/>
        <v>252980</v>
      </c>
      <c r="AE122" s="841">
        <f t="shared" si="214"/>
        <v>253305</v>
      </c>
      <c r="AF122" s="841">
        <f t="shared" si="214"/>
        <v>255818</v>
      </c>
      <c r="AG122" s="91">
        <f t="shared" ref="AG122:AS122" si="215">AG215+AG303+AG413</f>
        <v>260763.76248206294</v>
      </c>
      <c r="AH122" s="91">
        <f t="shared" si="215"/>
        <v>265798.85881846811</v>
      </c>
      <c r="AI122" s="91">
        <f t="shared" si="215"/>
        <v>271004.85455392767</v>
      </c>
      <c r="AJ122" s="91">
        <f t="shared" si="215"/>
        <v>276390.00318727212</v>
      </c>
      <c r="AK122" s="91">
        <f t="shared" si="215"/>
        <v>281963.00389010104</v>
      </c>
      <c r="AL122" s="91">
        <f t="shared" si="215"/>
        <v>287728.41413755203</v>
      </c>
      <c r="AM122" s="91">
        <f t="shared" si="215"/>
        <v>293704.40303175256</v>
      </c>
      <c r="AN122" s="91">
        <f t="shared" si="215"/>
        <v>299901.55603637401</v>
      </c>
      <c r="AO122" s="91">
        <f t="shared" si="215"/>
        <v>306331.04224220064</v>
      </c>
      <c r="AP122" s="91">
        <f t="shared" si="215"/>
        <v>312918.26025600987</v>
      </c>
      <c r="AQ122" s="91">
        <f t="shared" si="215"/>
        <v>319758.57424148265</v>
      </c>
      <c r="AR122" s="91">
        <f t="shared" si="215"/>
        <v>326864.91583817959</v>
      </c>
      <c r="AS122" s="91">
        <f t="shared" si="215"/>
        <v>334250.93019824335</v>
      </c>
      <c r="AT122" s="91">
        <f t="shared" ref="AT122:AW122" si="216">AT215+AT303+AT413</f>
        <v>341801.10474750411</v>
      </c>
      <c r="AU122" s="91">
        <f t="shared" si="216"/>
        <v>349652.98969417199</v>
      </c>
      <c r="AV122" s="91">
        <f t="shared" si="216"/>
        <v>357822.09486569127</v>
      </c>
      <c r="AW122" s="91">
        <f t="shared" si="216"/>
        <v>366324.78008827078</v>
      </c>
    </row>
    <row r="123" spans="1:49" s="156" customFormat="1">
      <c r="A123" s="156" t="s">
        <v>412</v>
      </c>
      <c r="T123" s="841"/>
      <c r="U123" s="841"/>
      <c r="V123" s="841">
        <f t="shared" ref="V123:AF123" si="217">V121-V122</f>
        <v>36181</v>
      </c>
      <c r="W123" s="841">
        <f t="shared" si="217"/>
        <v>34723</v>
      </c>
      <c r="X123" s="841">
        <f t="shared" si="217"/>
        <v>36723</v>
      </c>
      <c r="Y123" s="841">
        <f t="shared" si="217"/>
        <v>34289</v>
      </c>
      <c r="Z123" s="841">
        <f t="shared" si="217"/>
        <v>31752</v>
      </c>
      <c r="AA123" s="841">
        <f t="shared" si="217"/>
        <v>28302</v>
      </c>
      <c r="AB123" s="841">
        <f t="shared" si="217"/>
        <v>26085</v>
      </c>
      <c r="AC123" s="841">
        <f t="shared" si="217"/>
        <v>25192</v>
      </c>
      <c r="AD123" s="841">
        <f t="shared" si="217"/>
        <v>23390</v>
      </c>
      <c r="AE123" s="841">
        <f t="shared" si="217"/>
        <v>20560</v>
      </c>
      <c r="AF123" s="841">
        <f t="shared" si="217"/>
        <v>20035</v>
      </c>
      <c r="AG123" s="91">
        <f t="shared" ref="AG123:AS123" si="218">AG124*AG122</f>
        <v>20422.339246370979</v>
      </c>
      <c r="AH123" s="91">
        <f t="shared" si="218"/>
        <v>20816.674887724901</v>
      </c>
      <c r="AI123" s="91">
        <f t="shared" si="218"/>
        <v>21224.394925251316</v>
      </c>
      <c r="AJ123" s="91">
        <f t="shared" si="218"/>
        <v>21646.145751499102</v>
      </c>
      <c r="AK123" s="91">
        <f t="shared" si="218"/>
        <v>22082.608662948562</v>
      </c>
      <c r="AL123" s="91">
        <f t="shared" si="218"/>
        <v>22534.140589191749</v>
      </c>
      <c r="AM123" s="91">
        <f t="shared" si="218"/>
        <v>23002.164487022659</v>
      </c>
      <c r="AN123" s="91">
        <f t="shared" si="218"/>
        <v>23487.509382407625</v>
      </c>
      <c r="AO123" s="91">
        <f t="shared" si="218"/>
        <v>23991.050009469585</v>
      </c>
      <c r="AP123" s="91">
        <f t="shared" si="218"/>
        <v>24506.943781239625</v>
      </c>
      <c r="AQ123" s="91">
        <f t="shared" si="218"/>
        <v>25042.659370834364</v>
      </c>
      <c r="AR123" s="91">
        <f t="shared" si="218"/>
        <v>25599.209550609921</v>
      </c>
      <c r="AS123" s="91">
        <f t="shared" si="218"/>
        <v>26177.662973370934</v>
      </c>
      <c r="AT123" s="91">
        <f t="shared" ref="AT123:AW123" si="219">AT124*AT122</f>
        <v>26768.97299492704</v>
      </c>
      <c r="AU123" s="91">
        <f t="shared" si="219"/>
        <v>27383.912189614242</v>
      </c>
      <c r="AV123" s="91">
        <f t="shared" si="219"/>
        <v>28023.69524675404</v>
      </c>
      <c r="AW123" s="91">
        <f t="shared" si="219"/>
        <v>28689.603425359066</v>
      </c>
    </row>
    <row r="124" spans="1:49" s="156" customFormat="1">
      <c r="A124" s="156" t="s">
        <v>413</v>
      </c>
      <c r="T124" s="133"/>
      <c r="U124" s="133"/>
      <c r="V124" s="133">
        <f t="shared" ref="V124:AF124" si="220">V123/V122</f>
        <v>0.15422881330644989</v>
      </c>
      <c r="W124" s="133">
        <f t="shared" si="220"/>
        <v>0.14747630049947336</v>
      </c>
      <c r="X124" s="133">
        <f t="shared" si="220"/>
        <v>0.15423221980495755</v>
      </c>
      <c r="Y124" s="133">
        <f t="shared" si="220"/>
        <v>0.14364532102251304</v>
      </c>
      <c r="Z124" s="133">
        <f t="shared" si="220"/>
        <v>0.13313430833221521</v>
      </c>
      <c r="AA124" s="133">
        <f t="shared" si="220"/>
        <v>0.11526760150366754</v>
      </c>
      <c r="AB124" s="133">
        <f t="shared" si="220"/>
        <v>0.10496094897413095</v>
      </c>
      <c r="AC124" s="133">
        <f t="shared" si="220"/>
        <v>0.10045297945642465</v>
      </c>
      <c r="AD124" s="133">
        <f t="shared" si="220"/>
        <v>9.2457901810419796E-2</v>
      </c>
      <c r="AE124" s="133">
        <f t="shared" si="220"/>
        <v>8.1166972621937977E-2</v>
      </c>
      <c r="AF124" s="133">
        <f t="shared" si="220"/>
        <v>7.8317397524802795E-2</v>
      </c>
      <c r="AG124" s="150">
        <f>AF124</f>
        <v>7.8317397524802795E-2</v>
      </c>
      <c r="AH124" s="150">
        <f t="shared" ref="AH124:AS124" si="221">AG124</f>
        <v>7.8317397524802795E-2</v>
      </c>
      <c r="AI124" s="150">
        <f t="shared" si="221"/>
        <v>7.8317397524802795E-2</v>
      </c>
      <c r="AJ124" s="150">
        <f t="shared" si="221"/>
        <v>7.8317397524802795E-2</v>
      </c>
      <c r="AK124" s="150">
        <f t="shared" si="221"/>
        <v>7.8317397524802795E-2</v>
      </c>
      <c r="AL124" s="150">
        <f t="shared" si="221"/>
        <v>7.8317397524802795E-2</v>
      </c>
      <c r="AM124" s="150">
        <f t="shared" si="221"/>
        <v>7.8317397524802795E-2</v>
      </c>
      <c r="AN124" s="150">
        <f t="shared" si="221"/>
        <v>7.8317397524802795E-2</v>
      </c>
      <c r="AO124" s="150">
        <f t="shared" si="221"/>
        <v>7.8317397524802795E-2</v>
      </c>
      <c r="AP124" s="150">
        <f t="shared" si="221"/>
        <v>7.8317397524802795E-2</v>
      </c>
      <c r="AQ124" s="150">
        <f t="shared" si="221"/>
        <v>7.8317397524802795E-2</v>
      </c>
      <c r="AR124" s="150">
        <f t="shared" si="221"/>
        <v>7.8317397524802795E-2</v>
      </c>
      <c r="AS124" s="150">
        <f t="shared" si="221"/>
        <v>7.8317397524802795E-2</v>
      </c>
      <c r="AT124" s="150">
        <f t="shared" ref="AT124" si="222">AS124</f>
        <v>7.8317397524802795E-2</v>
      </c>
      <c r="AU124" s="150">
        <f t="shared" ref="AU124" si="223">AT124</f>
        <v>7.8317397524802795E-2</v>
      </c>
      <c r="AV124" s="150">
        <f t="shared" ref="AV124" si="224">AU124</f>
        <v>7.8317397524802795E-2</v>
      </c>
      <c r="AW124" s="150">
        <f t="shared" ref="AW124" si="225">AV124</f>
        <v>7.8317397524802795E-2</v>
      </c>
    </row>
    <row r="125" spans="1:49" s="136" customFormat="1">
      <c r="A125" s="136" t="s">
        <v>200</v>
      </c>
      <c r="N125" s="146">
        <f t="shared" ref="N125:AF125" si="226">N8/N80</f>
        <v>7.2531576939295966E-3</v>
      </c>
      <c r="O125" s="146">
        <f t="shared" si="226"/>
        <v>1.0723599229850601E-2</v>
      </c>
      <c r="P125" s="146">
        <f t="shared" si="226"/>
        <v>7.2461855732290767E-3</v>
      </c>
      <c r="Q125" s="146">
        <f t="shared" si="226"/>
        <v>7.0713285354618832E-3</v>
      </c>
      <c r="R125" s="146">
        <f t="shared" si="226"/>
        <v>8.6890955441456322E-3</v>
      </c>
      <c r="S125" s="146">
        <f t="shared" si="226"/>
        <v>1.0159822733487341E-2</v>
      </c>
      <c r="T125" s="146">
        <f t="shared" si="226"/>
        <v>8.0831539380869614E-3</v>
      </c>
      <c r="U125" s="146">
        <f t="shared" si="226"/>
        <v>7.8003749756926227E-3</v>
      </c>
      <c r="V125" s="146">
        <f t="shared" si="226"/>
        <v>7.9475872868148348E-3</v>
      </c>
      <c r="W125" s="146">
        <f t="shared" si="226"/>
        <v>1.0619200432318791E-2</v>
      </c>
      <c r="X125" s="146">
        <f t="shared" si="226"/>
        <v>7.5830073683252983E-3</v>
      </c>
      <c r="Y125" s="146">
        <f t="shared" si="226"/>
        <v>8.0367772303522045E-3</v>
      </c>
      <c r="Z125" s="147">
        <f t="shared" si="226"/>
        <v>7.4413131642047303E-3</v>
      </c>
      <c r="AA125" s="148">
        <f t="shared" si="226"/>
        <v>7.3000164332536017E-3</v>
      </c>
      <c r="AB125" s="148">
        <f t="shared" si="226"/>
        <v>7.0282513856215817E-3</v>
      </c>
      <c r="AC125" s="148">
        <f t="shared" si="226"/>
        <v>5.8773226657390498E-3</v>
      </c>
      <c r="AD125" s="148">
        <f t="shared" si="226"/>
        <v>5.9087455223070517E-3</v>
      </c>
      <c r="AE125" s="148">
        <f t="shared" si="226"/>
        <v>6.3425410329907067E-3</v>
      </c>
      <c r="AF125" s="148">
        <f t="shared" si="226"/>
        <v>5.8799433031360903E-3</v>
      </c>
      <c r="AG125" s="148"/>
      <c r="AH125" s="148"/>
      <c r="AI125" s="148"/>
      <c r="AJ125" s="148"/>
      <c r="AK125" s="18"/>
      <c r="AL125" s="18"/>
      <c r="AM125" s="18"/>
      <c r="AN125" s="18"/>
      <c r="AO125" s="18"/>
      <c r="AP125" s="18"/>
      <c r="AQ125" s="18"/>
      <c r="AR125" s="18"/>
      <c r="AS125" s="18"/>
      <c r="AT125" s="18"/>
      <c r="AU125" s="18"/>
      <c r="AV125" s="18"/>
      <c r="AW125" s="18"/>
    </row>
    <row r="126" spans="1:49" s="136" customFormat="1">
      <c r="N126" s="149"/>
      <c r="O126" s="149"/>
      <c r="P126" s="149"/>
      <c r="Q126" s="149"/>
      <c r="R126" s="149"/>
      <c r="S126" s="149"/>
      <c r="T126" s="149"/>
      <c r="U126" s="149"/>
      <c r="V126" s="149"/>
      <c r="W126" s="149"/>
      <c r="X126" s="149"/>
      <c r="Y126" s="149"/>
      <c r="Z126" s="149"/>
      <c r="AA126" s="149"/>
      <c r="AB126" s="149"/>
      <c r="AC126" s="18"/>
      <c r="AD126" s="18"/>
      <c r="AE126" s="18"/>
      <c r="AF126" s="18"/>
      <c r="AG126" s="18"/>
      <c r="AH126" s="18"/>
      <c r="AI126" s="18"/>
      <c r="AJ126" s="18"/>
      <c r="AK126" s="18"/>
      <c r="AL126" s="18"/>
      <c r="AM126" s="18"/>
      <c r="AN126" s="18"/>
      <c r="AO126" s="18"/>
      <c r="AP126" s="18"/>
      <c r="AQ126" s="18"/>
      <c r="AR126" s="18"/>
      <c r="AS126" s="18"/>
      <c r="AT126" s="18"/>
      <c r="AU126" s="18"/>
      <c r="AV126" s="18"/>
      <c r="AW126" s="18"/>
    </row>
    <row r="127" spans="1:49" s="136" customFormat="1">
      <c r="Z127" s="140"/>
      <c r="AA127" s="133"/>
      <c r="AB127" s="563"/>
      <c r="AC127" s="18"/>
      <c r="AD127" s="18"/>
      <c r="AE127" s="18"/>
      <c r="AF127" s="18"/>
      <c r="AG127" s="18"/>
      <c r="AH127" s="18"/>
      <c r="AI127" s="18"/>
      <c r="AJ127" s="18"/>
      <c r="AK127" s="18"/>
      <c r="AL127" s="18"/>
      <c r="AM127" s="18"/>
      <c r="AN127" s="18"/>
      <c r="AO127" s="18"/>
      <c r="AP127" s="18"/>
      <c r="AQ127" s="18"/>
      <c r="AR127" s="18"/>
      <c r="AS127" s="18"/>
      <c r="AT127" s="18"/>
      <c r="AU127" s="18"/>
      <c r="AV127" s="18"/>
      <c r="AW127" s="18"/>
    </row>
    <row r="128" spans="1:49" s="8" customFormat="1">
      <c r="A128" s="8" t="s">
        <v>53</v>
      </c>
      <c r="N128" s="8">
        <f t="shared" ref="N128:AW128" si="227">N106-N83-N82</f>
        <v>28985</v>
      </c>
      <c r="O128" s="8">
        <f t="shared" si="227"/>
        <v>33611</v>
      </c>
      <c r="P128" s="8">
        <f t="shared" si="227"/>
        <v>35178</v>
      </c>
      <c r="Q128" s="8">
        <f t="shared" si="227"/>
        <v>33955</v>
      </c>
      <c r="R128" s="8">
        <f t="shared" si="227"/>
        <v>35046</v>
      </c>
      <c r="S128" s="8">
        <f t="shared" si="227"/>
        <v>32716</v>
      </c>
      <c r="T128" s="8">
        <f t="shared" si="227"/>
        <v>35178</v>
      </c>
      <c r="U128" s="8">
        <f t="shared" si="227"/>
        <v>35066</v>
      </c>
      <c r="V128" s="8">
        <f t="shared" si="227"/>
        <v>34672</v>
      </c>
      <c r="W128" s="8">
        <f t="shared" si="227"/>
        <v>34199</v>
      </c>
      <c r="X128" s="8">
        <f t="shared" si="227"/>
        <v>36022</v>
      </c>
      <c r="Y128" s="8">
        <f t="shared" si="227"/>
        <v>39378</v>
      </c>
      <c r="Z128" s="8">
        <f t="shared" si="227"/>
        <v>40123</v>
      </c>
      <c r="AA128" s="8">
        <f t="shared" si="227"/>
        <v>40026</v>
      </c>
      <c r="AB128" s="1100">
        <f t="shared" si="227"/>
        <v>39359</v>
      </c>
      <c r="AC128" s="1141">
        <f t="shared" si="227"/>
        <v>36771</v>
      </c>
      <c r="AD128" s="1141">
        <f t="shared" si="227"/>
        <v>36669</v>
      </c>
      <c r="AE128" s="1141">
        <f t="shared" si="227"/>
        <v>38625</v>
      </c>
      <c r="AF128" s="1141">
        <f t="shared" si="227"/>
        <v>38924</v>
      </c>
      <c r="AG128" s="121">
        <f t="shared" si="227"/>
        <v>37046.103483041232</v>
      </c>
      <c r="AH128" s="121">
        <f t="shared" si="227"/>
        <v>37481.605449453324</v>
      </c>
      <c r="AI128" s="121">
        <f t="shared" si="227"/>
        <v>36290.014714300269</v>
      </c>
      <c r="AJ128" s="121">
        <f t="shared" si="227"/>
        <v>37034.874529236222</v>
      </c>
      <c r="AK128" s="121">
        <f t="shared" si="227"/>
        <v>37909.056010920423</v>
      </c>
      <c r="AL128" s="121">
        <f t="shared" si="227"/>
        <v>38789.694329268968</v>
      </c>
      <c r="AM128" s="121">
        <f t="shared" si="227"/>
        <v>37168.778782766465</v>
      </c>
      <c r="AN128" s="121">
        <f t="shared" si="227"/>
        <v>38109.69086004905</v>
      </c>
      <c r="AO128" s="121">
        <f t="shared" si="227"/>
        <v>39165.76715964808</v>
      </c>
      <c r="AP128" s="121">
        <f t="shared" si="227"/>
        <v>40227.067943311136</v>
      </c>
      <c r="AQ128" s="121">
        <f t="shared" si="227"/>
        <v>38790.388555345162</v>
      </c>
      <c r="AR128" s="121">
        <f t="shared" si="227"/>
        <v>39874.699478078219</v>
      </c>
      <c r="AS128" s="121">
        <f t="shared" si="227"/>
        <v>41022.875939804297</v>
      </c>
      <c r="AT128" s="121">
        <f t="shared" si="227"/>
        <v>42175.087480184135</v>
      </c>
      <c r="AU128" s="121">
        <f t="shared" si="227"/>
        <v>40066.694674077684</v>
      </c>
      <c r="AV128" s="121">
        <f t="shared" si="227"/>
        <v>41242.394652195944</v>
      </c>
      <c r="AW128" s="121">
        <f t="shared" si="227"/>
        <v>42487.324707509179</v>
      </c>
    </row>
    <row r="129" spans="1:49">
      <c r="AB129" s="563"/>
      <c r="AT129" s="18"/>
      <c r="AU129" s="18"/>
      <c r="AV129" s="18"/>
      <c r="AW129" s="18"/>
    </row>
    <row r="130" spans="1:49">
      <c r="A130" s="58" t="s">
        <v>54</v>
      </c>
      <c r="AB130" s="563"/>
      <c r="AT130" s="18"/>
      <c r="AU130" s="18"/>
      <c r="AV130" s="18"/>
      <c r="AW130" s="18"/>
    </row>
    <row r="131" spans="1:49">
      <c r="A131" t="s">
        <v>55</v>
      </c>
      <c r="N131" s="852">
        <v>28.83</v>
      </c>
      <c r="O131" s="852">
        <v>26.63</v>
      </c>
      <c r="P131" s="852">
        <v>26.48</v>
      </c>
      <c r="Q131" s="852">
        <v>26.5</v>
      </c>
      <c r="R131" s="852">
        <v>27.236643145161292</v>
      </c>
      <c r="S131" s="852">
        <v>25.59</v>
      </c>
      <c r="T131" s="852">
        <v>27.401299350324837</v>
      </c>
      <c r="U131" s="852">
        <v>27.482963426070647</v>
      </c>
      <c r="V131" s="852">
        <v>27.755676367125041</v>
      </c>
      <c r="W131" s="852">
        <v>26.122273952462631</v>
      </c>
      <c r="X131" s="852">
        <v>27.396094754238845</v>
      </c>
      <c r="Y131" s="852">
        <v>22.742505764796309</v>
      </c>
      <c r="Z131" s="852">
        <v>23.118064118372377</v>
      </c>
      <c r="AA131" s="852">
        <v>21.601806476410108</v>
      </c>
      <c r="AB131" s="1326">
        <f>AB106/AB137</f>
        <v>21.201934587942343</v>
      </c>
      <c r="AC131" s="1326">
        <v>20.05</v>
      </c>
      <c r="AD131" s="1326">
        <v>20.010000000000002</v>
      </c>
      <c r="AE131" s="1326">
        <v>17.03</v>
      </c>
      <c r="AF131" s="1326">
        <v>17.170000000000002</v>
      </c>
      <c r="AG131" s="926">
        <f t="shared" ref="AG131:AW131" si="228">AG106/AG137</f>
        <v>16.429925827968077</v>
      </c>
      <c r="AH131" s="926">
        <f t="shared" si="228"/>
        <v>16.600370024442615</v>
      </c>
      <c r="AI131" s="926">
        <f t="shared" si="228"/>
        <v>16.134012255606539</v>
      </c>
      <c r="AJ131" s="926">
        <f t="shared" si="228"/>
        <v>16.425531106115699</v>
      </c>
      <c r="AK131" s="926">
        <f t="shared" si="228"/>
        <v>16.767663109436196</v>
      </c>
      <c r="AL131" s="926">
        <f t="shared" si="228"/>
        <v>17.112322151488776</v>
      </c>
      <c r="AM131" s="926">
        <f t="shared" si="228"/>
        <v>16.477937764771035</v>
      </c>
      <c r="AN131" s="926">
        <f t="shared" si="228"/>
        <v>16.846186395854978</v>
      </c>
      <c r="AO131" s="926">
        <f t="shared" si="228"/>
        <v>17.259507322471951</v>
      </c>
      <c r="AP131" s="926">
        <f t="shared" si="228"/>
        <v>17.674872976913285</v>
      </c>
      <c r="AQ131" s="926">
        <f t="shared" si="228"/>
        <v>17.112593853604618</v>
      </c>
      <c r="AR131" s="926">
        <f t="shared" si="228"/>
        <v>17.536965080849367</v>
      </c>
      <c r="AS131" s="926">
        <f t="shared" si="228"/>
        <v>17.986331626865603</v>
      </c>
      <c r="AT131" s="926">
        <f t="shared" si="228"/>
        <v>18.437277398216953</v>
      </c>
      <c r="AU131" s="926">
        <f t="shared" si="228"/>
        <v>17.612107030674998</v>
      </c>
      <c r="AV131" s="926">
        <f t="shared" si="228"/>
        <v>18.07224556854759</v>
      </c>
      <c r="AW131" s="926">
        <f t="shared" si="228"/>
        <v>18.559478966580244</v>
      </c>
    </row>
    <row r="132" spans="1:49">
      <c r="A132" t="s">
        <v>56</v>
      </c>
      <c r="N132" s="852">
        <v>22.09</v>
      </c>
      <c r="O132" s="852">
        <v>21.11</v>
      </c>
      <c r="P132" s="852">
        <v>21.25</v>
      </c>
      <c r="Q132" s="852">
        <v>21.34</v>
      </c>
      <c r="R132" s="852">
        <v>22.080393145161292</v>
      </c>
      <c r="S132" s="852">
        <v>20.447500000000002</v>
      </c>
      <c r="T132" s="852">
        <v>21.975262368815592</v>
      </c>
      <c r="U132" s="852">
        <v>21.923100969052829</v>
      </c>
      <c r="V132" s="852">
        <v>22.175887432043492</v>
      </c>
      <c r="W132" s="852">
        <v>20.950134770889488</v>
      </c>
      <c r="X132" s="852">
        <v>22.049335863377607</v>
      </c>
      <c r="Y132" s="852">
        <v>20.178324365872406</v>
      </c>
      <c r="Z132" s="852">
        <v>20.613953966296751</v>
      </c>
      <c r="AA132" s="852">
        <v>19.230325742288844</v>
      </c>
      <c r="AB132" s="1326">
        <f>AB128/AB137</f>
        <v>18.847387827419432</v>
      </c>
      <c r="AC132" s="1326">
        <v>17.59</v>
      </c>
      <c r="AD132" s="1326">
        <v>17.600000000000001</v>
      </c>
      <c r="AE132" s="1326">
        <v>15.13</v>
      </c>
      <c r="AF132" s="1326">
        <v>15.23</v>
      </c>
      <c r="AG132" s="926">
        <f t="shared" ref="AG132:AS132" si="229">AG128/AG137</f>
        <v>14.498885946945808</v>
      </c>
      <c r="AH132" s="926">
        <f t="shared" si="229"/>
        <v>14.669330143420346</v>
      </c>
      <c r="AI132" s="926">
        <f t="shared" si="229"/>
        <v>14.20297237458427</v>
      </c>
      <c r="AJ132" s="926">
        <f t="shared" si="229"/>
        <v>14.49449122509343</v>
      </c>
      <c r="AK132" s="926">
        <f t="shared" si="229"/>
        <v>14.836623228413927</v>
      </c>
      <c r="AL132" s="926">
        <f t="shared" si="229"/>
        <v>15.181282270466506</v>
      </c>
      <c r="AM132" s="926">
        <f t="shared" si="229"/>
        <v>14.546897883748764</v>
      </c>
      <c r="AN132" s="926">
        <f t="shared" si="229"/>
        <v>14.915146514832708</v>
      </c>
      <c r="AO132" s="926">
        <f t="shared" si="229"/>
        <v>15.328467441449682</v>
      </c>
      <c r="AP132" s="926">
        <f t="shared" si="229"/>
        <v>15.743833095891016</v>
      </c>
      <c r="AQ132" s="926">
        <f t="shared" si="229"/>
        <v>15.18155397258235</v>
      </c>
      <c r="AR132" s="926">
        <f t="shared" si="229"/>
        <v>15.605925199827098</v>
      </c>
      <c r="AS132" s="926">
        <f t="shared" si="229"/>
        <v>16.055291745843331</v>
      </c>
      <c r="AT132" s="926">
        <f t="shared" ref="AT132:AW132" si="230">AT128/AT137</f>
        <v>16.506237517194684</v>
      </c>
      <c r="AU132" s="926">
        <f t="shared" si="230"/>
        <v>15.681067149652728</v>
      </c>
      <c r="AV132" s="926">
        <f t="shared" si="230"/>
        <v>16.141205687525321</v>
      </c>
      <c r="AW132" s="926">
        <f t="shared" si="230"/>
        <v>16.628439085557975</v>
      </c>
    </row>
    <row r="133" spans="1:49">
      <c r="AB133" s="563"/>
      <c r="AT133" s="18"/>
      <c r="AU133" s="18"/>
      <c r="AV133" s="18"/>
      <c r="AW133" s="18"/>
    </row>
    <row r="134" spans="1:49" s="1" customFormat="1">
      <c r="A134" s="58" t="s">
        <v>57</v>
      </c>
      <c r="N134"/>
      <c r="AB134" s="563"/>
      <c r="AC134" s="18"/>
      <c r="AD134" s="18"/>
      <c r="AE134" s="18"/>
      <c r="AF134" s="18"/>
      <c r="AG134" s="18"/>
      <c r="AH134" s="18"/>
      <c r="AI134" s="18"/>
      <c r="AJ134" s="18"/>
      <c r="AK134" s="18"/>
      <c r="AL134" s="18"/>
      <c r="AM134" s="18"/>
      <c r="AN134" s="18"/>
      <c r="AO134" s="18"/>
      <c r="AP134" s="18"/>
      <c r="AQ134" s="18"/>
      <c r="AR134" s="18"/>
      <c r="AS134" s="18"/>
      <c r="AT134" s="18"/>
      <c r="AU134" s="18"/>
      <c r="AV134" s="18"/>
      <c r="AW134" s="18"/>
    </row>
    <row r="135" spans="1:49">
      <c r="A135" t="s">
        <v>58</v>
      </c>
      <c r="N135" s="1327">
        <v>1339.7</v>
      </c>
      <c r="O135" s="1327">
        <v>1594.3</v>
      </c>
      <c r="P135" s="1327">
        <v>1595.4</v>
      </c>
      <c r="Q135" s="1327">
        <v>1596.1</v>
      </c>
      <c r="R135" s="1327">
        <v>1596.1</v>
      </c>
      <c r="S135" s="1327">
        <v>1607.2</v>
      </c>
      <c r="T135" s="1327">
        <v>1607.2</v>
      </c>
      <c r="U135" s="1327">
        <v>1607.2</v>
      </c>
      <c r="V135" s="1327">
        <v>1607.2</v>
      </c>
      <c r="W135" s="1327">
        <v>1638.4</v>
      </c>
      <c r="X135" s="1327">
        <v>1638.4</v>
      </c>
      <c r="Y135" s="1327">
        <v>1957.4</v>
      </c>
      <c r="Z135" s="1327">
        <v>1957.4</v>
      </c>
      <c r="AA135" s="1327">
        <v>2089.9</v>
      </c>
      <c r="AB135" s="1198">
        <v>2089.9</v>
      </c>
      <c r="AC135" s="1198">
        <v>2089.9</v>
      </c>
      <c r="AD135" s="1198">
        <v>2089.9</v>
      </c>
      <c r="AE135" s="1198">
        <v>2556</v>
      </c>
      <c r="AF135" s="1198">
        <v>2556</v>
      </c>
      <c r="AG135" s="1186">
        <f t="shared" ref="AG135:AS135" si="231">AF135</f>
        <v>2556</v>
      </c>
      <c r="AH135" s="1186">
        <f t="shared" si="231"/>
        <v>2556</v>
      </c>
      <c r="AI135" s="1186">
        <f t="shared" si="231"/>
        <v>2556</v>
      </c>
      <c r="AJ135" s="1186">
        <f t="shared" si="231"/>
        <v>2556</v>
      </c>
      <c r="AK135" s="1186">
        <f t="shared" si="231"/>
        <v>2556</v>
      </c>
      <c r="AL135" s="1186">
        <f t="shared" si="231"/>
        <v>2556</v>
      </c>
      <c r="AM135" s="1186">
        <f t="shared" si="231"/>
        <v>2556</v>
      </c>
      <c r="AN135" s="1186">
        <f t="shared" si="231"/>
        <v>2556</v>
      </c>
      <c r="AO135" s="1186">
        <f t="shared" si="231"/>
        <v>2556</v>
      </c>
      <c r="AP135" s="1186">
        <f t="shared" si="231"/>
        <v>2556</v>
      </c>
      <c r="AQ135" s="1186">
        <f t="shared" si="231"/>
        <v>2556</v>
      </c>
      <c r="AR135" s="1186">
        <f t="shared" si="231"/>
        <v>2556</v>
      </c>
      <c r="AS135" s="1186">
        <f t="shared" si="231"/>
        <v>2556</v>
      </c>
      <c r="AT135" s="1186">
        <f t="shared" ref="AT135:AT136" si="232">AS135</f>
        <v>2556</v>
      </c>
      <c r="AU135" s="1186">
        <f t="shared" ref="AU135:AU136" si="233">AT135</f>
        <v>2556</v>
      </c>
      <c r="AV135" s="1186">
        <f t="shared" ref="AV135:AV136" si="234">AU135</f>
        <v>2556</v>
      </c>
      <c r="AW135" s="1186">
        <f t="shared" ref="AW135:AW136" si="235">AV135</f>
        <v>2556</v>
      </c>
    </row>
    <row r="136" spans="1:49">
      <c r="A136" t="s">
        <v>59</v>
      </c>
      <c r="N136">
        <v>-27.5</v>
      </c>
      <c r="O136">
        <v>-2.2999999999999998</v>
      </c>
      <c r="P136">
        <v>-3</v>
      </c>
      <c r="Q136">
        <v>-5.2</v>
      </c>
      <c r="R136">
        <v>-8.9</v>
      </c>
      <c r="S136">
        <v>-7.2</v>
      </c>
      <c r="T136">
        <v>-6.4</v>
      </c>
      <c r="U136">
        <v>-7.7</v>
      </c>
      <c r="V136">
        <v>-43.7</v>
      </c>
      <c r="W136">
        <v>-6</v>
      </c>
      <c r="X136">
        <v>-4.7</v>
      </c>
      <c r="Y136">
        <v>-5.9</v>
      </c>
      <c r="Z136">
        <v>-11</v>
      </c>
      <c r="AA136">
        <v>-8.5</v>
      </c>
      <c r="AB136" s="563">
        <v>-1.6</v>
      </c>
      <c r="AC136" s="563">
        <v>0</v>
      </c>
      <c r="AD136" s="563">
        <v>-6.3</v>
      </c>
      <c r="AE136" s="563">
        <v>-2.7</v>
      </c>
      <c r="AF136" s="563">
        <v>-0.9</v>
      </c>
      <c r="AG136" s="18">
        <f t="shared" ref="AG136:AS136" si="236">AF136</f>
        <v>-0.9</v>
      </c>
      <c r="AH136" s="18">
        <f t="shared" si="236"/>
        <v>-0.9</v>
      </c>
      <c r="AI136" s="18">
        <f t="shared" si="236"/>
        <v>-0.9</v>
      </c>
      <c r="AJ136" s="18">
        <f t="shared" si="236"/>
        <v>-0.9</v>
      </c>
      <c r="AK136" s="18">
        <f t="shared" si="236"/>
        <v>-0.9</v>
      </c>
      <c r="AL136" s="18">
        <f t="shared" si="236"/>
        <v>-0.9</v>
      </c>
      <c r="AM136" s="18">
        <f t="shared" si="236"/>
        <v>-0.9</v>
      </c>
      <c r="AN136" s="18">
        <f t="shared" si="236"/>
        <v>-0.9</v>
      </c>
      <c r="AO136" s="18">
        <f t="shared" si="236"/>
        <v>-0.9</v>
      </c>
      <c r="AP136" s="18">
        <f t="shared" si="236"/>
        <v>-0.9</v>
      </c>
      <c r="AQ136" s="18">
        <f t="shared" si="236"/>
        <v>-0.9</v>
      </c>
      <c r="AR136" s="18">
        <f t="shared" si="236"/>
        <v>-0.9</v>
      </c>
      <c r="AS136" s="18">
        <f t="shared" si="236"/>
        <v>-0.9</v>
      </c>
      <c r="AT136" s="18">
        <f t="shared" si="232"/>
        <v>-0.9</v>
      </c>
      <c r="AU136" s="18">
        <f t="shared" si="233"/>
        <v>-0.9</v>
      </c>
      <c r="AV136" s="18">
        <f t="shared" si="234"/>
        <v>-0.9</v>
      </c>
      <c r="AW136" s="18">
        <f t="shared" si="235"/>
        <v>-0.9</v>
      </c>
    </row>
    <row r="137" spans="1:49">
      <c r="A137" t="s">
        <v>60</v>
      </c>
      <c r="N137" s="1327">
        <f t="shared" ref="N137:AA137" si="237">N135+N136</f>
        <v>1312.2</v>
      </c>
      <c r="O137" s="1327">
        <f t="shared" si="237"/>
        <v>1592</v>
      </c>
      <c r="P137" s="1327">
        <f t="shared" si="237"/>
        <v>1592.4</v>
      </c>
      <c r="Q137" s="1327">
        <f t="shared" si="237"/>
        <v>1590.8999999999999</v>
      </c>
      <c r="R137" s="1327">
        <f t="shared" si="237"/>
        <v>1587.1999999999998</v>
      </c>
      <c r="S137" s="1327">
        <f t="shared" si="237"/>
        <v>1600</v>
      </c>
      <c r="T137" s="1327">
        <f t="shared" si="237"/>
        <v>1600.8</v>
      </c>
      <c r="U137" s="1327">
        <f t="shared" si="237"/>
        <v>1599.5</v>
      </c>
      <c r="V137" s="1327">
        <f t="shared" si="237"/>
        <v>1563.5</v>
      </c>
      <c r="W137" s="1327">
        <f t="shared" si="237"/>
        <v>1632.4</v>
      </c>
      <c r="X137" s="1327">
        <f t="shared" si="237"/>
        <v>1633.7</v>
      </c>
      <c r="Y137" s="1327">
        <f t="shared" si="237"/>
        <v>1951.5</v>
      </c>
      <c r="Z137" s="1327">
        <f t="shared" si="237"/>
        <v>1946.4</v>
      </c>
      <c r="AA137" s="1327">
        <f t="shared" si="237"/>
        <v>2081.4</v>
      </c>
      <c r="AB137" s="1198">
        <v>2088.3000000000002</v>
      </c>
      <c r="AC137" s="1198">
        <f t="shared" ref="AC137:AS137" si="238">AC135+AC136</f>
        <v>2089.9</v>
      </c>
      <c r="AD137" s="1198">
        <f t="shared" si="238"/>
        <v>2083.6</v>
      </c>
      <c r="AE137" s="1198">
        <f t="shared" si="238"/>
        <v>2553.3000000000002</v>
      </c>
      <c r="AF137" s="1198">
        <f t="shared" si="238"/>
        <v>2555.1</v>
      </c>
      <c r="AG137" s="1186">
        <f t="shared" si="238"/>
        <v>2555.1</v>
      </c>
      <c r="AH137" s="1186">
        <f t="shared" si="238"/>
        <v>2555.1</v>
      </c>
      <c r="AI137" s="1186">
        <f t="shared" si="238"/>
        <v>2555.1</v>
      </c>
      <c r="AJ137" s="1186">
        <f t="shared" si="238"/>
        <v>2555.1</v>
      </c>
      <c r="AK137" s="1186">
        <f t="shared" si="238"/>
        <v>2555.1</v>
      </c>
      <c r="AL137" s="1186">
        <f t="shared" si="238"/>
        <v>2555.1</v>
      </c>
      <c r="AM137" s="1186">
        <f t="shared" si="238"/>
        <v>2555.1</v>
      </c>
      <c r="AN137" s="1186">
        <f t="shared" si="238"/>
        <v>2555.1</v>
      </c>
      <c r="AO137" s="1186">
        <f t="shared" si="238"/>
        <v>2555.1</v>
      </c>
      <c r="AP137" s="1186">
        <f t="shared" si="238"/>
        <v>2555.1</v>
      </c>
      <c r="AQ137" s="1186">
        <f t="shared" si="238"/>
        <v>2555.1</v>
      </c>
      <c r="AR137" s="1186">
        <f t="shared" si="238"/>
        <v>2555.1</v>
      </c>
      <c r="AS137" s="1186">
        <f t="shared" si="238"/>
        <v>2555.1</v>
      </c>
      <c r="AT137" s="1186">
        <f t="shared" ref="AT137:AW137" si="239">AT135+AT136</f>
        <v>2555.1</v>
      </c>
      <c r="AU137" s="1186">
        <f t="shared" si="239"/>
        <v>2555.1</v>
      </c>
      <c r="AV137" s="1186">
        <f t="shared" si="239"/>
        <v>2555.1</v>
      </c>
      <c r="AW137" s="1186">
        <f t="shared" si="239"/>
        <v>2555.1</v>
      </c>
    </row>
    <row r="138" spans="1:49">
      <c r="AB138" s="563"/>
      <c r="AT138" s="18"/>
      <c r="AU138" s="18"/>
      <c r="AV138" s="18"/>
      <c r="AW138" s="18"/>
    </row>
    <row r="139" spans="1:49">
      <c r="A139" s="58" t="s">
        <v>195</v>
      </c>
      <c r="AB139" s="563"/>
      <c r="AT139" s="18"/>
      <c r="AU139" s="18"/>
      <c r="AV139" s="18"/>
      <c r="AW139" s="18"/>
    </row>
    <row r="140" spans="1:49" s="169" customFormat="1" ht="26.25">
      <c r="A140" s="168" t="s">
        <v>196</v>
      </c>
      <c r="N140" s="170">
        <v>0.74</v>
      </c>
      <c r="O140" s="170">
        <v>0.54</v>
      </c>
      <c r="P140" s="170">
        <v>0.18</v>
      </c>
      <c r="Q140" s="170">
        <v>-0.36</v>
      </c>
      <c r="R140" s="171">
        <v>0.46</v>
      </c>
      <c r="S140" s="171">
        <v>-0.44</v>
      </c>
      <c r="T140" s="171">
        <v>0.54</v>
      </c>
      <c r="U140" s="171">
        <v>0.4</v>
      </c>
      <c r="V140" s="171">
        <v>0.62</v>
      </c>
      <c r="W140" s="171">
        <v>0.61</v>
      </c>
      <c r="X140" s="171">
        <v>0.46</v>
      </c>
      <c r="Y140" s="171">
        <v>-3.28</v>
      </c>
      <c r="Z140" s="171">
        <v>-0.15</v>
      </c>
      <c r="AA140" s="171">
        <v>0.08</v>
      </c>
      <c r="AB140" s="1101">
        <f t="shared" ref="AB140:AW140" si="240">AB28/AB155</f>
        <v>1.7717760858114256E-2</v>
      </c>
      <c r="AC140" s="1101">
        <f t="shared" si="240"/>
        <v>-1.252213024546629</v>
      </c>
      <c r="AD140" s="1101">
        <f t="shared" si="240"/>
        <v>0.28412363217508158</v>
      </c>
      <c r="AE140" s="1101">
        <f t="shared" si="240"/>
        <v>0.11984490659146986</v>
      </c>
      <c r="AF140" s="1101">
        <f t="shared" si="240"/>
        <v>9.6669406285468287E-2</v>
      </c>
      <c r="AG140" s="172">
        <f t="shared" si="240"/>
        <v>0.16520037690941031</v>
      </c>
      <c r="AH140" s="172">
        <f t="shared" si="240"/>
        <v>0.17044419647453854</v>
      </c>
      <c r="AI140" s="172">
        <f t="shared" si="240"/>
        <v>0.23364223116392491</v>
      </c>
      <c r="AJ140" s="172">
        <f t="shared" si="240"/>
        <v>0.29151885050915988</v>
      </c>
      <c r="AK140" s="172">
        <f t="shared" si="240"/>
        <v>0.34213200332049548</v>
      </c>
      <c r="AL140" s="172">
        <f t="shared" si="240"/>
        <v>0.34465904205257952</v>
      </c>
      <c r="AM140" s="172">
        <f t="shared" si="240"/>
        <v>0.36561561328225745</v>
      </c>
      <c r="AN140" s="172">
        <f t="shared" si="240"/>
        <v>0.36824863108394434</v>
      </c>
      <c r="AO140" s="172">
        <f t="shared" si="240"/>
        <v>0.41332092661697384</v>
      </c>
      <c r="AP140" s="172">
        <f t="shared" si="240"/>
        <v>0.41536565444133711</v>
      </c>
      <c r="AQ140" s="172">
        <f t="shared" si="240"/>
        <v>0.43772087669133258</v>
      </c>
      <c r="AR140" s="172">
        <f t="shared" si="240"/>
        <v>0.42437122724474963</v>
      </c>
      <c r="AS140" s="172">
        <f t="shared" si="240"/>
        <v>0.44936654601623455</v>
      </c>
      <c r="AT140" s="172">
        <f t="shared" si="240"/>
        <v>0.45094577135135255</v>
      </c>
      <c r="AU140" s="172">
        <f t="shared" si="240"/>
        <v>0.47482963245804377</v>
      </c>
      <c r="AV140" s="172">
        <f t="shared" si="240"/>
        <v>0.4601385378725934</v>
      </c>
      <c r="AW140" s="172">
        <f t="shared" si="240"/>
        <v>0.48723339803265425</v>
      </c>
    </row>
    <row r="141" spans="1:49" s="174" customFormat="1" ht="16.5" thickBot="1">
      <c r="A141" s="173" t="s">
        <v>197</v>
      </c>
      <c r="N141" s="175">
        <v>0.74</v>
      </c>
      <c r="O141" s="175">
        <v>0.53</v>
      </c>
      <c r="P141" s="175">
        <v>0.26</v>
      </c>
      <c r="Q141" s="175">
        <v>-0.36</v>
      </c>
      <c r="R141" s="176">
        <v>0.47</v>
      </c>
      <c r="S141" s="176">
        <v>-0.45</v>
      </c>
      <c r="T141" s="176">
        <v>0.6</v>
      </c>
      <c r="U141" s="176">
        <v>0.39</v>
      </c>
      <c r="V141" s="176">
        <v>0.62</v>
      </c>
      <c r="W141" s="176">
        <v>0.61</v>
      </c>
      <c r="X141" s="176">
        <v>0.46</v>
      </c>
      <c r="Y141" s="176">
        <v>-3.28</v>
      </c>
      <c r="Z141" s="176">
        <v>-0.15</v>
      </c>
      <c r="AA141" s="176">
        <v>0.08</v>
      </c>
      <c r="AB141" s="1102">
        <f>AB140</f>
        <v>1.7717760858114256E-2</v>
      </c>
      <c r="AC141" s="1102">
        <f t="shared" ref="AC141:AS141" si="241">AC140</f>
        <v>-1.252213024546629</v>
      </c>
      <c r="AD141" s="1102">
        <f t="shared" si="241"/>
        <v>0.28412363217508158</v>
      </c>
      <c r="AE141" s="1102">
        <f t="shared" si="241"/>
        <v>0.11984490659146986</v>
      </c>
      <c r="AF141" s="1102">
        <f t="shared" si="241"/>
        <v>9.6669406285468287E-2</v>
      </c>
      <c r="AG141" s="1025">
        <f t="shared" si="241"/>
        <v>0.16520037690941031</v>
      </c>
      <c r="AH141" s="1025">
        <f t="shared" si="241"/>
        <v>0.17044419647453854</v>
      </c>
      <c r="AI141" s="1025">
        <f t="shared" si="241"/>
        <v>0.23364223116392491</v>
      </c>
      <c r="AJ141" s="1025">
        <f t="shared" si="241"/>
        <v>0.29151885050915988</v>
      </c>
      <c r="AK141" s="1025">
        <f t="shared" si="241"/>
        <v>0.34213200332049548</v>
      </c>
      <c r="AL141" s="1025">
        <f t="shared" si="241"/>
        <v>0.34465904205257952</v>
      </c>
      <c r="AM141" s="1025">
        <f t="shared" si="241"/>
        <v>0.36561561328225745</v>
      </c>
      <c r="AN141" s="1025">
        <f t="shared" si="241"/>
        <v>0.36824863108394434</v>
      </c>
      <c r="AO141" s="1025">
        <f t="shared" si="241"/>
        <v>0.41332092661697384</v>
      </c>
      <c r="AP141" s="1025">
        <f t="shared" si="241"/>
        <v>0.41536565444133711</v>
      </c>
      <c r="AQ141" s="1025">
        <f t="shared" si="241"/>
        <v>0.43772087669133258</v>
      </c>
      <c r="AR141" s="1025">
        <f t="shared" si="241"/>
        <v>0.42437122724474963</v>
      </c>
      <c r="AS141" s="1025">
        <f t="shared" si="241"/>
        <v>0.44936654601623455</v>
      </c>
      <c r="AT141" s="1025">
        <f t="shared" ref="AT141:AW141" si="242">AT140</f>
        <v>0.45094577135135255</v>
      </c>
      <c r="AU141" s="1025">
        <f t="shared" si="242"/>
        <v>0.47482963245804377</v>
      </c>
      <c r="AV141" s="1025">
        <f t="shared" si="242"/>
        <v>0.4601385378725934</v>
      </c>
      <c r="AW141" s="1025">
        <f t="shared" si="242"/>
        <v>0.48723339803265425</v>
      </c>
    </row>
    <row r="142" spans="1:49">
      <c r="A142" t="s">
        <v>579</v>
      </c>
      <c r="N142" s="852">
        <f t="shared" ref="N142:AO142" si="243">N33/N155</f>
        <v>1.0524310318549002</v>
      </c>
      <c r="O142" s="852">
        <f t="shared" si="243"/>
        <v>0.73115577889447236</v>
      </c>
      <c r="P142" s="852">
        <f t="shared" si="243"/>
        <v>0.43456417985430795</v>
      </c>
      <c r="Q142" s="852">
        <f t="shared" si="243"/>
        <v>-0.16342950531145894</v>
      </c>
      <c r="R142" s="852">
        <f t="shared" si="243"/>
        <v>0.76549899193548399</v>
      </c>
      <c r="S142" s="852">
        <f t="shared" si="243"/>
        <v>-0.41375000000000001</v>
      </c>
      <c r="T142" s="852">
        <f t="shared" si="243"/>
        <v>0.67341329335332334</v>
      </c>
      <c r="U142" s="852">
        <f t="shared" si="243"/>
        <v>0.43326039387308535</v>
      </c>
      <c r="V142" s="852">
        <f t="shared" si="243"/>
        <v>0.66133674448353053</v>
      </c>
      <c r="W142" s="852">
        <f t="shared" si="243"/>
        <v>0.65302621906395486</v>
      </c>
      <c r="X142" s="852">
        <f t="shared" si="243"/>
        <v>0.47071065679133256</v>
      </c>
      <c r="Y142" s="852">
        <f t="shared" si="243"/>
        <v>-0.85165257494235203</v>
      </c>
      <c r="Z142" s="852">
        <f t="shared" si="243"/>
        <v>-2.5688450472667487E-2</v>
      </c>
      <c r="AA142" s="852">
        <f t="shared" si="243"/>
        <v>0.1292399346593639</v>
      </c>
      <c r="AB142" s="852">
        <f t="shared" si="243"/>
        <v>-7.8532777857587499E-2</v>
      </c>
      <c r="AC142" s="852">
        <f t="shared" si="243"/>
        <v>-0.19043973395856259</v>
      </c>
      <c r="AD142" s="852">
        <f t="shared" si="243"/>
        <v>0.34987521597235555</v>
      </c>
      <c r="AE142" s="852">
        <f t="shared" si="243"/>
        <v>0.14686875807778169</v>
      </c>
      <c r="AF142" s="852">
        <f t="shared" si="243"/>
        <v>0.14050330711126766</v>
      </c>
      <c r="AG142" s="852">
        <f>AG141</f>
        <v>0.16520037690941031</v>
      </c>
      <c r="AH142" s="852">
        <f t="shared" si="243"/>
        <v>0.17044419647453854</v>
      </c>
      <c r="AI142" s="852">
        <f t="shared" si="243"/>
        <v>0.23364223116392491</v>
      </c>
      <c r="AJ142" s="852">
        <f t="shared" si="243"/>
        <v>0.29151885050915988</v>
      </c>
      <c r="AK142" s="852">
        <f t="shared" si="243"/>
        <v>0.34213200332049548</v>
      </c>
      <c r="AL142" s="852">
        <f t="shared" si="243"/>
        <v>0.34465904205257952</v>
      </c>
      <c r="AM142" s="852">
        <f t="shared" si="243"/>
        <v>0.36561561328225745</v>
      </c>
      <c r="AN142" s="852">
        <f t="shared" si="243"/>
        <v>0.36824863108394434</v>
      </c>
      <c r="AO142" s="852">
        <f t="shared" si="243"/>
        <v>0.41332092661697384</v>
      </c>
      <c r="AT142" s="18"/>
      <c r="AU142" s="18"/>
      <c r="AV142" s="18"/>
      <c r="AW142" s="18"/>
    </row>
    <row r="143" spans="1:49">
      <c r="AB143" s="563"/>
      <c r="AT143" s="18"/>
      <c r="AU143" s="18"/>
      <c r="AV143" s="18"/>
      <c r="AW143" s="18"/>
    </row>
    <row r="144" spans="1:49" s="8" customFormat="1">
      <c r="A144" s="8" t="s">
        <v>484</v>
      </c>
      <c r="AB144" s="939"/>
      <c r="AC144" s="20"/>
      <c r="AD144" s="20"/>
      <c r="AE144" s="20"/>
      <c r="AF144" s="20"/>
      <c r="AG144" s="20"/>
      <c r="AH144" s="20"/>
      <c r="AI144" s="20"/>
      <c r="AJ144" s="20"/>
      <c r="AK144" s="20"/>
      <c r="AL144" s="20"/>
      <c r="AM144" s="20"/>
      <c r="AN144" s="20"/>
      <c r="AO144" s="20"/>
      <c r="AP144" s="20"/>
      <c r="AQ144" s="20"/>
      <c r="AR144" s="20"/>
      <c r="AS144" s="20"/>
      <c r="AT144" s="20"/>
      <c r="AU144" s="20"/>
      <c r="AV144" s="20"/>
      <c r="AW144" s="20"/>
    </row>
    <row r="145" spans="1:51">
      <c r="A145" t="s">
        <v>72</v>
      </c>
      <c r="N145" s="1180">
        <v>28985</v>
      </c>
      <c r="O145" s="1180">
        <v>33611</v>
      </c>
      <c r="P145" s="1180">
        <v>33838</v>
      </c>
      <c r="Q145" s="1180">
        <f t="shared" ref="Q145:AW145" si="244">Q106-Q83-Q82</f>
        <v>33955</v>
      </c>
      <c r="R145" s="1180">
        <f t="shared" si="244"/>
        <v>35046</v>
      </c>
      <c r="S145" s="1180">
        <f t="shared" si="244"/>
        <v>32716</v>
      </c>
      <c r="T145" s="1180">
        <f t="shared" si="244"/>
        <v>35178</v>
      </c>
      <c r="U145" s="1180">
        <f t="shared" si="244"/>
        <v>35066</v>
      </c>
      <c r="V145" s="1180">
        <f t="shared" si="244"/>
        <v>34672</v>
      </c>
      <c r="W145" s="1180">
        <f t="shared" si="244"/>
        <v>34199</v>
      </c>
      <c r="X145" s="1180">
        <f t="shared" si="244"/>
        <v>36022</v>
      </c>
      <c r="Y145" s="1180">
        <f t="shared" si="244"/>
        <v>39378</v>
      </c>
      <c r="Z145" s="1180">
        <f t="shared" si="244"/>
        <v>40123</v>
      </c>
      <c r="AA145" s="1180">
        <f t="shared" si="244"/>
        <v>40026</v>
      </c>
      <c r="AB145" s="1198">
        <f t="shared" si="244"/>
        <v>39359</v>
      </c>
      <c r="AC145" s="1198">
        <f t="shared" si="244"/>
        <v>36771</v>
      </c>
      <c r="AD145" s="1198">
        <f t="shared" si="244"/>
        <v>36669</v>
      </c>
      <c r="AE145" s="1198">
        <f t="shared" si="244"/>
        <v>38625</v>
      </c>
      <c r="AF145" s="1198">
        <f t="shared" si="244"/>
        <v>38924</v>
      </c>
      <c r="AG145" s="1186">
        <f t="shared" si="244"/>
        <v>37046.103483041232</v>
      </c>
      <c r="AH145" s="1186">
        <f t="shared" si="244"/>
        <v>37481.605449453324</v>
      </c>
      <c r="AI145" s="1186">
        <f t="shared" si="244"/>
        <v>36290.014714300269</v>
      </c>
      <c r="AJ145" s="1186">
        <f t="shared" si="244"/>
        <v>37034.874529236222</v>
      </c>
      <c r="AK145" s="1186">
        <f t="shared" si="244"/>
        <v>37909.056010920423</v>
      </c>
      <c r="AL145" s="1186">
        <f t="shared" si="244"/>
        <v>38789.694329268968</v>
      </c>
      <c r="AM145" s="1186">
        <f t="shared" si="244"/>
        <v>37168.778782766465</v>
      </c>
      <c r="AN145" s="1186">
        <f t="shared" si="244"/>
        <v>38109.69086004905</v>
      </c>
      <c r="AO145" s="1186">
        <f t="shared" si="244"/>
        <v>39165.76715964808</v>
      </c>
      <c r="AP145" s="1186">
        <f t="shared" si="244"/>
        <v>40227.067943311136</v>
      </c>
      <c r="AQ145" s="1186">
        <f t="shared" si="244"/>
        <v>38790.388555345162</v>
      </c>
      <c r="AR145" s="1186">
        <f t="shared" si="244"/>
        <v>39874.699478078219</v>
      </c>
      <c r="AS145" s="1186">
        <f t="shared" si="244"/>
        <v>41022.875939804297</v>
      </c>
      <c r="AT145" s="1186">
        <f t="shared" si="244"/>
        <v>42175.087480184135</v>
      </c>
      <c r="AU145" s="1186">
        <f t="shared" si="244"/>
        <v>40066.694674077684</v>
      </c>
      <c r="AV145" s="1186">
        <f t="shared" si="244"/>
        <v>41242.394652195944</v>
      </c>
      <c r="AW145" s="1186">
        <f t="shared" si="244"/>
        <v>42487.324707509179</v>
      </c>
    </row>
    <row r="146" spans="1:51">
      <c r="A146" t="s">
        <v>590</v>
      </c>
      <c r="N146" s="1327">
        <f t="shared" ref="N146:AW146" si="245">N106</f>
        <v>37825</v>
      </c>
      <c r="O146" s="1327">
        <f t="shared" si="245"/>
        <v>42402</v>
      </c>
      <c r="P146" s="1327">
        <f t="shared" si="245"/>
        <v>43864</v>
      </c>
      <c r="Q146" s="1327">
        <f t="shared" si="245"/>
        <v>42164</v>
      </c>
      <c r="R146" s="1327">
        <f t="shared" si="245"/>
        <v>43230</v>
      </c>
      <c r="S146" s="1327">
        <f t="shared" si="245"/>
        <v>40944</v>
      </c>
      <c r="T146" s="1327">
        <f t="shared" si="245"/>
        <v>43864</v>
      </c>
      <c r="U146" s="1327">
        <f t="shared" si="245"/>
        <v>43959</v>
      </c>
      <c r="V146" s="1327">
        <f t="shared" si="245"/>
        <v>43396</v>
      </c>
      <c r="W146" s="1327">
        <f t="shared" si="245"/>
        <v>42642</v>
      </c>
      <c r="X146" s="1327">
        <f t="shared" si="245"/>
        <v>44757</v>
      </c>
      <c r="Y146" s="1327">
        <f t="shared" si="245"/>
        <v>44382</v>
      </c>
      <c r="Z146" s="1327">
        <f t="shared" si="245"/>
        <v>44997</v>
      </c>
      <c r="AA146" s="1327">
        <f t="shared" si="245"/>
        <v>44962</v>
      </c>
      <c r="AB146" s="1198">
        <f t="shared" si="245"/>
        <v>44276</v>
      </c>
      <c r="AC146" s="1198">
        <f t="shared" si="245"/>
        <v>41897</v>
      </c>
      <c r="AD146" s="1198">
        <f t="shared" si="245"/>
        <v>41702</v>
      </c>
      <c r="AE146" s="1198">
        <f t="shared" si="245"/>
        <v>43493</v>
      </c>
      <c r="AF146" s="1198">
        <f t="shared" si="245"/>
        <v>43858</v>
      </c>
      <c r="AG146" s="1186">
        <f t="shared" si="245"/>
        <v>41980.103483041232</v>
      </c>
      <c r="AH146" s="1186">
        <f t="shared" si="245"/>
        <v>42415.605449453324</v>
      </c>
      <c r="AI146" s="1186">
        <f t="shared" si="245"/>
        <v>41224.014714300269</v>
      </c>
      <c r="AJ146" s="1186">
        <f t="shared" si="245"/>
        <v>41968.874529236222</v>
      </c>
      <c r="AK146" s="1186">
        <f t="shared" si="245"/>
        <v>42843.056010920423</v>
      </c>
      <c r="AL146" s="1186">
        <f t="shared" si="245"/>
        <v>43723.694329268968</v>
      </c>
      <c r="AM146" s="1186">
        <f t="shared" si="245"/>
        <v>42102.778782766465</v>
      </c>
      <c r="AN146" s="1186">
        <f t="shared" si="245"/>
        <v>43043.69086004905</v>
      </c>
      <c r="AO146" s="1186">
        <f t="shared" si="245"/>
        <v>44099.76715964808</v>
      </c>
      <c r="AP146" s="1186">
        <f t="shared" si="245"/>
        <v>45161.067943311136</v>
      </c>
      <c r="AQ146" s="1186">
        <f t="shared" si="245"/>
        <v>43724.388555345162</v>
      </c>
      <c r="AR146" s="1186">
        <f t="shared" si="245"/>
        <v>44808.699478078219</v>
      </c>
      <c r="AS146" s="1186">
        <f t="shared" si="245"/>
        <v>45956.875939804297</v>
      </c>
      <c r="AT146" s="1186">
        <f t="shared" si="245"/>
        <v>47109.087480184135</v>
      </c>
      <c r="AU146" s="1186">
        <f t="shared" si="245"/>
        <v>45000.694674077684</v>
      </c>
      <c r="AV146" s="1186">
        <f t="shared" si="245"/>
        <v>46176.394652195944</v>
      </c>
      <c r="AW146" s="1186">
        <f t="shared" si="245"/>
        <v>47421.324707509179</v>
      </c>
    </row>
    <row r="147" spans="1:51" s="851" customFormat="1">
      <c r="A147" s="851" t="s">
        <v>485</v>
      </c>
      <c r="N147" s="133"/>
      <c r="O147" s="1104">
        <f t="shared" ref="O147:AW147" si="246">O28/AVERAGE(N106:O106)</f>
        <v>2.9017662382988269E-2</v>
      </c>
      <c r="P147" s="1104">
        <f t="shared" si="246"/>
        <v>1.6043400644518119E-2</v>
      </c>
      <c r="Q147" s="1104">
        <f t="shared" si="246"/>
        <v>-6.3235225740456598E-3</v>
      </c>
      <c r="R147" s="1104">
        <f t="shared" si="246"/>
        <v>2.8456331826592032E-2</v>
      </c>
      <c r="S147" s="1104">
        <f t="shared" si="246"/>
        <v>-1.5729322593675005E-2</v>
      </c>
      <c r="T147" s="1104">
        <f t="shared" si="246"/>
        <v>2.5422129987737005E-2</v>
      </c>
      <c r="U147" s="1104">
        <f t="shared" si="246"/>
        <v>1.5781742823633899E-2</v>
      </c>
      <c r="V147" s="1104">
        <f t="shared" si="246"/>
        <v>2.3673516112414857E-2</v>
      </c>
      <c r="W147" s="1104">
        <f t="shared" si="246"/>
        <v>2.477974848322834E-2</v>
      </c>
      <c r="X147" s="1104">
        <f t="shared" si="246"/>
        <v>1.7597455348459363E-2</v>
      </c>
      <c r="Y147" s="1104">
        <f t="shared" si="246"/>
        <v>-0.13044795207484938</v>
      </c>
      <c r="Z147" s="1104">
        <f t="shared" si="246"/>
        <v>-6.8248693764754583E-3</v>
      </c>
      <c r="AA147" s="1104">
        <f t="shared" si="246"/>
        <v>3.9573583521381964E-3</v>
      </c>
      <c r="AB147" s="1104">
        <f t="shared" si="246"/>
        <v>8.292431475380443E-4</v>
      </c>
      <c r="AC147" s="1104">
        <f t="shared" si="246"/>
        <v>-6.0738282292597451E-2</v>
      </c>
      <c r="AD147" s="1104">
        <f t="shared" si="246"/>
        <v>1.416284883790476E-2</v>
      </c>
      <c r="AE147" s="1104">
        <f t="shared" si="246"/>
        <v>7.1835201596337816E-3</v>
      </c>
      <c r="AF147" s="1104">
        <f t="shared" si="246"/>
        <v>5.6553445295417339E-3</v>
      </c>
      <c r="AG147" s="120">
        <f t="shared" si="246"/>
        <v>9.8348743952533374E-3</v>
      </c>
      <c r="AH147" s="120">
        <f t="shared" si="246"/>
        <v>1.0320476524711407E-2</v>
      </c>
      <c r="AI147" s="120">
        <f t="shared" si="246"/>
        <v>1.4275035292559921E-2</v>
      </c>
      <c r="AJ147" s="120">
        <f t="shared" si="246"/>
        <v>1.7906814433514214E-2</v>
      </c>
      <c r="AK147" s="120">
        <f t="shared" si="246"/>
        <v>2.0614587502410211E-2</v>
      </c>
      <c r="AL147" s="120">
        <f t="shared" si="246"/>
        <v>2.0345879102260853E-2</v>
      </c>
      <c r="AM147" s="120">
        <f t="shared" si="246"/>
        <v>2.1769144638578781E-2</v>
      </c>
      <c r="AN147" s="120">
        <f t="shared" si="246"/>
        <v>2.2101023829400272E-2</v>
      </c>
      <c r="AO147" s="120">
        <f t="shared" si="246"/>
        <v>2.4237649586049792E-2</v>
      </c>
      <c r="AP147" s="120">
        <f t="shared" si="246"/>
        <v>2.3779763710229409E-2</v>
      </c>
      <c r="AQ147" s="120">
        <f t="shared" si="246"/>
        <v>2.5165435518710109E-2</v>
      </c>
      <c r="AR147" s="120">
        <f t="shared" si="246"/>
        <v>2.4495043532734476E-2</v>
      </c>
      <c r="AS147" s="120">
        <f t="shared" si="246"/>
        <v>2.5299822238550335E-2</v>
      </c>
      <c r="AT147" s="120">
        <f t="shared" si="246"/>
        <v>2.4761180092879635E-2</v>
      </c>
      <c r="AU147" s="120">
        <f t="shared" si="246"/>
        <v>2.6343286576482525E-2</v>
      </c>
      <c r="AV147" s="120">
        <f t="shared" si="246"/>
        <v>2.5789372896321952E-2</v>
      </c>
      <c r="AW147" s="120">
        <f t="shared" si="246"/>
        <v>2.6601717730511096E-2</v>
      </c>
    </row>
    <row r="148" spans="1:51">
      <c r="A148" t="s">
        <v>776</v>
      </c>
      <c r="O148" s="851"/>
      <c r="P148" s="851"/>
      <c r="Q148" s="133">
        <f>SUM(N33:Q33)/AVERAGE(N106:Q106)</f>
        <v>7.1624913536434992E-2</v>
      </c>
      <c r="R148" s="851"/>
      <c r="S148" s="851"/>
      <c r="T148" s="851"/>
      <c r="U148" s="133">
        <f>SUM(R33:U33)/AVERAGE(R106:U106)</f>
        <v>5.4047454316063649E-2</v>
      </c>
      <c r="V148" s="851"/>
      <c r="W148" s="851"/>
      <c r="X148" s="851"/>
      <c r="Y148" s="133">
        <f>SUM(V33:Y33)/AVERAGE(V106:Y106)</f>
        <v>2.7560695753437951E-2</v>
      </c>
      <c r="Z148" s="851"/>
      <c r="AA148" s="851"/>
      <c r="AB148" s="851"/>
      <c r="AC148" s="133">
        <f>SUM(Z33:AC33)/AVERAGE(Z106:AC106)</f>
        <v>-7.7896123362023936E-3</v>
      </c>
      <c r="AD148" s="851"/>
      <c r="AE148" s="851"/>
      <c r="AF148" s="851"/>
      <c r="AG148" s="133">
        <f>SUM(AD33:AG33)/AVERAGE(AD106:AG106)</f>
        <v>3.4215598505936334E-2</v>
      </c>
      <c r="AH148" s="851"/>
      <c r="AI148" s="851"/>
      <c r="AJ148" s="851"/>
      <c r="AK148" s="133">
        <f>SUM(AH33:AK33)/AVERAGE(AH106:AK106)</f>
        <v>6.2962258686233424E-2</v>
      </c>
      <c r="AL148" s="851"/>
      <c r="AM148" s="851"/>
      <c r="AN148" s="851"/>
      <c r="AO148" s="133">
        <f>SUM(AL33:AO33)/AVERAGE(AL106:AO106)</f>
        <v>8.8149682983329924E-2</v>
      </c>
      <c r="AP148" s="851"/>
      <c r="AQ148" s="851"/>
      <c r="AR148" s="851"/>
      <c r="AS148" s="133">
        <f>SUM(AP33:AS33)/AVERAGE(AP106:AS106)</f>
        <v>9.8239542140921773E-2</v>
      </c>
      <c r="AT148" s="133"/>
      <c r="AU148" s="133"/>
      <c r="AV148" s="133"/>
      <c r="AW148" s="133">
        <f>SUM(AT33:AW33)/AVERAGE(AT106:AW106)</f>
        <v>0.10308853931449675</v>
      </c>
    </row>
    <row r="149" spans="1:51" s="126" customFormat="1" ht="21.75" thickBot="1">
      <c r="A149" s="126" t="s">
        <v>166</v>
      </c>
      <c r="E149" s="918">
        <v>2004</v>
      </c>
      <c r="F149" s="918">
        <v>2005</v>
      </c>
      <c r="G149" s="918">
        <v>2006</v>
      </c>
      <c r="H149" s="918">
        <v>2007</v>
      </c>
      <c r="I149" s="918">
        <v>2008</v>
      </c>
      <c r="J149" s="918">
        <v>2009</v>
      </c>
      <c r="K149" s="918">
        <v>2010</v>
      </c>
      <c r="L149" s="918">
        <v>2011</v>
      </c>
      <c r="M149" s="918">
        <v>2012</v>
      </c>
      <c r="AC149" s="127"/>
      <c r="AD149" s="127"/>
      <c r="AE149" s="127"/>
      <c r="AF149" s="127"/>
      <c r="AG149" s="127"/>
      <c r="AH149" s="127"/>
      <c r="AI149" s="127"/>
      <c r="AJ149" s="127"/>
      <c r="AK149" s="127"/>
      <c r="AL149" s="127"/>
      <c r="AM149" s="127"/>
      <c r="AN149" s="127"/>
      <c r="AO149" s="127"/>
      <c r="AP149" s="127"/>
      <c r="AQ149" s="127"/>
      <c r="AR149" s="127"/>
      <c r="AS149" s="127"/>
      <c r="AT149" s="127"/>
      <c r="AU149" s="127"/>
      <c r="AV149" s="127"/>
      <c r="AW149" s="127"/>
    </row>
    <row r="150" spans="1:51" s="124" customFormat="1">
      <c r="A150" s="124" t="s">
        <v>613</v>
      </c>
      <c r="O150" s="138"/>
      <c r="P150" s="138"/>
      <c r="Q150" s="138"/>
      <c r="R150" s="138"/>
      <c r="S150" s="138"/>
      <c r="T150" s="138"/>
      <c r="U150" s="138"/>
      <c r="V150" s="138"/>
      <c r="W150" s="138"/>
      <c r="X150" s="138"/>
      <c r="Y150" s="138"/>
      <c r="Z150" s="138"/>
      <c r="AA150" s="138"/>
      <c r="AB150" s="138"/>
      <c r="AC150" s="138"/>
      <c r="AD150" s="138"/>
      <c r="AE150" s="138"/>
      <c r="AF150" s="138"/>
      <c r="AG150" s="138"/>
      <c r="AH150" s="138"/>
      <c r="AI150" s="138"/>
      <c r="AJ150" s="138"/>
      <c r="AK150" s="138"/>
      <c r="AL150" s="138"/>
      <c r="AM150" s="138"/>
      <c r="AN150" s="138"/>
      <c r="AO150" s="138"/>
      <c r="AP150" s="138"/>
      <c r="AQ150" s="138">
        <v>0.5</v>
      </c>
      <c r="AR150" s="138"/>
      <c r="AS150" s="138"/>
      <c r="AT150" s="138"/>
      <c r="AU150" s="138">
        <v>0.5</v>
      </c>
      <c r="AV150" s="138"/>
      <c r="AW150" s="138"/>
      <c r="AY150" s="138">
        <v>0.5</v>
      </c>
    </row>
    <row r="151" spans="1:51" s="124" customFormat="1">
      <c r="A151" s="124" t="s">
        <v>163</v>
      </c>
      <c r="O151" s="138" t="e">
        <f t="shared" ref="O151:AU151" si="247">IF(O153/SUM(J140:M140)=0,"",O153/SUM(J140:M140))</f>
        <v>#DIV/0!</v>
      </c>
      <c r="P151" s="138" t="str">
        <f t="shared" si="247"/>
        <v/>
      </c>
      <c r="Q151" s="138" t="str">
        <f t="shared" si="247"/>
        <v/>
      </c>
      <c r="R151" s="138" t="str">
        <f t="shared" si="247"/>
        <v/>
      </c>
      <c r="S151" s="138">
        <f t="shared" si="247"/>
        <v>0.63636363636363624</v>
      </c>
      <c r="T151" s="138" t="str">
        <f t="shared" si="247"/>
        <v/>
      </c>
      <c r="U151" s="138" t="str">
        <f t="shared" si="247"/>
        <v/>
      </c>
      <c r="V151" s="138" t="str">
        <f t="shared" si="247"/>
        <v/>
      </c>
      <c r="W151" s="138">
        <f t="shared" si="247"/>
        <v>0.72916666666666652</v>
      </c>
      <c r="X151" s="138" t="str">
        <f t="shared" si="247"/>
        <v/>
      </c>
      <c r="Y151" s="138" t="str">
        <f t="shared" si="247"/>
        <v/>
      </c>
      <c r="Z151" s="138" t="str">
        <f t="shared" si="247"/>
        <v/>
      </c>
      <c r="AA151" s="138">
        <f t="shared" si="247"/>
        <v>-0.44025157232704404</v>
      </c>
      <c r="AB151" s="138" t="str">
        <f t="shared" si="247"/>
        <v/>
      </c>
      <c r="AC151" s="138" t="str">
        <f t="shared" si="247"/>
        <v/>
      </c>
      <c r="AD151" s="138" t="str">
        <f t="shared" si="247"/>
        <v/>
      </c>
      <c r="AE151" s="138">
        <f t="shared" si="247"/>
        <v>-0.53660601114083062</v>
      </c>
      <c r="AF151" s="138" t="str">
        <f t="shared" si="247"/>
        <v/>
      </c>
      <c r="AG151" s="138" t="str">
        <f t="shared" si="247"/>
        <v/>
      </c>
      <c r="AH151" s="138" t="str">
        <f t="shared" si="247"/>
        <v/>
      </c>
      <c r="AI151" s="138">
        <f t="shared" si="247"/>
        <v>1.0513062659684955</v>
      </c>
      <c r="AJ151" s="138" t="str">
        <f t="shared" si="247"/>
        <v/>
      </c>
      <c r="AK151" s="138" t="str">
        <f t="shared" si="247"/>
        <v/>
      </c>
      <c r="AL151" s="138" t="str">
        <f t="shared" si="247"/>
        <v/>
      </c>
      <c r="AM151" s="138">
        <f t="shared" si="247"/>
        <v>0.96363503350796953</v>
      </c>
      <c r="AN151" s="138" t="str">
        <f t="shared" si="247"/>
        <v/>
      </c>
      <c r="AO151" s="138" t="str">
        <f t="shared" si="247"/>
        <v/>
      </c>
      <c r="AP151" s="138" t="str">
        <f t="shared" si="247"/>
        <v/>
      </c>
      <c r="AQ151" s="138">
        <f t="shared" si="247"/>
        <v>0.6703112773183596</v>
      </c>
      <c r="AR151" s="138" t="str">
        <f t="shared" si="247"/>
        <v/>
      </c>
      <c r="AS151" s="138" t="str">
        <f t="shared" si="247"/>
        <v/>
      </c>
      <c r="AT151" s="138" t="str">
        <f t="shared" ref="AT151" si="248">IF(AT153/SUM(AO140:AR140)=0,"",AT153/SUM(AO140:AR140))</f>
        <v/>
      </c>
      <c r="AU151" s="138">
        <f t="shared" si="247"/>
        <v>0.75282702281427172</v>
      </c>
      <c r="AV151" s="138" t="str">
        <f t="shared" ref="AV151" si="249">IF(AV153/SUM(AQ140:AT140)=0,"",AV153/SUM(AQ140:AT140))</f>
        <v/>
      </c>
      <c r="AW151" s="138" t="str">
        <f t="shared" ref="AW151" si="250">IF(AW153/SUM(AR140:AU140)=0,"",AW153/SUM(AR140:AU140))</f>
        <v/>
      </c>
      <c r="AY151" s="138">
        <f t="shared" ref="AY151" si="251">IF(AY153/SUM(AT140:AW140)=0,"",AY153/SUM(AT140:AW140))</f>
        <v>0.80079125021126774</v>
      </c>
    </row>
    <row r="152" spans="1:51" s="124" customFormat="1">
      <c r="A152" s="124" t="s">
        <v>164</v>
      </c>
      <c r="AB152" s="125"/>
      <c r="AC152" s="125"/>
      <c r="AD152" s="125"/>
      <c r="AE152" s="125"/>
      <c r="AF152" s="125"/>
      <c r="AG152" s="125"/>
      <c r="AH152" s="125"/>
      <c r="AI152" s="125"/>
      <c r="AJ152" s="125"/>
      <c r="AK152" s="125"/>
      <c r="AL152" s="125"/>
      <c r="AM152" s="125"/>
      <c r="AN152" s="125"/>
      <c r="AO152" s="125"/>
      <c r="AP152" s="125"/>
      <c r="AQ152" s="125"/>
      <c r="AR152" s="125"/>
      <c r="AS152" s="125"/>
      <c r="AT152" s="125"/>
      <c r="AU152" s="125"/>
      <c r="AV152" s="125"/>
      <c r="AW152" s="125"/>
    </row>
    <row r="153" spans="1:51" s="124" customFormat="1">
      <c r="A153" s="124" t="s">
        <v>194</v>
      </c>
      <c r="E153" s="124">
        <v>1.5</v>
      </c>
      <c r="F153" s="124">
        <v>2</v>
      </c>
      <c r="G153" s="124">
        <v>2.7</v>
      </c>
      <c r="H153" s="124">
        <v>2.5</v>
      </c>
      <c r="I153" s="124">
        <v>0.1</v>
      </c>
      <c r="J153" s="124">
        <v>2</v>
      </c>
      <c r="K153" s="124">
        <v>1.3</v>
      </c>
      <c r="L153" s="124">
        <v>0.75</v>
      </c>
      <c r="M153" s="124">
        <v>0.75</v>
      </c>
      <c r="O153" s="124">
        <v>0.75</v>
      </c>
      <c r="S153" s="124">
        <v>0.7</v>
      </c>
      <c r="W153" s="124">
        <v>0.7</v>
      </c>
      <c r="AA153" s="124">
        <v>0.7</v>
      </c>
      <c r="AB153" s="1153"/>
      <c r="AC153" s="1153"/>
      <c r="AD153" s="1153"/>
      <c r="AE153" s="1153">
        <f>AA153+DDM!B13</f>
        <v>0.7</v>
      </c>
      <c r="AF153" s="1153"/>
      <c r="AG153" s="125"/>
      <c r="AH153" s="125"/>
      <c r="AI153" s="125">
        <f>AE153+DDM!C13</f>
        <v>0.7</v>
      </c>
      <c r="AJ153" s="125"/>
      <c r="AK153" s="125"/>
      <c r="AL153" s="125"/>
      <c r="AM153" s="125">
        <v>1</v>
      </c>
      <c r="AN153" s="125"/>
      <c r="AO153" s="125"/>
      <c r="AP153" s="125"/>
      <c r="AQ153" s="125">
        <v>1</v>
      </c>
      <c r="AR153" s="125"/>
      <c r="AS153" s="125"/>
      <c r="AT153" s="125"/>
      <c r="AU153" s="125">
        <v>1.3</v>
      </c>
      <c r="AV153" s="125"/>
      <c r="AW153" s="125"/>
      <c r="AY153" s="124">
        <v>1.5</v>
      </c>
    </row>
    <row r="154" spans="1:51" s="124" customFormat="1">
      <c r="A154" s="124" t="s">
        <v>167</v>
      </c>
      <c r="N154" s="1328"/>
      <c r="O154" s="1328">
        <f t="shared" ref="O154:Y154" si="252">IF(O153*O155=0,"",O153*O155)</f>
        <v>1194</v>
      </c>
      <c r="P154" s="1328" t="str">
        <f t="shared" si="252"/>
        <v/>
      </c>
      <c r="Q154" s="1328" t="str">
        <f t="shared" si="252"/>
        <v/>
      </c>
      <c r="R154" s="1328" t="str">
        <f t="shared" si="252"/>
        <v/>
      </c>
      <c r="S154" s="1328">
        <f t="shared" si="252"/>
        <v>1120</v>
      </c>
      <c r="T154" s="1328" t="str">
        <f t="shared" si="252"/>
        <v/>
      </c>
      <c r="U154" s="1328" t="str">
        <f t="shared" si="252"/>
        <v/>
      </c>
      <c r="V154" s="1328" t="str">
        <f t="shared" si="252"/>
        <v/>
      </c>
      <c r="W154" s="1328">
        <f t="shared" si="252"/>
        <v>1142.68</v>
      </c>
      <c r="X154" s="1328" t="str">
        <f t="shared" si="252"/>
        <v/>
      </c>
      <c r="Y154" s="1328" t="str">
        <f t="shared" si="252"/>
        <v/>
      </c>
      <c r="Z154" s="1328" t="str">
        <f>IF(Z153*Z155=0,"",Z153*Z155)</f>
        <v/>
      </c>
      <c r="AA154" s="1328">
        <f>IF(AA153*AA155=0,"",AA153*AA155)</f>
        <v>1456.98</v>
      </c>
      <c r="AB154" s="1329"/>
      <c r="AC154" s="1329"/>
      <c r="AD154" s="1329"/>
      <c r="AE154" s="1329">
        <f t="shared" ref="AE154:AQ154" si="253">IF(AE153*AE155=0,0,AE153*AE155)</f>
        <v>1787.31</v>
      </c>
      <c r="AF154" s="1329"/>
      <c r="AG154" s="1330"/>
      <c r="AH154" s="1330"/>
      <c r="AI154" s="1330">
        <f t="shared" si="253"/>
        <v>1788.57</v>
      </c>
      <c r="AJ154" s="1330"/>
      <c r="AK154" s="1330"/>
      <c r="AL154" s="1330"/>
      <c r="AM154" s="1330">
        <f t="shared" si="253"/>
        <v>2555.1</v>
      </c>
      <c r="AN154" s="1330"/>
      <c r="AO154" s="1330"/>
      <c r="AP154" s="1330"/>
      <c r="AQ154" s="1330">
        <f t="shared" si="253"/>
        <v>2555.1</v>
      </c>
      <c r="AR154" s="1330"/>
      <c r="AS154" s="1330"/>
      <c r="AT154" s="1330"/>
      <c r="AU154" s="1330">
        <f t="shared" ref="AU154" si="254">IF(AU153*AU155=0,0,AU153*AU155)</f>
        <v>3321.63</v>
      </c>
      <c r="AV154" s="1330"/>
      <c r="AW154" s="1330"/>
      <c r="AX154" s="1330"/>
      <c r="AY154" s="1330">
        <f t="shared" ref="AY154" si="255">IF(AY153*AY155=0,0,AY153*AY155)</f>
        <v>3832.6499999999996</v>
      </c>
    </row>
    <row r="155" spans="1:51" s="124" customFormat="1">
      <c r="A155" s="124" t="s">
        <v>193</v>
      </c>
      <c r="M155" s="137"/>
      <c r="N155" s="1328">
        <f t="shared" ref="N155:AF155" si="256">N137</f>
        <v>1312.2</v>
      </c>
      <c r="O155" s="1328">
        <f t="shared" si="256"/>
        <v>1592</v>
      </c>
      <c r="P155" s="1328">
        <f t="shared" si="256"/>
        <v>1592.4</v>
      </c>
      <c r="Q155" s="1328">
        <f t="shared" si="256"/>
        <v>1590.8999999999999</v>
      </c>
      <c r="R155" s="1328">
        <f t="shared" si="256"/>
        <v>1587.1999999999998</v>
      </c>
      <c r="S155" s="1328">
        <f t="shared" si="256"/>
        <v>1600</v>
      </c>
      <c r="T155" s="1328">
        <f t="shared" si="256"/>
        <v>1600.8</v>
      </c>
      <c r="U155" s="1328">
        <f t="shared" si="256"/>
        <v>1599.5</v>
      </c>
      <c r="V155" s="1328">
        <f t="shared" si="256"/>
        <v>1563.5</v>
      </c>
      <c r="W155" s="1328">
        <f t="shared" si="256"/>
        <v>1632.4</v>
      </c>
      <c r="X155" s="1328">
        <f t="shared" si="256"/>
        <v>1633.7</v>
      </c>
      <c r="Y155" s="1328">
        <f t="shared" si="256"/>
        <v>1951.5</v>
      </c>
      <c r="Z155" s="1328">
        <f t="shared" si="256"/>
        <v>1946.4</v>
      </c>
      <c r="AA155" s="1328">
        <f t="shared" si="256"/>
        <v>2081.4</v>
      </c>
      <c r="AB155" s="1328">
        <f t="shared" si="256"/>
        <v>2088.3000000000002</v>
      </c>
      <c r="AC155" s="1328">
        <f t="shared" si="256"/>
        <v>2089.9</v>
      </c>
      <c r="AD155" s="1328">
        <f t="shared" si="256"/>
        <v>2083.6</v>
      </c>
      <c r="AE155" s="1328">
        <f t="shared" si="256"/>
        <v>2553.3000000000002</v>
      </c>
      <c r="AF155" s="1328">
        <f t="shared" si="256"/>
        <v>2555.1</v>
      </c>
      <c r="AG155" s="1330">
        <f t="shared" ref="AG155:AS155" si="257">AF155</f>
        <v>2555.1</v>
      </c>
      <c r="AH155" s="1330">
        <f t="shared" si="257"/>
        <v>2555.1</v>
      </c>
      <c r="AI155" s="1330">
        <f t="shared" si="257"/>
        <v>2555.1</v>
      </c>
      <c r="AJ155" s="1330">
        <f t="shared" si="257"/>
        <v>2555.1</v>
      </c>
      <c r="AK155" s="1330">
        <f t="shared" si="257"/>
        <v>2555.1</v>
      </c>
      <c r="AL155" s="1330">
        <f t="shared" si="257"/>
        <v>2555.1</v>
      </c>
      <c r="AM155" s="1330">
        <f t="shared" si="257"/>
        <v>2555.1</v>
      </c>
      <c r="AN155" s="1330">
        <f t="shared" si="257"/>
        <v>2555.1</v>
      </c>
      <c r="AO155" s="1330">
        <f t="shared" si="257"/>
        <v>2555.1</v>
      </c>
      <c r="AP155" s="1330">
        <f t="shared" si="257"/>
        <v>2555.1</v>
      </c>
      <c r="AQ155" s="1330">
        <f t="shared" si="257"/>
        <v>2555.1</v>
      </c>
      <c r="AR155" s="1330">
        <f t="shared" si="257"/>
        <v>2555.1</v>
      </c>
      <c r="AS155" s="1330">
        <f t="shared" si="257"/>
        <v>2555.1</v>
      </c>
      <c r="AT155" s="1330">
        <f t="shared" ref="AT155" si="258">AS155</f>
        <v>2555.1</v>
      </c>
      <c r="AU155" s="1330">
        <f t="shared" ref="AU155" si="259">AT155</f>
        <v>2555.1</v>
      </c>
      <c r="AV155" s="1330">
        <f t="shared" ref="AV155" si="260">AU155</f>
        <v>2555.1</v>
      </c>
      <c r="AW155" s="1330">
        <f t="shared" ref="AW155" si="261">AV155</f>
        <v>2555.1</v>
      </c>
      <c r="AX155" s="1330">
        <f t="shared" ref="AX155" si="262">AW155</f>
        <v>2555.1</v>
      </c>
      <c r="AY155" s="1330">
        <f t="shared" ref="AY155" si="263">AX155</f>
        <v>2555.1</v>
      </c>
    </row>
    <row r="156" spans="1:51" s="124" customFormat="1">
      <c r="A156" s="124" t="s">
        <v>168</v>
      </c>
      <c r="O156" s="124">
        <v>17.850000000000001</v>
      </c>
      <c r="S156" s="124">
        <v>19.91</v>
      </c>
      <c r="W156" s="124">
        <v>21.89</v>
      </c>
      <c r="AA156" s="124">
        <v>12.92</v>
      </c>
      <c r="AB156" s="1153">
        <v>12.71</v>
      </c>
      <c r="AC156" s="125"/>
      <c r="AD156" s="125"/>
      <c r="AE156" s="125"/>
      <c r="AF156" s="125"/>
      <c r="AG156" s="125"/>
      <c r="AH156" s="125"/>
      <c r="AI156" s="125"/>
      <c r="AJ156" s="125"/>
      <c r="AK156" s="125"/>
      <c r="AL156" s="125"/>
      <c r="AM156" s="125"/>
      <c r="AN156" s="125"/>
      <c r="AO156" s="125"/>
      <c r="AP156" s="125"/>
      <c r="AQ156" s="125"/>
      <c r="AR156" s="125"/>
      <c r="AS156" s="125"/>
      <c r="AT156" s="125"/>
      <c r="AU156" s="125"/>
      <c r="AV156" s="125"/>
      <c r="AW156" s="125"/>
    </row>
    <row r="157" spans="1:51" s="1348" customFormat="1">
      <c r="A157" s="1348" t="s">
        <v>165</v>
      </c>
      <c r="O157" s="1349">
        <f>O153/O156</f>
        <v>4.2016806722689072E-2</v>
      </c>
      <c r="S157" s="1349">
        <f>S153/S156</f>
        <v>3.5158211953792061E-2</v>
      </c>
      <c r="W157" s="1349">
        <f>W153/W156</f>
        <v>3.1978072179077201E-2</v>
      </c>
      <c r="AA157" s="1349">
        <f>AA153/AA156</f>
        <v>5.4179566563467486E-2</v>
      </c>
      <c r="AB157" s="1350"/>
      <c r="AC157" s="1350"/>
      <c r="AD157" s="1350"/>
      <c r="AE157" s="1350"/>
      <c r="AF157" s="1350"/>
      <c r="AG157" s="1350"/>
      <c r="AH157" s="1350"/>
      <c r="AI157" s="1350"/>
      <c r="AJ157" s="1350"/>
      <c r="AK157" s="1350"/>
      <c r="AL157" s="1350"/>
      <c r="AM157" s="1350"/>
      <c r="AN157" s="1350"/>
      <c r="AO157" s="1350"/>
      <c r="AP157" s="1350"/>
      <c r="AQ157" s="1350"/>
      <c r="AR157" s="1350"/>
      <c r="AS157" s="1350"/>
      <c r="AT157" s="1350"/>
      <c r="AU157" s="1350"/>
      <c r="AV157" s="1350"/>
      <c r="AW157" s="1350"/>
    </row>
    <row r="158" spans="1:51">
      <c r="AB158"/>
      <c r="AT158" s="18"/>
      <c r="AU158" s="18"/>
      <c r="AV158" s="18"/>
      <c r="AW158" s="18"/>
    </row>
    <row r="159" spans="1:51" s="114" customFormat="1" ht="24" thickBot="1">
      <c r="A159" s="114" t="s">
        <v>162</v>
      </c>
      <c r="AC159" s="115"/>
      <c r="AD159" s="115"/>
      <c r="AE159" s="115"/>
      <c r="AF159" s="115"/>
      <c r="AG159" s="115"/>
      <c r="AH159" s="115"/>
      <c r="AI159" s="115"/>
      <c r="AJ159" s="115"/>
      <c r="AK159" s="115"/>
      <c r="AL159" s="115"/>
      <c r="AM159" s="115"/>
      <c r="AN159" s="115"/>
      <c r="AO159" s="115"/>
      <c r="AP159" s="115"/>
      <c r="AQ159" s="115"/>
      <c r="AR159" s="115"/>
      <c r="AS159" s="115"/>
      <c r="AT159" s="115"/>
      <c r="AU159" s="115"/>
      <c r="AV159" s="115"/>
      <c r="AW159" s="115"/>
    </row>
    <row r="160" spans="1:51" s="104" customFormat="1" ht="16.5" thickBot="1">
      <c r="A160" s="104" t="s">
        <v>76</v>
      </c>
      <c r="AC160" s="105"/>
      <c r="AD160" s="105"/>
      <c r="AE160" s="105"/>
      <c r="AF160" s="105"/>
      <c r="AG160" s="105"/>
      <c r="AH160" s="105"/>
      <c r="AI160" s="105"/>
      <c r="AJ160" s="105"/>
      <c r="AK160" s="105"/>
      <c r="AL160" s="105"/>
      <c r="AM160" s="105"/>
      <c r="AN160" s="105"/>
      <c r="AO160" s="105"/>
      <c r="AP160" s="105"/>
      <c r="AQ160" s="105"/>
      <c r="AR160" s="105"/>
      <c r="AS160" s="105"/>
      <c r="AT160" s="105"/>
      <c r="AU160" s="105"/>
      <c r="AV160" s="105"/>
      <c r="AW160" s="105"/>
    </row>
    <row r="161" spans="1:49" s="106" customFormat="1">
      <c r="A161" s="106" t="s">
        <v>75</v>
      </c>
      <c r="R161" s="106">
        <f t="shared" ref="R161:AF161" si="264">R106-R162</f>
        <v>2478</v>
      </c>
      <c r="S161" s="106">
        <f t="shared" si="264"/>
        <v>1491</v>
      </c>
      <c r="T161" s="106">
        <f t="shared" si="264"/>
        <v>2028</v>
      </c>
      <c r="U161" s="106">
        <f t="shared" si="264"/>
        <v>637</v>
      </c>
      <c r="V161" s="106">
        <f t="shared" si="264"/>
        <v>3650</v>
      </c>
      <c r="W161" s="106">
        <f t="shared" si="264"/>
        <v>3525</v>
      </c>
      <c r="X161" s="106">
        <f t="shared" si="264"/>
        <v>4212</v>
      </c>
      <c r="Y161" s="106">
        <f t="shared" si="264"/>
        <v>2310</v>
      </c>
      <c r="Z161" s="106">
        <f t="shared" si="264"/>
        <v>6315</v>
      </c>
      <c r="AA161" s="106">
        <f t="shared" si="264"/>
        <v>6029</v>
      </c>
      <c r="AB161" s="106">
        <f t="shared" si="264"/>
        <v>5630</v>
      </c>
      <c r="AC161" s="106">
        <f t="shared" si="264"/>
        <v>5321</v>
      </c>
      <c r="AD161" s="106">
        <f t="shared" si="264"/>
        <v>7928</v>
      </c>
      <c r="AE161" s="106">
        <f t="shared" si="264"/>
        <v>6162</v>
      </c>
      <c r="AF161" s="106">
        <f t="shared" si="264"/>
        <v>6527</v>
      </c>
      <c r="AG161" s="107">
        <f t="shared" ref="AG161" si="265">AVERAGE(AC161:AF161)</f>
        <v>6484.5</v>
      </c>
      <c r="AH161" s="107"/>
      <c r="AI161" s="107"/>
      <c r="AJ161" s="107"/>
      <c r="AK161" s="107"/>
      <c r="AL161" s="107"/>
      <c r="AM161" s="107"/>
      <c r="AN161" s="107"/>
      <c r="AO161" s="107"/>
      <c r="AP161" s="107"/>
      <c r="AQ161" s="107"/>
      <c r="AR161" s="107"/>
      <c r="AS161" s="107"/>
      <c r="AT161" s="107"/>
      <c r="AU161" s="107"/>
      <c r="AV161" s="107"/>
      <c r="AW161" s="107"/>
    </row>
    <row r="162" spans="1:49" s="106" customFormat="1">
      <c r="A162" s="106" t="s">
        <v>78</v>
      </c>
      <c r="O162" s="106">
        <v>44430</v>
      </c>
      <c r="P162" s="106">
        <v>43780</v>
      </c>
      <c r="Q162" s="106">
        <v>42989</v>
      </c>
      <c r="R162" s="106">
        <v>40752</v>
      </c>
      <c r="S162" s="106">
        <v>39453</v>
      </c>
      <c r="T162" s="106">
        <v>41836</v>
      </c>
      <c r="U162" s="106">
        <v>43322</v>
      </c>
      <c r="V162" s="106">
        <v>39746</v>
      </c>
      <c r="W162" s="106">
        <v>39117</v>
      </c>
      <c r="X162" s="106">
        <v>40545</v>
      </c>
      <c r="Y162" s="106">
        <v>42072</v>
      </c>
      <c r="Z162" s="106">
        <v>38682</v>
      </c>
      <c r="AA162" s="106">
        <v>38933</v>
      </c>
      <c r="AB162" s="106">
        <v>38646</v>
      </c>
      <c r="AC162" s="1154">
        <v>36576</v>
      </c>
      <c r="AD162" s="108">
        <v>33774</v>
      </c>
      <c r="AE162" s="108">
        <v>37331</v>
      </c>
      <c r="AF162" s="108">
        <v>37331</v>
      </c>
      <c r="AG162" s="107"/>
      <c r="AH162" s="107"/>
      <c r="AI162" s="107"/>
      <c r="AJ162" s="107"/>
      <c r="AK162" s="107"/>
      <c r="AL162" s="107"/>
      <c r="AM162" s="107"/>
      <c r="AN162" s="107"/>
      <c r="AO162" s="107"/>
      <c r="AP162" s="107"/>
      <c r="AQ162" s="107"/>
      <c r="AR162" s="107"/>
      <c r="AS162" s="107"/>
      <c r="AT162" s="107"/>
      <c r="AU162" s="107"/>
      <c r="AV162" s="107"/>
      <c r="AW162" s="107"/>
    </row>
    <row r="163" spans="1:49" s="106" customFormat="1">
      <c r="A163" s="106" t="s">
        <v>73</v>
      </c>
      <c r="N163" s="106">
        <v>298155</v>
      </c>
      <c r="O163" s="106">
        <v>289747</v>
      </c>
      <c r="P163" s="106">
        <v>269263</v>
      </c>
      <c r="Q163" s="106">
        <v>273846</v>
      </c>
      <c r="R163" s="106">
        <v>285996</v>
      </c>
      <c r="S163" s="106">
        <v>285421</v>
      </c>
      <c r="T163" s="106">
        <v>292879</v>
      </c>
      <c r="U163" s="106">
        <v>291410</v>
      </c>
      <c r="V163" s="106">
        <v>288514</v>
      </c>
      <c r="W163" s="106">
        <v>281886</v>
      </c>
      <c r="X163" s="106">
        <v>290122</v>
      </c>
      <c r="Y163" s="106">
        <v>294950</v>
      </c>
      <c r="Z163" s="108">
        <v>283937</v>
      </c>
      <c r="AA163" s="108">
        <v>275056</v>
      </c>
      <c r="AB163" s="108">
        <v>273779</v>
      </c>
      <c r="AC163" s="108">
        <v>271372</v>
      </c>
      <c r="AD163" s="108">
        <v>265347</v>
      </c>
      <c r="AE163" s="108">
        <v>266588</v>
      </c>
      <c r="AF163" s="108">
        <v>266588</v>
      </c>
      <c r="AG163" s="107"/>
      <c r="AH163" s="107"/>
      <c r="AI163" s="107"/>
      <c r="AJ163" s="107"/>
      <c r="AK163" s="107"/>
      <c r="AL163" s="107"/>
      <c r="AM163" s="107"/>
      <c r="AN163" s="107"/>
      <c r="AO163" s="107"/>
      <c r="AP163" s="107"/>
      <c r="AQ163" s="107"/>
      <c r="AR163" s="107"/>
      <c r="AS163" s="107"/>
      <c r="AT163" s="107"/>
      <c r="AU163" s="107"/>
      <c r="AV163" s="107"/>
      <c r="AW163" s="107"/>
    </row>
    <row r="164" spans="1:49" s="109" customFormat="1">
      <c r="A164" s="109" t="s">
        <v>79</v>
      </c>
      <c r="N164" s="110"/>
      <c r="O164" s="110"/>
      <c r="P164" s="110"/>
      <c r="Q164" s="110"/>
      <c r="R164" s="111">
        <f t="shared" ref="R164:AF164" si="266">R162/R163</f>
        <v>0.14249150337766961</v>
      </c>
      <c r="S164" s="111">
        <f t="shared" si="266"/>
        <v>0.13822739041626228</v>
      </c>
      <c r="T164" s="111">
        <f t="shared" si="266"/>
        <v>0.14284397310834851</v>
      </c>
      <c r="U164" s="111">
        <f t="shared" si="266"/>
        <v>0.14866339521636182</v>
      </c>
      <c r="V164" s="111">
        <f t="shared" si="266"/>
        <v>0.13776107918506555</v>
      </c>
      <c r="W164" s="111">
        <f t="shared" si="266"/>
        <v>0.13876886400885463</v>
      </c>
      <c r="X164" s="111">
        <f t="shared" si="266"/>
        <v>0.13975155279503104</v>
      </c>
      <c r="Y164" s="111">
        <f t="shared" si="266"/>
        <v>0.14264112561451092</v>
      </c>
      <c r="Z164" s="111">
        <f t="shared" si="266"/>
        <v>0.13623444637366741</v>
      </c>
      <c r="AA164" s="111">
        <f t="shared" si="266"/>
        <v>0.14154572159851084</v>
      </c>
      <c r="AB164" s="111">
        <f t="shared" si="266"/>
        <v>0.14115764905270309</v>
      </c>
      <c r="AC164" s="111">
        <f t="shared" si="266"/>
        <v>0.13478177557006618</v>
      </c>
      <c r="AD164" s="111">
        <f t="shared" si="266"/>
        <v>0.12728238872118397</v>
      </c>
      <c r="AE164" s="111">
        <f t="shared" si="266"/>
        <v>0.14003255960508351</v>
      </c>
      <c r="AF164" s="111">
        <f t="shared" si="266"/>
        <v>0.14003255960508351</v>
      </c>
      <c r="AG164" s="112">
        <f t="shared" ref="AG164" si="267">AF164</f>
        <v>0.14003255960508351</v>
      </c>
      <c r="AH164" s="113"/>
      <c r="AI164" s="113"/>
      <c r="AJ164" s="113"/>
      <c r="AK164" s="113"/>
      <c r="AL164" s="113"/>
      <c r="AM164" s="113"/>
      <c r="AN164" s="113"/>
      <c r="AO164" s="113"/>
      <c r="AP164" s="113"/>
      <c r="AQ164" s="113"/>
      <c r="AR164" s="113"/>
      <c r="AS164" s="113"/>
      <c r="AT164" s="113"/>
      <c r="AU164" s="113"/>
      <c r="AV164" s="113"/>
      <c r="AW164" s="113"/>
    </row>
    <row r="165" spans="1:49" s="106" customFormat="1">
      <c r="AC165" s="107"/>
      <c r="AD165" s="107"/>
      <c r="AE165" s="107"/>
      <c r="AF165" s="107"/>
      <c r="AG165" s="107"/>
      <c r="AH165" s="107"/>
      <c r="AI165" s="107"/>
      <c r="AJ165" s="107"/>
      <c r="AK165" s="107"/>
      <c r="AL165" s="107"/>
      <c r="AM165" s="107"/>
      <c r="AN165" s="107"/>
      <c r="AO165" s="107"/>
      <c r="AP165" s="107"/>
      <c r="AQ165" s="107"/>
      <c r="AR165" s="107"/>
      <c r="AS165" s="107"/>
      <c r="AT165" s="107"/>
      <c r="AU165" s="107"/>
      <c r="AV165" s="107"/>
      <c r="AW165" s="107"/>
    </row>
    <row r="166" spans="1:49" s="106" customFormat="1">
      <c r="AC166" s="107"/>
      <c r="AD166" s="107"/>
      <c r="AE166" s="107"/>
      <c r="AF166" s="107"/>
      <c r="AG166" s="107"/>
      <c r="AH166" s="107"/>
      <c r="AI166" s="107"/>
      <c r="AJ166" s="107"/>
      <c r="AK166" s="107"/>
      <c r="AL166" s="107"/>
      <c r="AM166" s="107"/>
      <c r="AN166" s="107"/>
      <c r="AO166" s="107"/>
      <c r="AP166" s="107"/>
      <c r="AQ166" s="107"/>
      <c r="AR166" s="107"/>
      <c r="AS166" s="107"/>
      <c r="AT166" s="107"/>
      <c r="AU166" s="107"/>
      <c r="AV166" s="107"/>
      <c r="AW166" s="107"/>
    </row>
    <row r="167" spans="1:49" s="1155" customFormat="1" ht="16.5" thickBot="1">
      <c r="A167" s="1155" t="s">
        <v>77</v>
      </c>
      <c r="AC167" s="1156"/>
      <c r="AD167" s="1156"/>
      <c r="AE167" s="1156"/>
      <c r="AF167" s="1156"/>
      <c r="AG167" s="1156"/>
      <c r="AH167" s="1156"/>
      <c r="AI167" s="1156"/>
      <c r="AJ167" s="1156"/>
      <c r="AK167" s="1156"/>
      <c r="AL167" s="1156"/>
      <c r="AM167" s="1156"/>
      <c r="AN167" s="1156"/>
      <c r="AO167" s="1156"/>
      <c r="AP167" s="1156"/>
      <c r="AQ167" s="1156"/>
      <c r="AR167" s="1156"/>
      <c r="AS167" s="1156"/>
      <c r="AT167" s="1156"/>
      <c r="AU167" s="1156"/>
      <c r="AV167" s="1156"/>
      <c r="AW167" s="1156"/>
    </row>
    <row r="168" spans="1:49" s="106" customFormat="1">
      <c r="A168" s="106" t="s">
        <v>611</v>
      </c>
      <c r="R168" s="106">
        <f t="shared" ref="R168:AF168" si="268">R106-R178</f>
        <v>15535</v>
      </c>
      <c r="S168" s="106">
        <f t="shared" si="268"/>
        <v>14525</v>
      </c>
      <c r="T168" s="106">
        <f t="shared" si="268"/>
        <v>15943</v>
      </c>
      <c r="U168" s="106">
        <f t="shared" si="268"/>
        <v>15383</v>
      </c>
      <c r="V168" s="106">
        <f t="shared" si="268"/>
        <v>15145</v>
      </c>
      <c r="W168" s="106">
        <f t="shared" si="268"/>
        <v>14160</v>
      </c>
      <c r="X168" s="106">
        <f t="shared" si="268"/>
        <v>15713</v>
      </c>
      <c r="Y168" s="106">
        <f t="shared" si="268"/>
        <v>12334</v>
      </c>
      <c r="Z168" s="106">
        <f t="shared" si="268"/>
        <v>13157</v>
      </c>
      <c r="AA168" s="106">
        <f t="shared" si="268"/>
        <v>12914</v>
      </c>
      <c r="AB168" s="106">
        <f t="shared" si="268"/>
        <v>11914</v>
      </c>
      <c r="AC168" s="106">
        <f t="shared" si="268"/>
        <v>11114</v>
      </c>
      <c r="AD168" s="106">
        <f t="shared" si="268"/>
        <v>10759</v>
      </c>
      <c r="AE168" s="106">
        <f t="shared" si="268"/>
        <v>9026</v>
      </c>
      <c r="AF168" s="106">
        <f t="shared" si="268"/>
        <v>8998</v>
      </c>
      <c r="AG168" s="129">
        <f>AF106*AG169-AG175</f>
        <v>6574.864954984736</v>
      </c>
      <c r="AH168" s="129">
        <f t="shared" ref="AH168:AJ168" si="269">AG106*AH169-AH175</f>
        <v>6197.3003830594116</v>
      </c>
      <c r="AI168" s="129">
        <f t="shared" si="269"/>
        <v>6683.762888937049</v>
      </c>
      <c r="AJ168" s="129">
        <f t="shared" si="269"/>
        <v>6701.3517898145574</v>
      </c>
      <c r="AK168" s="129">
        <f t="shared" ref="AK168:AW168" si="270">AJ106*AK169</f>
        <v>7073.0410493564495</v>
      </c>
      <c r="AL168" s="129">
        <f t="shared" si="270"/>
        <v>6967.1768163384195</v>
      </c>
      <c r="AM168" s="129">
        <f t="shared" si="270"/>
        <v>6841.985551112225</v>
      </c>
      <c r="AN168" s="129">
        <f t="shared" si="270"/>
        <v>6410.5952881503572</v>
      </c>
      <c r="AO168" s="129">
        <f t="shared" si="270"/>
        <v>6362.3262393593204</v>
      </c>
      <c r="AP168" s="129">
        <f t="shared" si="270"/>
        <v>6332.8451605189439</v>
      </c>
      <c r="AQ168" s="129">
        <f t="shared" si="270"/>
        <v>6317.7606170885947</v>
      </c>
      <c r="AR168" s="129">
        <f t="shared" si="270"/>
        <v>5962.208616185254</v>
      </c>
      <c r="AS168" s="129">
        <f t="shared" si="270"/>
        <v>5962.0353484374036</v>
      </c>
      <c r="AT168" s="129">
        <f t="shared" si="270"/>
        <v>6014.9626808450839</v>
      </c>
      <c r="AU168" s="129">
        <f t="shared" si="270"/>
        <v>6067.5753175112986</v>
      </c>
      <c r="AV168" s="129">
        <f t="shared" si="270"/>
        <v>5711.59396512493</v>
      </c>
      <c r="AW168" s="129">
        <f t="shared" si="270"/>
        <v>5782.996119471497</v>
      </c>
    </row>
    <row r="169" spans="1:49" s="106" customFormat="1">
      <c r="A169" s="106" t="s">
        <v>169</v>
      </c>
      <c r="R169" s="116">
        <f t="shared" ref="R169:AF169" si="271">R168/R106</f>
        <v>0.35935692805921815</v>
      </c>
      <c r="S169" s="116">
        <f t="shared" si="271"/>
        <v>0.35475283313794453</v>
      </c>
      <c r="T169" s="116">
        <f t="shared" si="271"/>
        <v>0.36346434433704178</v>
      </c>
      <c r="U169" s="116">
        <f t="shared" si="271"/>
        <v>0.34993971655406175</v>
      </c>
      <c r="V169" s="116">
        <f t="shared" si="271"/>
        <v>0.34899529910590837</v>
      </c>
      <c r="W169" s="116">
        <f t="shared" si="271"/>
        <v>0.33206697622062753</v>
      </c>
      <c r="X169" s="116">
        <f t="shared" si="271"/>
        <v>0.35107357508322723</v>
      </c>
      <c r="Y169" s="116">
        <f t="shared" si="271"/>
        <v>0.27790545716732007</v>
      </c>
      <c r="Z169" s="116">
        <f t="shared" si="271"/>
        <v>0.29239727092917306</v>
      </c>
      <c r="AA169" s="116">
        <f t="shared" si="271"/>
        <v>0.28722031938081044</v>
      </c>
      <c r="AB169" s="116">
        <f t="shared" si="271"/>
        <v>0.26908483151142831</v>
      </c>
      <c r="AC169" s="116">
        <f t="shared" si="271"/>
        <v>0.26526958970809367</v>
      </c>
      <c r="AD169" s="116">
        <f t="shared" si="271"/>
        <v>0.25799721835883171</v>
      </c>
      <c r="AE169" s="116">
        <f t="shared" si="271"/>
        <v>0.20752764812728486</v>
      </c>
      <c r="AF169" s="116">
        <f t="shared" si="271"/>
        <v>0.20516211409548998</v>
      </c>
      <c r="AG169" s="117">
        <f>AF169*((AF169/R169)^(1/COUNT($S$169:AF169)))</f>
        <v>0.19711033232214728</v>
      </c>
      <c r="AH169" s="117">
        <f>AG169*((AG169/S169)^(1/COUNT($S$169:AG169)))</f>
        <v>0.18953741708316019</v>
      </c>
      <c r="AI169" s="117">
        <f>AH169*((AH169/T169)^(1/COUNT($S$169:AH169)))</f>
        <v>0.18197931650735244</v>
      </c>
      <c r="AJ169" s="117">
        <f>AI169*((AI169/U169)^(1/COUNT($S$169:AI169)))</f>
        <v>0.17511277928276106</v>
      </c>
      <c r="AK169" s="117">
        <f>AJ169*((AJ169/V169)^(1/COUNT($S$169:AJ169)))</f>
        <v>0.16853063439738539</v>
      </c>
      <c r="AL169" s="117">
        <f>AK169*((AK169/W169)^(1/COUNT($S$169:AK169)))</f>
        <v>0.16262091141590204</v>
      </c>
      <c r="AM169" s="117">
        <f>AL169*((AL169/X169)^(1/COUNT($S$169:AL169)))</f>
        <v>0.15648232968576373</v>
      </c>
      <c r="AN169" s="117">
        <f>AM169*((AM169/Y169)^(1/COUNT($S$169:AM169)))</f>
        <v>0.15226062206550475</v>
      </c>
      <c r="AO169" s="117">
        <f>AN169*((AN169/Z169)^(1/COUNT($S$169:AN169)))</f>
        <v>0.14781088963875322</v>
      </c>
      <c r="AP169" s="117">
        <f>AO169*((AO169/AA169)^(1/COUNT($S$169:AO169)))</f>
        <v>0.14360268927482203</v>
      </c>
      <c r="AQ169" s="117">
        <f>AP169*((AP169/AB169)^(1/COUNT($S$169:AP169)))</f>
        <v>0.13989395966054266</v>
      </c>
      <c r="AR169" s="117">
        <f>AQ169*((AQ169/AC169)^(1/COUNT($S$169:AQ169)))</f>
        <v>0.13635887917880085</v>
      </c>
      <c r="AS169" s="117">
        <f>AR169*((AR169/AD169)^(1/COUNT($S$169:AR169)))</f>
        <v>0.13305530885479533</v>
      </c>
      <c r="AT169" s="117">
        <f>AS169*((AS169/AE169)^(1/COUNT($S$169:AS169)))</f>
        <v>0.13088275819104117</v>
      </c>
      <c r="AU169" s="117">
        <f>AT169*((AT169/AF169)^(1/COUNT($S$169:AT169)))</f>
        <v>0.12879840476773299</v>
      </c>
      <c r="AV169" s="117">
        <f>AU169*((AU169/AG169)^(1/COUNT($S$169:AU169)))</f>
        <v>0.12692235101017343</v>
      </c>
      <c r="AW169" s="117">
        <f>AV169*((AV169/AH169)^(1/COUNT($S$169:AV169)))</f>
        <v>0.12523706458742515</v>
      </c>
    </row>
    <row r="170" spans="1:49" s="106" customFormat="1">
      <c r="A170" s="106" t="s">
        <v>417</v>
      </c>
      <c r="N170" s="1331"/>
      <c r="O170" s="1331"/>
      <c r="P170" s="1331"/>
      <c r="Q170" s="1331"/>
      <c r="R170" s="1332"/>
      <c r="S170" s="1332"/>
      <c r="T170" s="1332"/>
      <c r="U170" s="1332"/>
      <c r="V170" s="1332"/>
      <c r="W170" s="1332"/>
      <c r="X170" s="1332"/>
      <c r="Y170" s="1332"/>
      <c r="Z170" s="1332"/>
      <c r="AA170" s="1333"/>
      <c r="AB170" s="1333"/>
      <c r="AC170" s="1333"/>
      <c r="AD170" s="1333"/>
      <c r="AE170" s="1333"/>
      <c r="AF170" s="1333"/>
      <c r="AG170" s="1333">
        <f t="shared" ref="AG170:AS170" si="272">AG179*AG182+AG168</f>
        <v>29976.090541961923</v>
      </c>
      <c r="AH170" s="1333">
        <f t="shared" si="272"/>
        <v>30877.738648302438</v>
      </c>
      <c r="AI170" s="1333">
        <f t="shared" si="272"/>
        <v>31392.490675825877</v>
      </c>
      <c r="AJ170" s="1333">
        <f t="shared" si="272"/>
        <v>31540.452314164446</v>
      </c>
      <c r="AK170" s="1333">
        <f t="shared" si="272"/>
        <v>32064.340757123922</v>
      </c>
      <c r="AL170" s="1333">
        <f t="shared" si="272"/>
        <v>32711.777310095345</v>
      </c>
      <c r="AM170" s="1333">
        <f t="shared" si="272"/>
        <v>32664.740258111149</v>
      </c>
      <c r="AN170" s="1333">
        <f t="shared" si="272"/>
        <v>32441.698728726606</v>
      </c>
      <c r="AO170" s="1333">
        <f t="shared" si="272"/>
        <v>32623.355817492025</v>
      </c>
      <c r="AP170" s="1333">
        <f t="shared" si="272"/>
        <v>33711.542165146697</v>
      </c>
      <c r="AQ170" s="1333">
        <f t="shared" si="272"/>
        <v>33851.448814127893</v>
      </c>
      <c r="AR170" s="1333">
        <f t="shared" si="272"/>
        <v>33781.55136165148</v>
      </c>
      <c r="AS170" s="1333">
        <f t="shared" si="272"/>
        <v>34087.500695462419</v>
      </c>
      <c r="AT170" s="1333">
        <f t="shared" ref="AT170:AW170" si="273">AT179*AT182+AT168</f>
        <v>34456.743940026732</v>
      </c>
      <c r="AU170" s="1333">
        <f t="shared" si="273"/>
        <v>34700.71018293556</v>
      </c>
      <c r="AV170" s="1333">
        <f t="shared" si="273"/>
        <v>34699.096410468694</v>
      </c>
      <c r="AW170" s="1333">
        <f t="shared" si="273"/>
        <v>35146.691802446294</v>
      </c>
    </row>
    <row r="171" spans="1:49" s="106" customFormat="1">
      <c r="A171" s="106" t="s">
        <v>746</v>
      </c>
      <c r="N171" s="1331"/>
      <c r="O171" s="1331"/>
      <c r="P171" s="1331"/>
      <c r="Q171" s="1331"/>
      <c r="R171" s="1332"/>
      <c r="S171" s="1332"/>
      <c r="T171" s="1332"/>
      <c r="U171" s="1332"/>
      <c r="V171" s="1332"/>
      <c r="W171" s="1332"/>
      <c r="X171" s="1332"/>
      <c r="Y171" s="1332"/>
      <c r="Z171" s="1332"/>
      <c r="AA171" s="1333"/>
      <c r="AB171" s="1333"/>
      <c r="AC171" s="1333"/>
      <c r="AD171" s="1333"/>
      <c r="AE171" s="1333"/>
      <c r="AF171" s="1333"/>
      <c r="AG171" s="1333">
        <f t="shared" ref="AG171:AS171" si="274">AG179*AG183+AG168</f>
        <v>39076.567159119717</v>
      </c>
      <c r="AH171" s="1333">
        <f t="shared" si="274"/>
        <v>38808.873143687088</v>
      </c>
      <c r="AI171" s="1333">
        <f t="shared" si="274"/>
        <v>39332.716095714037</v>
      </c>
      <c r="AJ171" s="1333">
        <f t="shared" si="274"/>
        <v>39522.573412898448</v>
      </c>
      <c r="AK171" s="1333">
        <f t="shared" si="274"/>
        <v>40095.371530021715</v>
      </c>
      <c r="AL171" s="1333">
        <f t="shared" si="274"/>
        <v>40211.753900218748</v>
      </c>
      <c r="AM171" s="1333">
        <f t="shared" si="274"/>
        <v>40187.48491448893</v>
      </c>
      <c r="AN171" s="1333">
        <f t="shared" si="274"/>
        <v>40025.140020299434</v>
      </c>
      <c r="AO171" s="1333">
        <f t="shared" si="274"/>
        <v>40273.779723518288</v>
      </c>
      <c r="AP171" s="1333">
        <f t="shared" si="274"/>
        <v>40556.216416303636</v>
      </c>
      <c r="AQ171" s="1333">
        <f t="shared" si="274"/>
        <v>40734.87086338771</v>
      </c>
      <c r="AR171" s="1333">
        <f t="shared" si="274"/>
        <v>40736.387048018034</v>
      </c>
      <c r="AS171" s="1333">
        <f t="shared" si="274"/>
        <v>41118.867032218674</v>
      </c>
      <c r="AT171" s="1333">
        <f t="shared" ref="AT171:AW171" si="275">AT179*AT183+AT168</f>
        <v>41567.189254822144</v>
      </c>
      <c r="AU171" s="1333">
        <f t="shared" si="275"/>
        <v>41858.993899291621</v>
      </c>
      <c r="AV171" s="1333">
        <f t="shared" si="275"/>
        <v>41945.972021804628</v>
      </c>
      <c r="AW171" s="1333">
        <f t="shared" si="275"/>
        <v>42487.615723189992</v>
      </c>
    </row>
    <row r="172" spans="1:49" s="106" customFormat="1">
      <c r="A172" s="106" t="s">
        <v>416</v>
      </c>
      <c r="N172" s="1331"/>
      <c r="O172" s="1331"/>
      <c r="P172" s="1331"/>
      <c r="Q172" s="1331"/>
      <c r="R172" s="1332"/>
      <c r="S172" s="1332"/>
      <c r="T172" s="1332"/>
      <c r="U172" s="1332"/>
      <c r="V172" s="1332"/>
      <c r="W172" s="1332"/>
      <c r="X172" s="1332"/>
      <c r="Y172" s="1332"/>
      <c r="Z172" s="1332"/>
      <c r="AA172" s="1333"/>
      <c r="AB172" s="1333"/>
      <c r="AC172" s="1333"/>
      <c r="AD172" s="1333"/>
      <c r="AE172" s="1333"/>
      <c r="AF172" s="1333"/>
      <c r="AG172" s="1333">
        <f>AG106</f>
        <v>41980.103483041232</v>
      </c>
      <c r="AH172" s="1333">
        <f t="shared" ref="AH172:AW172" si="276">AH106</f>
        <v>42415.605449453324</v>
      </c>
      <c r="AI172" s="1333">
        <f t="shared" si="276"/>
        <v>41224.014714300269</v>
      </c>
      <c r="AJ172" s="1333">
        <f t="shared" si="276"/>
        <v>41968.874529236222</v>
      </c>
      <c r="AK172" s="1333">
        <f t="shared" si="276"/>
        <v>42843.056010920423</v>
      </c>
      <c r="AL172" s="1333">
        <f t="shared" si="276"/>
        <v>43723.694329268968</v>
      </c>
      <c r="AM172" s="1333">
        <f t="shared" si="276"/>
        <v>42102.778782766465</v>
      </c>
      <c r="AN172" s="1333">
        <f t="shared" si="276"/>
        <v>43043.69086004905</v>
      </c>
      <c r="AO172" s="1333">
        <f t="shared" si="276"/>
        <v>44099.76715964808</v>
      </c>
      <c r="AP172" s="1333">
        <f t="shared" si="276"/>
        <v>45161.067943311136</v>
      </c>
      <c r="AQ172" s="1333">
        <f t="shared" si="276"/>
        <v>43724.388555345162</v>
      </c>
      <c r="AR172" s="1333">
        <f t="shared" si="276"/>
        <v>44808.699478078219</v>
      </c>
      <c r="AS172" s="1333">
        <f t="shared" si="276"/>
        <v>45956.875939804297</v>
      </c>
      <c r="AT172" s="1333">
        <f t="shared" si="276"/>
        <v>47109.087480184135</v>
      </c>
      <c r="AU172" s="1333">
        <f t="shared" si="276"/>
        <v>45000.694674077684</v>
      </c>
      <c r="AV172" s="1333">
        <f t="shared" si="276"/>
        <v>46176.394652195944</v>
      </c>
      <c r="AW172" s="1333">
        <f t="shared" si="276"/>
        <v>47421.324707509179</v>
      </c>
    </row>
    <row r="173" spans="1:49" s="856" customFormat="1">
      <c r="A173" s="856" t="s">
        <v>418</v>
      </c>
      <c r="R173" s="857"/>
      <c r="S173" s="857"/>
      <c r="T173" s="857"/>
      <c r="U173" s="857"/>
      <c r="V173" s="857"/>
      <c r="W173" s="857"/>
      <c r="X173" s="857"/>
      <c r="Y173" s="857"/>
      <c r="Z173" s="857"/>
      <c r="AA173" s="858"/>
      <c r="AB173" s="858"/>
      <c r="AC173" s="859"/>
      <c r="AD173" s="859"/>
      <c r="AE173" s="859"/>
      <c r="AF173" s="859"/>
      <c r="AG173" s="859" t="str">
        <f t="shared" ref="AG173:AS173" si="277">IF(AG172&lt;AG170,"Breach!","OK")</f>
        <v>OK</v>
      </c>
      <c r="AH173" s="859" t="str">
        <f t="shared" si="277"/>
        <v>OK</v>
      </c>
      <c r="AI173" s="859" t="str">
        <f t="shared" si="277"/>
        <v>OK</v>
      </c>
      <c r="AJ173" s="859" t="str">
        <f t="shared" si="277"/>
        <v>OK</v>
      </c>
      <c r="AK173" s="859" t="str">
        <f t="shared" si="277"/>
        <v>OK</v>
      </c>
      <c r="AL173" s="859" t="str">
        <f t="shared" si="277"/>
        <v>OK</v>
      </c>
      <c r="AM173" s="859" t="str">
        <f>IF(AM172&lt;AM170,"Breach!","OK")</f>
        <v>OK</v>
      </c>
      <c r="AN173" s="859" t="str">
        <f t="shared" si="277"/>
        <v>OK</v>
      </c>
      <c r="AO173" s="859" t="str">
        <f t="shared" si="277"/>
        <v>OK</v>
      </c>
      <c r="AP173" s="859" t="str">
        <f t="shared" si="277"/>
        <v>OK</v>
      </c>
      <c r="AQ173" s="859" t="str">
        <f t="shared" si="277"/>
        <v>OK</v>
      </c>
      <c r="AR173" s="859" t="str">
        <f t="shared" si="277"/>
        <v>OK</v>
      </c>
      <c r="AS173" s="859" t="str">
        <f t="shared" si="277"/>
        <v>OK</v>
      </c>
      <c r="AT173" s="859" t="str">
        <f t="shared" ref="AT173:AW173" si="278">IF(AT172&lt;AT170,"Breach!","OK")</f>
        <v>OK</v>
      </c>
      <c r="AU173" s="859" t="str">
        <f t="shared" si="278"/>
        <v>OK</v>
      </c>
      <c r="AV173" s="859" t="str">
        <f t="shared" si="278"/>
        <v>OK</v>
      </c>
      <c r="AW173" s="859" t="str">
        <f t="shared" si="278"/>
        <v>OK</v>
      </c>
    </row>
    <row r="174" spans="1:49" s="856" customFormat="1">
      <c r="R174" s="857"/>
      <c r="S174" s="857"/>
      <c r="T174" s="857"/>
      <c r="U174" s="857"/>
      <c r="V174" s="857"/>
      <c r="W174" s="857"/>
      <c r="X174" s="857"/>
      <c r="Y174" s="857"/>
      <c r="Z174" s="857"/>
      <c r="AA174" s="858"/>
      <c r="AB174" s="858"/>
      <c r="AC174" s="859"/>
      <c r="AD174" s="859"/>
      <c r="AE174" s="859"/>
      <c r="AF174" s="859"/>
      <c r="AG174" s="859"/>
      <c r="AH174" s="859"/>
      <c r="AI174" s="859"/>
      <c r="AJ174" s="859"/>
      <c r="AK174" s="859"/>
      <c r="AL174" s="859"/>
      <c r="AM174" s="859"/>
      <c r="AN174" s="859"/>
      <c r="AO174" s="859"/>
      <c r="AP174" s="859"/>
      <c r="AQ174" s="859"/>
      <c r="AR174" s="859"/>
      <c r="AS174" s="859"/>
      <c r="AT174" s="859"/>
      <c r="AU174" s="859"/>
      <c r="AV174" s="859"/>
      <c r="AW174" s="859"/>
    </row>
    <row r="175" spans="1:49" s="856" customFormat="1">
      <c r="A175" s="1442" t="s">
        <v>915</v>
      </c>
      <c r="R175" s="857"/>
      <c r="S175" s="857"/>
      <c r="T175" s="857"/>
      <c r="U175" s="857"/>
      <c r="V175" s="857"/>
      <c r="W175" s="857"/>
      <c r="X175" s="857"/>
      <c r="Y175" s="857"/>
      <c r="Z175" s="857"/>
      <c r="AA175" s="858"/>
      <c r="AB175" s="858"/>
      <c r="AC175" s="859"/>
      <c r="AD175" s="859"/>
      <c r="AE175" s="859"/>
      <c r="AF175" s="859"/>
      <c r="AG175" s="1333">
        <f>2300*0.9</f>
        <v>2070</v>
      </c>
      <c r="AH175" s="1333">
        <f>AG175*0.85</f>
        <v>1759.5</v>
      </c>
      <c r="AI175" s="1333">
        <f>AG175*0.5</f>
        <v>1035</v>
      </c>
      <c r="AJ175" s="1333">
        <f>AG175*0.25</f>
        <v>517.5</v>
      </c>
      <c r="AK175" s="859"/>
      <c r="AL175" s="859"/>
      <c r="AM175" s="859"/>
      <c r="AN175" s="859"/>
      <c r="AO175" s="859"/>
      <c r="AP175" s="859"/>
      <c r="AQ175" s="859"/>
      <c r="AR175" s="859"/>
      <c r="AS175" s="859"/>
      <c r="AT175" s="859"/>
      <c r="AU175" s="859"/>
      <c r="AV175" s="859"/>
      <c r="AW175" s="859"/>
    </row>
    <row r="176" spans="1:49" s="856" customFormat="1">
      <c r="R176" s="857"/>
      <c r="S176" s="857"/>
      <c r="T176" s="857"/>
      <c r="U176" s="857"/>
      <c r="V176" s="857"/>
      <c r="W176" s="857"/>
      <c r="X176" s="857"/>
      <c r="Y176" s="857"/>
      <c r="Z176" s="857"/>
      <c r="AA176" s="858"/>
      <c r="AB176" s="858"/>
      <c r="AC176" s="859"/>
      <c r="AD176" s="859"/>
      <c r="AE176" s="859"/>
      <c r="AF176" s="859"/>
      <c r="AG176" s="859"/>
      <c r="AH176" s="859"/>
      <c r="AI176" s="859"/>
      <c r="AJ176" s="859"/>
      <c r="AK176" s="859"/>
      <c r="AL176" s="859"/>
      <c r="AM176" s="859"/>
      <c r="AN176" s="859"/>
      <c r="AO176" s="859"/>
      <c r="AP176" s="859"/>
      <c r="AQ176" s="859"/>
      <c r="AR176" s="859"/>
      <c r="AS176" s="859"/>
      <c r="AT176" s="859"/>
      <c r="AU176" s="859"/>
      <c r="AV176" s="859"/>
      <c r="AW176" s="859"/>
    </row>
    <row r="177" spans="1:49" s="106" customFormat="1">
      <c r="R177" s="116"/>
      <c r="S177" s="116"/>
      <c r="T177" s="116"/>
      <c r="U177" s="116"/>
      <c r="V177" s="116"/>
      <c r="W177" s="116"/>
      <c r="X177" s="116"/>
      <c r="Y177" s="116"/>
      <c r="Z177" s="116"/>
      <c r="AA177" s="116"/>
      <c r="AB177" s="116"/>
      <c r="AC177" s="117"/>
      <c r="AD177" s="117"/>
      <c r="AE177" s="117"/>
      <c r="AF177" s="117"/>
      <c r="AG177" s="117"/>
      <c r="AH177" s="117"/>
      <c r="AI177" s="117"/>
      <c r="AJ177" s="117"/>
      <c r="AK177" s="117"/>
      <c r="AL177" s="117"/>
      <c r="AM177" s="117"/>
      <c r="AN177" s="117"/>
      <c r="AO177" s="117"/>
      <c r="AP177" s="117"/>
      <c r="AQ177" s="117"/>
      <c r="AR177" s="117"/>
      <c r="AS177" s="117"/>
      <c r="AT177" s="117"/>
      <c r="AU177" s="117"/>
      <c r="AV177" s="117"/>
      <c r="AW177" s="117"/>
    </row>
    <row r="178" spans="1:49" s="106" customFormat="1">
      <c r="A178" s="106" t="s">
        <v>913</v>
      </c>
      <c r="N178" s="1331"/>
      <c r="O178" s="1331">
        <v>38943</v>
      </c>
      <c r="P178" s="1331">
        <v>37919</v>
      </c>
      <c r="Q178" s="1331">
        <v>26480</v>
      </c>
      <c r="R178" s="1331">
        <v>27695</v>
      </c>
      <c r="S178" s="1331">
        <v>26419</v>
      </c>
      <c r="T178" s="1331">
        <v>27921</v>
      </c>
      <c r="U178" s="1331">
        <v>28576</v>
      </c>
      <c r="V178" s="1331">
        <v>28251</v>
      </c>
      <c r="W178" s="1331">
        <v>28482</v>
      </c>
      <c r="X178" s="1331">
        <v>29044</v>
      </c>
      <c r="Y178" s="1331">
        <v>32048</v>
      </c>
      <c r="Z178" s="1331">
        <v>31840</v>
      </c>
      <c r="AA178" s="1331">
        <v>32048</v>
      </c>
      <c r="AB178" s="1331">
        <v>32362</v>
      </c>
      <c r="AC178" s="1334">
        <v>30783</v>
      </c>
      <c r="AD178" s="1334">
        <v>30943</v>
      </c>
      <c r="AE178" s="1334">
        <v>34467</v>
      </c>
      <c r="AF178" s="1334">
        <v>34860</v>
      </c>
      <c r="AG178" s="1335">
        <f t="shared" ref="AG178:AW178" si="279">MIN(AG106-AG168, AG183*AG179)</f>
        <v>32501.702204134981</v>
      </c>
      <c r="AH178" s="1335">
        <f t="shared" si="279"/>
        <v>32611.572760627674</v>
      </c>
      <c r="AI178" s="1335">
        <f t="shared" si="279"/>
        <v>32648.953206776991</v>
      </c>
      <c r="AJ178" s="1335">
        <f t="shared" si="279"/>
        <v>32821.221623083889</v>
      </c>
      <c r="AK178" s="1335">
        <f t="shared" si="279"/>
        <v>33022.330480665267</v>
      </c>
      <c r="AL178" s="1335">
        <f t="shared" si="279"/>
        <v>33244.577083880329</v>
      </c>
      <c r="AM178" s="1335">
        <f t="shared" si="279"/>
        <v>33345.499363376708</v>
      </c>
      <c r="AN178" s="1335">
        <f t="shared" si="279"/>
        <v>33614.544732149079</v>
      </c>
      <c r="AO178" s="1335">
        <f t="shared" si="279"/>
        <v>33911.45348415897</v>
      </c>
      <c r="AP178" s="1335">
        <f t="shared" si="279"/>
        <v>34223.371255784688</v>
      </c>
      <c r="AQ178" s="1335">
        <f t="shared" si="279"/>
        <v>34417.110246299118</v>
      </c>
      <c r="AR178" s="1335">
        <f t="shared" si="279"/>
        <v>34774.178431832777</v>
      </c>
      <c r="AS178" s="1335">
        <f t="shared" si="279"/>
        <v>35156.831683781267</v>
      </c>
      <c r="AT178" s="1335">
        <f t="shared" si="279"/>
        <v>35552.226573977059</v>
      </c>
      <c r="AU178" s="1335">
        <f t="shared" si="279"/>
        <v>35791.418581780323</v>
      </c>
      <c r="AV178" s="1335">
        <f t="shared" si="279"/>
        <v>36234.3780566797</v>
      </c>
      <c r="AW178" s="1335">
        <f t="shared" si="279"/>
        <v>36704.619603718493</v>
      </c>
    </row>
    <row r="179" spans="1:49" s="106" customFormat="1">
      <c r="A179" s="106" t="s">
        <v>74</v>
      </c>
      <c r="N179" s="1331">
        <v>289686</v>
      </c>
      <c r="O179" s="1331">
        <v>281343</v>
      </c>
      <c r="P179" s="1331">
        <v>261056</v>
      </c>
      <c r="Q179" s="1331">
        <v>266103</v>
      </c>
      <c r="R179" s="1334">
        <f t="shared" ref="R179:AA179" si="280">R217+R304+R414+R490+R530+R574+R619</f>
        <v>279694</v>
      </c>
      <c r="S179" s="1334">
        <f t="shared" si="280"/>
        <v>279169</v>
      </c>
      <c r="T179" s="1334">
        <f t="shared" si="280"/>
        <v>286320</v>
      </c>
      <c r="U179" s="1334">
        <f t="shared" si="280"/>
        <v>284248</v>
      </c>
      <c r="V179" s="1334">
        <f t="shared" si="280"/>
        <v>283095</v>
      </c>
      <c r="W179" s="1334">
        <f t="shared" si="280"/>
        <v>276631</v>
      </c>
      <c r="X179" s="1334">
        <f t="shared" si="280"/>
        <v>284622</v>
      </c>
      <c r="Y179" s="1334">
        <f t="shared" si="280"/>
        <v>289946</v>
      </c>
      <c r="Z179" s="1334">
        <f t="shared" si="280"/>
        <v>280382</v>
      </c>
      <c r="AA179" s="1334">
        <f t="shared" si="280"/>
        <v>271455</v>
      </c>
      <c r="AB179" s="1334">
        <v>270462</v>
      </c>
      <c r="AC179" s="1334">
        <v>268045</v>
      </c>
      <c r="AD179" s="1334">
        <v>263737</v>
      </c>
      <c r="AE179" s="1334">
        <v>259337</v>
      </c>
      <c r="AF179" s="1334">
        <v>265012</v>
      </c>
      <c r="AG179" s="1335">
        <f t="shared" ref="AG179:AS179" si="281">AG180*AG181</f>
        <v>260013.61763307985</v>
      </c>
      <c r="AH179" s="1335">
        <f t="shared" si="281"/>
        <v>260892.58208502139</v>
      </c>
      <c r="AI179" s="1335">
        <f t="shared" si="281"/>
        <v>261191.62565421592</v>
      </c>
      <c r="AJ179" s="1335">
        <f t="shared" si="281"/>
        <v>262569.77298467112</v>
      </c>
      <c r="AK179" s="1335">
        <f t="shared" si="281"/>
        <v>264178.64384532213</v>
      </c>
      <c r="AL179" s="1335">
        <f t="shared" si="281"/>
        <v>265956.61667104263</v>
      </c>
      <c r="AM179" s="1335">
        <f t="shared" si="281"/>
        <v>266763.99490701366</v>
      </c>
      <c r="AN179" s="1335">
        <f t="shared" si="281"/>
        <v>268916.35785719263</v>
      </c>
      <c r="AO179" s="1335">
        <f t="shared" si="281"/>
        <v>271291.62787327176</v>
      </c>
      <c r="AP179" s="1335">
        <f t="shared" si="281"/>
        <v>273786.97004627751</v>
      </c>
      <c r="AQ179" s="1335">
        <f t="shared" si="281"/>
        <v>275336.88197039295</v>
      </c>
      <c r="AR179" s="1335">
        <f t="shared" si="281"/>
        <v>278193.42745466222</v>
      </c>
      <c r="AS179" s="1335">
        <f t="shared" si="281"/>
        <v>281254.65347025014</v>
      </c>
      <c r="AT179" s="1335">
        <f t="shared" ref="AT179:AW179" si="282">AT180*AT181</f>
        <v>284417.81259181647</v>
      </c>
      <c r="AU179" s="1335">
        <f t="shared" si="282"/>
        <v>286331.34865424258</v>
      </c>
      <c r="AV179" s="1335">
        <f t="shared" si="282"/>
        <v>289875.0244534376</v>
      </c>
      <c r="AW179" s="1335">
        <f t="shared" si="282"/>
        <v>293636.95682974794</v>
      </c>
    </row>
    <row r="180" spans="1:49" s="106" customFormat="1">
      <c r="A180" s="106" t="s">
        <v>414</v>
      </c>
      <c r="N180" s="1334">
        <f t="shared" ref="N180:AW180" si="283">N80+N73+N74+N77+N78+N79</f>
        <v>587731</v>
      </c>
      <c r="O180" s="1334">
        <f t="shared" si="283"/>
        <v>565341</v>
      </c>
      <c r="P180" s="1334">
        <f t="shared" si="283"/>
        <v>601161</v>
      </c>
      <c r="Q180" s="1334">
        <f t="shared" si="283"/>
        <v>559990</v>
      </c>
      <c r="R180" s="1334">
        <f t="shared" si="283"/>
        <v>566554</v>
      </c>
      <c r="S180" s="1334">
        <f t="shared" si="283"/>
        <v>569209</v>
      </c>
      <c r="T180" s="1334">
        <f t="shared" si="283"/>
        <v>601161</v>
      </c>
      <c r="U180" s="1334">
        <f t="shared" si="283"/>
        <v>605679</v>
      </c>
      <c r="V180" s="1334">
        <f t="shared" si="283"/>
        <v>606301</v>
      </c>
      <c r="W180" s="1334">
        <f t="shared" si="283"/>
        <v>591602</v>
      </c>
      <c r="X180" s="1334">
        <f t="shared" si="283"/>
        <v>580975</v>
      </c>
      <c r="Y180" s="1334">
        <f t="shared" si="283"/>
        <v>567038</v>
      </c>
      <c r="Z180" s="1334">
        <f t="shared" si="283"/>
        <v>562313</v>
      </c>
      <c r="AA180" s="1334">
        <f t="shared" si="283"/>
        <v>575083</v>
      </c>
      <c r="AB180" s="1334">
        <f t="shared" si="283"/>
        <v>572664</v>
      </c>
      <c r="AC180" s="1334">
        <f t="shared" si="283"/>
        <v>572325</v>
      </c>
      <c r="AD180" s="1334">
        <f t="shared" si="283"/>
        <v>548710</v>
      </c>
      <c r="AE180" s="1334">
        <f t="shared" si="283"/>
        <v>534733</v>
      </c>
      <c r="AF180" s="1334">
        <f t="shared" si="283"/>
        <v>533572</v>
      </c>
      <c r="AG180" s="1335">
        <f t="shared" si="283"/>
        <v>553035.98358487652</v>
      </c>
      <c r="AH180" s="1335">
        <f t="shared" si="283"/>
        <v>557693.96692668938</v>
      </c>
      <c r="AI180" s="1335">
        <f t="shared" si="283"/>
        <v>561138.90844579739</v>
      </c>
      <c r="AJ180" s="1335">
        <f t="shared" si="283"/>
        <v>566934.36466160696</v>
      </c>
      <c r="AK180" s="1335">
        <f t="shared" si="283"/>
        <v>573274.57295242569</v>
      </c>
      <c r="AL180" s="1335">
        <f t="shared" si="283"/>
        <v>580032.98545623198</v>
      </c>
      <c r="AM180" s="1335">
        <f t="shared" si="283"/>
        <v>584717.40858764364</v>
      </c>
      <c r="AN180" s="1335">
        <f t="shared" si="283"/>
        <v>592397.13771459705</v>
      </c>
      <c r="AO180" s="1335">
        <f t="shared" si="283"/>
        <v>600632.79543083347</v>
      </c>
      <c r="AP180" s="1335">
        <f t="shared" si="283"/>
        <v>609203.43700874283</v>
      </c>
      <c r="AQ180" s="1335">
        <f t="shared" si="283"/>
        <v>615730.80031548685</v>
      </c>
      <c r="AR180" s="1335">
        <f t="shared" si="283"/>
        <v>625245.06572278461</v>
      </c>
      <c r="AS180" s="1335">
        <f t="shared" si="283"/>
        <v>635301.73861969227</v>
      </c>
      <c r="AT180" s="1335">
        <f t="shared" si="283"/>
        <v>645675.09986294748</v>
      </c>
      <c r="AU180" s="1335">
        <f t="shared" si="283"/>
        <v>653285.56852686289</v>
      </c>
      <c r="AV180" s="1335">
        <f t="shared" si="283"/>
        <v>664694.19072232291</v>
      </c>
      <c r="AW180" s="1335">
        <f t="shared" si="283"/>
        <v>676703.96110302466</v>
      </c>
    </row>
    <row r="181" spans="1:49" s="106" customFormat="1">
      <c r="A181" s="106" t="s">
        <v>180</v>
      </c>
      <c r="N181" s="116">
        <f t="shared" ref="N181:Z181" si="284">N179/N180</f>
        <v>0.49288875352839989</v>
      </c>
      <c r="O181" s="116">
        <f t="shared" si="284"/>
        <v>0.49765185967407283</v>
      </c>
      <c r="P181" s="116">
        <f t="shared" si="284"/>
        <v>0.43425305367447325</v>
      </c>
      <c r="Q181" s="116">
        <f t="shared" si="284"/>
        <v>0.47519241415025271</v>
      </c>
      <c r="R181" s="116">
        <f t="shared" si="284"/>
        <v>0.49367580142404782</v>
      </c>
      <c r="S181" s="116">
        <f t="shared" si="284"/>
        <v>0.49045078345563758</v>
      </c>
      <c r="T181" s="116">
        <f t="shared" si="284"/>
        <v>0.47627840129349708</v>
      </c>
      <c r="U181" s="116">
        <f t="shared" si="284"/>
        <v>0.46930469770290861</v>
      </c>
      <c r="V181" s="116">
        <f t="shared" si="284"/>
        <v>0.4669215455689501</v>
      </c>
      <c r="W181" s="116">
        <f t="shared" si="284"/>
        <v>0.46759645842982273</v>
      </c>
      <c r="X181" s="116">
        <f t="shared" si="284"/>
        <v>0.48990404062136927</v>
      </c>
      <c r="Y181" s="116">
        <f t="shared" si="284"/>
        <v>0.51133433738126899</v>
      </c>
      <c r="Z181" s="116">
        <f t="shared" si="284"/>
        <v>0.49862265321982596</v>
      </c>
      <c r="AA181" s="116">
        <f>AA179/AA180</f>
        <v>0.47202751602812115</v>
      </c>
      <c r="AB181" s="116">
        <f>AB179/AB180</f>
        <v>0.47228741460961399</v>
      </c>
      <c r="AC181" s="1157">
        <f>AVERAGE(O181:AB181)</f>
        <v>0.47967864123099024</v>
      </c>
      <c r="AD181" s="1158">
        <f>AC181*0.995</f>
        <v>0.47728024802483526</v>
      </c>
      <c r="AE181" s="1158">
        <f>AD181*0.995</f>
        <v>0.47489384678471108</v>
      </c>
      <c r="AF181" s="1158">
        <f t="shared" ref="AF181:AS181" si="285">AE181*0.995</f>
        <v>0.47251937755078754</v>
      </c>
      <c r="AG181" s="117">
        <f t="shared" si="285"/>
        <v>0.47015678066303362</v>
      </c>
      <c r="AH181" s="117">
        <f t="shared" si="285"/>
        <v>0.46780599675971846</v>
      </c>
      <c r="AI181" s="117">
        <f t="shared" si="285"/>
        <v>0.46546696677591987</v>
      </c>
      <c r="AJ181" s="117">
        <f t="shared" si="285"/>
        <v>0.46313963194204028</v>
      </c>
      <c r="AK181" s="117">
        <f t="shared" si="285"/>
        <v>0.46082393378233005</v>
      </c>
      <c r="AL181" s="117">
        <f t="shared" si="285"/>
        <v>0.45851981411341841</v>
      </c>
      <c r="AM181" s="117">
        <f t="shared" si="285"/>
        <v>0.4562272150428513</v>
      </c>
      <c r="AN181" s="117">
        <f t="shared" si="285"/>
        <v>0.45394607896763706</v>
      </c>
      <c r="AO181" s="117">
        <f t="shared" si="285"/>
        <v>0.45167634857279887</v>
      </c>
      <c r="AP181" s="117">
        <f>AO181*0.995</f>
        <v>0.44941796682993485</v>
      </c>
      <c r="AQ181" s="117">
        <f t="shared" si="285"/>
        <v>0.44717087699578517</v>
      </c>
      <c r="AR181" s="117">
        <f t="shared" si="285"/>
        <v>0.44493502261080625</v>
      </c>
      <c r="AS181" s="117">
        <f t="shared" si="285"/>
        <v>0.44271034749775223</v>
      </c>
      <c r="AT181" s="117">
        <f t="shared" ref="AT181" si="286">AS181*0.995</f>
        <v>0.44049679576026346</v>
      </c>
      <c r="AU181" s="117">
        <f t="shared" ref="AU181" si="287">AT181*0.995</f>
        <v>0.43829431178146216</v>
      </c>
      <c r="AV181" s="117">
        <f t="shared" ref="AV181" si="288">AU181*0.995</f>
        <v>0.43610284022255486</v>
      </c>
      <c r="AW181" s="117">
        <f t="shared" ref="AW181" si="289">AV181*0.995</f>
        <v>0.4339223260214421</v>
      </c>
    </row>
    <row r="182" spans="1:49" s="109" customFormat="1">
      <c r="A182" s="109" t="s">
        <v>745</v>
      </c>
      <c r="N182" s="110"/>
      <c r="O182" s="110"/>
      <c r="P182" s="110"/>
      <c r="Q182" s="110"/>
      <c r="R182" s="111"/>
      <c r="S182" s="111"/>
      <c r="T182" s="111"/>
      <c r="U182" s="111"/>
      <c r="V182" s="111"/>
      <c r="W182" s="111"/>
      <c r="X182" s="111"/>
      <c r="Y182" s="111"/>
      <c r="Z182" s="854"/>
      <c r="AA182" s="854"/>
      <c r="AB182" s="854"/>
      <c r="AC182" s="855"/>
      <c r="AD182" s="855"/>
      <c r="AE182" s="855"/>
      <c r="AF182" s="855"/>
      <c r="AG182" s="855">
        <v>0.09</v>
      </c>
      <c r="AH182" s="855">
        <v>9.4600000000000004E-2</v>
      </c>
      <c r="AI182" s="855">
        <v>9.4600000000000004E-2</v>
      </c>
      <c r="AJ182" s="855">
        <v>9.4600000000000004E-2</v>
      </c>
      <c r="AK182" s="855">
        <v>9.4600000000000004E-2</v>
      </c>
      <c r="AL182" s="123">
        <v>9.6799999999999997E-2</v>
      </c>
      <c r="AM182" s="123">
        <v>9.6799999999999997E-2</v>
      </c>
      <c r="AN182" s="123">
        <v>9.6799999999999997E-2</v>
      </c>
      <c r="AO182" s="123">
        <v>9.6799999999999997E-2</v>
      </c>
      <c r="AP182" s="123">
        <v>0.1</v>
      </c>
      <c r="AQ182" s="123">
        <f t="shared" ref="AQ182:AS182" si="290">AP182</f>
        <v>0.1</v>
      </c>
      <c r="AR182" s="123">
        <f t="shared" si="290"/>
        <v>0.1</v>
      </c>
      <c r="AS182" s="123">
        <f t="shared" si="290"/>
        <v>0.1</v>
      </c>
      <c r="AT182" s="123">
        <f t="shared" ref="AT182:AT183" si="291">AS182</f>
        <v>0.1</v>
      </c>
      <c r="AU182" s="123">
        <f t="shared" ref="AU182:AU183" si="292">AT182</f>
        <v>0.1</v>
      </c>
      <c r="AV182" s="123">
        <f t="shared" ref="AV182:AV183" si="293">AU182</f>
        <v>0.1</v>
      </c>
      <c r="AW182" s="123">
        <f t="shared" ref="AW182:AW183" si="294">AV182</f>
        <v>0.1</v>
      </c>
    </row>
    <row r="183" spans="1:49" s="109" customFormat="1">
      <c r="A183" s="109" t="s">
        <v>582</v>
      </c>
      <c r="N183" s="110"/>
      <c r="O183" s="110"/>
      <c r="P183" s="110"/>
      <c r="Q183" s="110"/>
      <c r="R183" s="111">
        <f t="shared" ref="R183:AF183" si="295">R178/R179</f>
        <v>9.901892782826946E-2</v>
      </c>
      <c r="S183" s="111">
        <f t="shared" si="295"/>
        <v>9.4634432906232427E-2</v>
      </c>
      <c r="T183" s="111">
        <f t="shared" si="295"/>
        <v>9.7516764459346192E-2</v>
      </c>
      <c r="U183" s="111">
        <f t="shared" si="295"/>
        <v>0.10053192986406237</v>
      </c>
      <c r="V183" s="111">
        <f t="shared" si="295"/>
        <v>9.9793355587347005E-2</v>
      </c>
      <c r="W183" s="111">
        <f t="shared" si="295"/>
        <v>0.10296026114209904</v>
      </c>
      <c r="X183" s="111">
        <f t="shared" si="295"/>
        <v>0.10204411465030813</v>
      </c>
      <c r="Y183" s="111">
        <f t="shared" si="295"/>
        <v>0.11053092644837315</v>
      </c>
      <c r="Z183" s="111">
        <f t="shared" si="295"/>
        <v>0.11355935830402808</v>
      </c>
      <c r="AA183" s="111">
        <f t="shared" si="295"/>
        <v>0.11806008362343666</v>
      </c>
      <c r="AB183" s="111">
        <f t="shared" si="295"/>
        <v>0.11965451708557949</v>
      </c>
      <c r="AC183" s="111">
        <f t="shared" si="295"/>
        <v>0.11484265701654572</v>
      </c>
      <c r="AD183" s="111">
        <f t="shared" si="295"/>
        <v>0.11732521413377721</v>
      </c>
      <c r="AE183" s="111">
        <f t="shared" si="295"/>
        <v>0.13290429055630318</v>
      </c>
      <c r="AF183" s="111">
        <f t="shared" si="295"/>
        <v>0.13154121322808024</v>
      </c>
      <c r="AG183" s="123">
        <v>0.125</v>
      </c>
      <c r="AH183" s="123">
        <v>0.125</v>
      </c>
      <c r="AI183" s="123">
        <v>0.125</v>
      </c>
      <c r="AJ183" s="123">
        <v>0.125</v>
      </c>
      <c r="AK183" s="123">
        <v>0.125</v>
      </c>
      <c r="AL183" s="123">
        <v>0.125</v>
      </c>
      <c r="AM183" s="123">
        <f t="shared" ref="AM183:AS183" si="296">AL183</f>
        <v>0.125</v>
      </c>
      <c r="AN183" s="123">
        <f t="shared" si="296"/>
        <v>0.125</v>
      </c>
      <c r="AO183" s="123">
        <f t="shared" si="296"/>
        <v>0.125</v>
      </c>
      <c r="AP183" s="123">
        <f t="shared" si="296"/>
        <v>0.125</v>
      </c>
      <c r="AQ183" s="123">
        <f t="shared" si="296"/>
        <v>0.125</v>
      </c>
      <c r="AR183" s="123">
        <f t="shared" si="296"/>
        <v>0.125</v>
      </c>
      <c r="AS183" s="123">
        <f t="shared" si="296"/>
        <v>0.125</v>
      </c>
      <c r="AT183" s="123">
        <f t="shared" si="291"/>
        <v>0.125</v>
      </c>
      <c r="AU183" s="123">
        <f t="shared" si="292"/>
        <v>0.125</v>
      </c>
      <c r="AV183" s="123">
        <f t="shared" si="293"/>
        <v>0.125</v>
      </c>
      <c r="AW183" s="123">
        <f t="shared" si="294"/>
        <v>0.125</v>
      </c>
    </row>
    <row r="184" spans="1:49" s="109" customFormat="1">
      <c r="A184" s="109" t="s">
        <v>581</v>
      </c>
      <c r="N184" s="110"/>
      <c r="O184" s="110"/>
      <c r="P184" s="110"/>
      <c r="Q184" s="110">
        <f t="shared" ref="Q184:AF184" si="297">Q178/Q179</f>
        <v>9.9510339981135121E-2</v>
      </c>
      <c r="R184" s="111">
        <f t="shared" si="297"/>
        <v>9.901892782826946E-2</v>
      </c>
      <c r="S184" s="111">
        <f t="shared" si="297"/>
        <v>9.4634432906232427E-2</v>
      </c>
      <c r="T184" s="111">
        <f t="shared" si="297"/>
        <v>9.7516764459346192E-2</v>
      </c>
      <c r="U184" s="111">
        <f t="shared" si="297"/>
        <v>0.10053192986406237</v>
      </c>
      <c r="V184" s="111">
        <f t="shared" si="297"/>
        <v>9.9793355587347005E-2</v>
      </c>
      <c r="W184" s="111">
        <f t="shared" si="297"/>
        <v>0.10296026114209904</v>
      </c>
      <c r="X184" s="111">
        <f t="shared" si="297"/>
        <v>0.10204411465030813</v>
      </c>
      <c r="Y184" s="111">
        <f t="shared" si="297"/>
        <v>0.11053092644837315</v>
      </c>
      <c r="Z184" s="111">
        <f t="shared" si="297"/>
        <v>0.11355935830402808</v>
      </c>
      <c r="AA184" s="111">
        <f t="shared" si="297"/>
        <v>0.11806008362343666</v>
      </c>
      <c r="AB184" s="111">
        <f t="shared" si="297"/>
        <v>0.11965451708557949</v>
      </c>
      <c r="AC184" s="111">
        <f t="shared" si="297"/>
        <v>0.11484265701654572</v>
      </c>
      <c r="AD184" s="111">
        <f t="shared" si="297"/>
        <v>0.11732521413377721</v>
      </c>
      <c r="AE184" s="111">
        <f t="shared" si="297"/>
        <v>0.13290429055630318</v>
      </c>
      <c r="AF184" s="111">
        <f t="shared" si="297"/>
        <v>0.13154121322808024</v>
      </c>
      <c r="AG184" s="112">
        <f t="shared" ref="AG184:AS184" si="298">(AG172-AG168)/AG179</f>
        <v>0.13616686252955743</v>
      </c>
      <c r="AH184" s="112">
        <f t="shared" si="298"/>
        <v>0.13882458741042647</v>
      </c>
      <c r="AI184" s="112">
        <f t="shared" si="298"/>
        <v>0.13224103850515509</v>
      </c>
      <c r="AJ184" s="112">
        <f t="shared" si="298"/>
        <v>0.13431676593436592</v>
      </c>
      <c r="AK184" s="112">
        <f t="shared" si="298"/>
        <v>0.13540085769577759</v>
      </c>
      <c r="AL184" s="112">
        <f t="shared" si="298"/>
        <v>0.13820493723002231</v>
      </c>
      <c r="AM184" s="112">
        <f t="shared" si="298"/>
        <v>0.13217973154115176</v>
      </c>
      <c r="AN184" s="112">
        <f t="shared" si="298"/>
        <v>0.13622486881721271</v>
      </c>
      <c r="AO184" s="112">
        <f t="shared" si="298"/>
        <v>0.13910285848524975</v>
      </c>
      <c r="AP184" s="112">
        <f t="shared" si="298"/>
        <v>0.14181910401444289</v>
      </c>
      <c r="AQ184" s="112">
        <f t="shared" si="298"/>
        <v>0.13585767250127759</v>
      </c>
      <c r="AR184" s="112">
        <f t="shared" si="298"/>
        <v>0.13963842071079791</v>
      </c>
      <c r="AS184" s="112">
        <f t="shared" si="298"/>
        <v>0.14220152483840545</v>
      </c>
      <c r="AT184" s="112">
        <f t="shared" ref="AT184:AW184" si="299">(AT172-AT168)/AT179</f>
        <v>0.14448506028810323</v>
      </c>
      <c r="AU184" s="112">
        <f t="shared" si="299"/>
        <v>0.13597225570847221</v>
      </c>
      <c r="AV184" s="112">
        <f t="shared" si="299"/>
        <v>0.13959395350933673</v>
      </c>
      <c r="AW184" s="112">
        <f t="shared" si="299"/>
        <v>0.14180207095723232</v>
      </c>
    </row>
    <row r="185" spans="1:49">
      <c r="AT185" s="18"/>
      <c r="AU185" s="18"/>
      <c r="AV185" s="18"/>
      <c r="AW185" s="18"/>
    </row>
    <row r="186" spans="1:49" s="813" customFormat="1" ht="29.25" thickBot="1">
      <c r="A186" s="813" t="s">
        <v>80</v>
      </c>
    </row>
    <row r="187" spans="1:49" s="815" customFormat="1" ht="21.75" thickBot="1">
      <c r="A187" s="814" t="s">
        <v>81</v>
      </c>
      <c r="AB187" s="816"/>
      <c r="AC187" s="816"/>
      <c r="AD187" s="816"/>
      <c r="AE187" s="816"/>
      <c r="AF187" s="816"/>
      <c r="AG187" s="816"/>
      <c r="AH187" s="816"/>
      <c r="AI187" s="816"/>
      <c r="AJ187" s="816"/>
      <c r="AK187" s="816"/>
      <c r="AL187" s="816"/>
      <c r="AM187" s="816"/>
      <c r="AN187" s="816"/>
      <c r="AO187" s="816"/>
      <c r="AP187" s="816"/>
      <c r="AQ187" s="816"/>
      <c r="AR187" s="816"/>
      <c r="AS187" s="816"/>
      <c r="AT187" s="816"/>
      <c r="AU187" s="816"/>
      <c r="AV187" s="816"/>
      <c r="AW187" s="816"/>
    </row>
    <row r="188" spans="1:49" s="178" customFormat="1">
      <c r="A188" s="177" t="s">
        <v>82</v>
      </c>
      <c r="O188" s="179"/>
      <c r="P188" s="179"/>
      <c r="Q188" s="179"/>
      <c r="R188" s="179"/>
      <c r="S188" s="179"/>
      <c r="T188" s="179"/>
      <c r="U188" s="179"/>
      <c r="V188" s="179"/>
      <c r="W188" s="179"/>
      <c r="X188" s="179"/>
      <c r="Y188" s="179"/>
      <c r="Z188" s="179"/>
      <c r="AA188" s="179"/>
      <c r="AB188" s="180"/>
      <c r="AC188" s="180"/>
      <c r="AD188" s="180"/>
      <c r="AE188" s="180"/>
      <c r="AF188" s="180"/>
      <c r="AG188" s="180"/>
      <c r="AH188" s="180"/>
      <c r="AI188" s="180"/>
      <c r="AJ188" s="180"/>
      <c r="AK188" s="180"/>
      <c r="AL188" s="180"/>
      <c r="AM188" s="180"/>
      <c r="AN188" s="180"/>
      <c r="AO188" s="180"/>
      <c r="AP188" s="180"/>
      <c r="AQ188" s="180"/>
      <c r="AR188" s="180"/>
      <c r="AS188" s="180"/>
      <c r="AT188" s="180"/>
      <c r="AU188" s="180"/>
      <c r="AV188" s="180"/>
      <c r="AW188" s="180"/>
    </row>
    <row r="189" spans="1:49" s="181" customFormat="1">
      <c r="A189" s="775" t="s">
        <v>183</v>
      </c>
      <c r="N189" s="182" t="e">
        <f t="shared" ref="N189:Z189" si="300">N193/N215</f>
        <v>#DIV/0!</v>
      </c>
      <c r="O189" s="182" t="e">
        <f t="shared" si="300"/>
        <v>#DIV/0!</v>
      </c>
      <c r="P189" s="182" t="e">
        <f t="shared" si="300"/>
        <v>#DIV/0!</v>
      </c>
      <c r="Q189" s="182" t="e">
        <f t="shared" si="300"/>
        <v>#DIV/0!</v>
      </c>
      <c r="R189" s="182" t="e">
        <f t="shared" si="300"/>
        <v>#DIV/0!</v>
      </c>
      <c r="S189" s="182" t="e">
        <f t="shared" si="300"/>
        <v>#DIV/0!</v>
      </c>
      <c r="T189" s="182" t="e">
        <f t="shared" si="300"/>
        <v>#DIV/0!</v>
      </c>
      <c r="U189" s="182" t="e">
        <f t="shared" si="300"/>
        <v>#DIV/0!</v>
      </c>
      <c r="V189" s="182">
        <f t="shared" si="300"/>
        <v>3.742634177416786E-3</v>
      </c>
      <c r="W189" s="182">
        <f t="shared" si="300"/>
        <v>4.2087800682006696E-3</v>
      </c>
      <c r="X189" s="182">
        <f t="shared" si="300"/>
        <v>4.3536812588780048E-3</v>
      </c>
      <c r="Y189" s="182">
        <f t="shared" si="300"/>
        <v>4.6276664392780106E-3</v>
      </c>
      <c r="Z189" s="182">
        <f t="shared" si="300"/>
        <v>4.4924236380039402E-3</v>
      </c>
      <c r="AA189" s="182">
        <f>AA193/AA215</f>
        <v>4.1479160214015461E-3</v>
      </c>
      <c r="AB189" s="182">
        <f t="shared" ref="AB189:AF189" si="301">AB193/AB215</f>
        <v>4.3376670061709907E-3</v>
      </c>
      <c r="AC189" s="182">
        <f t="shared" si="301"/>
        <v>4.4964842924827232E-3</v>
      </c>
      <c r="AD189" s="182">
        <f t="shared" si="301"/>
        <v>4.3714399258179895E-3</v>
      </c>
      <c r="AE189" s="182">
        <f t="shared" si="301"/>
        <v>4.3340284703962282E-3</v>
      </c>
      <c r="AF189" s="182">
        <f t="shared" si="301"/>
        <v>4.3820095508440206E-3</v>
      </c>
      <c r="AG189" s="183">
        <f>AVERAGE(V189:AF189)</f>
        <v>4.3177028044446277E-3</v>
      </c>
      <c r="AH189" s="183">
        <f t="shared" ref="AH189:AS192" si="302">AG189</f>
        <v>4.3177028044446277E-3</v>
      </c>
      <c r="AI189" s="183">
        <f t="shared" si="302"/>
        <v>4.3177028044446277E-3</v>
      </c>
      <c r="AJ189" s="183">
        <f t="shared" si="302"/>
        <v>4.3177028044446277E-3</v>
      </c>
      <c r="AK189" s="183">
        <f t="shared" si="302"/>
        <v>4.3177028044446277E-3</v>
      </c>
      <c r="AL189" s="183">
        <f t="shared" si="302"/>
        <v>4.3177028044446277E-3</v>
      </c>
      <c r="AM189" s="183">
        <f t="shared" si="302"/>
        <v>4.3177028044446277E-3</v>
      </c>
      <c r="AN189" s="183">
        <f t="shared" si="302"/>
        <v>4.3177028044446277E-3</v>
      </c>
      <c r="AO189" s="183">
        <f t="shared" si="302"/>
        <v>4.3177028044446277E-3</v>
      </c>
      <c r="AP189" s="183">
        <f t="shared" si="302"/>
        <v>4.3177028044446277E-3</v>
      </c>
      <c r="AQ189" s="183">
        <f t="shared" si="302"/>
        <v>4.3177028044446277E-3</v>
      </c>
      <c r="AR189" s="183">
        <f t="shared" si="302"/>
        <v>4.3177028044446277E-3</v>
      </c>
      <c r="AS189" s="183">
        <f t="shared" si="302"/>
        <v>4.3177028044446277E-3</v>
      </c>
      <c r="AT189" s="183">
        <f t="shared" ref="AT189:AT190" si="303">AS189</f>
        <v>4.3177028044446277E-3</v>
      </c>
      <c r="AU189" s="183">
        <f t="shared" ref="AU189:AU190" si="304">AT189</f>
        <v>4.3177028044446277E-3</v>
      </c>
      <c r="AV189" s="183">
        <f t="shared" ref="AV189:AV190" si="305">AU189</f>
        <v>4.3177028044446277E-3</v>
      </c>
      <c r="AW189" s="183">
        <f t="shared" ref="AW189:AW190" si="306">AV189</f>
        <v>4.3177028044446277E-3</v>
      </c>
    </row>
    <row r="190" spans="1:49" s="792" customFormat="1">
      <c r="A190" s="775" t="s">
        <v>184</v>
      </c>
      <c r="N190" s="182">
        <f t="shared" ref="N190:AF190" si="307">N194/N222</f>
        <v>8.7311557788944728E-4</v>
      </c>
      <c r="O190" s="182">
        <f t="shared" si="307"/>
        <v>8.8284871470712181E-4</v>
      </c>
      <c r="P190" s="182">
        <f t="shared" si="307"/>
        <v>8.6830680173661363E-4</v>
      </c>
      <c r="Q190" s="182">
        <f t="shared" si="307"/>
        <v>8.1748280048563331E-4</v>
      </c>
      <c r="R190" s="182">
        <f t="shared" si="307"/>
        <v>8.3940886699507386E-4</v>
      </c>
      <c r="S190" s="182">
        <f t="shared" si="307"/>
        <v>7.9714340860837689E-4</v>
      </c>
      <c r="T190" s="182">
        <f t="shared" si="307"/>
        <v>8.0060998856271441E-4</v>
      </c>
      <c r="U190" s="182">
        <f t="shared" si="307"/>
        <v>7.7081384471468662E-4</v>
      </c>
      <c r="V190" s="182">
        <f t="shared" si="307"/>
        <v>7.5846833578792339E-4</v>
      </c>
      <c r="W190" s="182">
        <f t="shared" si="307"/>
        <v>7.7531050056454649E-4</v>
      </c>
      <c r="X190" s="182">
        <f t="shared" si="307"/>
        <v>7.4370251899240293E-4</v>
      </c>
      <c r="Y190" s="182">
        <f t="shared" si="307"/>
        <v>7.21749226006192E-4</v>
      </c>
      <c r="Z190" s="182">
        <f t="shared" si="307"/>
        <v>6.7490680792623109E-4</v>
      </c>
      <c r="AA190" s="182">
        <f t="shared" si="307"/>
        <v>6.9500287191269397E-4</v>
      </c>
      <c r="AB190" s="182">
        <f t="shared" si="307"/>
        <v>6.8229068229068229E-4</v>
      </c>
      <c r="AC190" s="182">
        <f t="shared" si="307"/>
        <v>7.111947318908749E-4</v>
      </c>
      <c r="AD190" s="182">
        <f t="shared" si="307"/>
        <v>6.6167062694205822E-4</v>
      </c>
      <c r="AE190" s="182">
        <f t="shared" si="307"/>
        <v>6.5523465703971114E-4</v>
      </c>
      <c r="AF190" s="182">
        <f t="shared" si="307"/>
        <v>6.4037626628075256E-4</v>
      </c>
      <c r="AG190" s="793">
        <f>AVERAGE(Y190:AF190)</f>
        <v>6.8030323378614945E-4</v>
      </c>
      <c r="AH190" s="793">
        <f t="shared" ref="AH190:AR190" si="308">AG190</f>
        <v>6.8030323378614945E-4</v>
      </c>
      <c r="AI190" s="793">
        <f t="shared" si="308"/>
        <v>6.8030323378614945E-4</v>
      </c>
      <c r="AJ190" s="793">
        <f t="shared" si="308"/>
        <v>6.8030323378614945E-4</v>
      </c>
      <c r="AK190" s="793">
        <f t="shared" si="308"/>
        <v>6.8030323378614945E-4</v>
      </c>
      <c r="AL190" s="793">
        <f t="shared" si="308"/>
        <v>6.8030323378614945E-4</v>
      </c>
      <c r="AM190" s="793">
        <f t="shared" si="308"/>
        <v>6.8030323378614945E-4</v>
      </c>
      <c r="AN190" s="793">
        <f t="shared" si="308"/>
        <v>6.8030323378614945E-4</v>
      </c>
      <c r="AO190" s="793">
        <f t="shared" si="308"/>
        <v>6.8030323378614945E-4</v>
      </c>
      <c r="AP190" s="793">
        <f t="shared" si="308"/>
        <v>6.8030323378614945E-4</v>
      </c>
      <c r="AQ190" s="793">
        <f t="shared" si="308"/>
        <v>6.8030323378614945E-4</v>
      </c>
      <c r="AR190" s="793">
        <f t="shared" si="308"/>
        <v>6.8030323378614945E-4</v>
      </c>
      <c r="AS190" s="793">
        <f t="shared" si="302"/>
        <v>6.8030323378614945E-4</v>
      </c>
      <c r="AT190" s="793">
        <f t="shared" si="303"/>
        <v>6.8030323378614945E-4</v>
      </c>
      <c r="AU190" s="793">
        <f t="shared" si="304"/>
        <v>6.8030323378614945E-4</v>
      </c>
      <c r="AV190" s="793">
        <f t="shared" si="305"/>
        <v>6.8030323378614945E-4</v>
      </c>
      <c r="AW190" s="793">
        <f t="shared" si="306"/>
        <v>6.8030323378614945E-4</v>
      </c>
    </row>
    <row r="191" spans="1:49" s="792" customFormat="1">
      <c r="A191" s="775" t="s">
        <v>187</v>
      </c>
      <c r="N191" s="182">
        <f t="shared" ref="N191:AF191" si="309">N195/N222</f>
        <v>7.0351758793969852E-4</v>
      </c>
      <c r="O191" s="182">
        <f t="shared" si="309"/>
        <v>8.3438685208596711E-4</v>
      </c>
      <c r="P191" s="182">
        <f t="shared" si="309"/>
        <v>6.3882571842050861E-4</v>
      </c>
      <c r="Q191" s="182">
        <f t="shared" si="309"/>
        <v>6.1513557264265481E-4</v>
      </c>
      <c r="R191" s="182">
        <f t="shared" si="309"/>
        <v>6.7783251231527089E-4</v>
      </c>
      <c r="S191" s="182">
        <f t="shared" si="309"/>
        <v>6.7940552016985153E-4</v>
      </c>
      <c r="T191" s="182">
        <f t="shared" si="309"/>
        <v>7.2245520396492567E-4</v>
      </c>
      <c r="U191" s="182">
        <f t="shared" si="309"/>
        <v>7.2404115996258184E-4</v>
      </c>
      <c r="V191" s="182">
        <f t="shared" si="309"/>
        <v>7.0324005891016195E-4</v>
      </c>
      <c r="W191" s="182">
        <f t="shared" si="309"/>
        <v>6.5675573955589013E-4</v>
      </c>
      <c r="X191" s="182">
        <f t="shared" si="309"/>
        <v>5.8976409436225499E-4</v>
      </c>
      <c r="Y191" s="182">
        <f t="shared" si="309"/>
        <v>5.5534055727554188E-4</v>
      </c>
      <c r="Z191" s="182">
        <f t="shared" si="309"/>
        <v>5.6503825779870504E-4</v>
      </c>
      <c r="AA191" s="182">
        <f t="shared" si="309"/>
        <v>5.8395558108366842E-4</v>
      </c>
      <c r="AB191" s="182">
        <f t="shared" si="309"/>
        <v>4.7061047061047062E-4</v>
      </c>
      <c r="AC191" s="182">
        <f t="shared" si="309"/>
        <v>5.079962370649106E-4</v>
      </c>
      <c r="AD191" s="182">
        <f t="shared" si="309"/>
        <v>5.1178943520380194E-4</v>
      </c>
      <c r="AE191" s="182">
        <f t="shared" si="309"/>
        <v>5.9566787003610113E-4</v>
      </c>
      <c r="AF191" s="182">
        <f t="shared" si="309"/>
        <v>4.7395079594790161E-4</v>
      </c>
      <c r="AG191" s="793">
        <f>AC191</f>
        <v>5.079962370649106E-4</v>
      </c>
      <c r="AH191" s="793">
        <f t="shared" ref="AH191:AS191" si="310">AD191</f>
        <v>5.1178943520380194E-4</v>
      </c>
      <c r="AI191" s="793">
        <f t="shared" si="310"/>
        <v>5.9566787003610113E-4</v>
      </c>
      <c r="AJ191" s="793">
        <f t="shared" si="310"/>
        <v>4.7395079594790161E-4</v>
      </c>
      <c r="AK191" s="793">
        <f t="shared" si="310"/>
        <v>5.079962370649106E-4</v>
      </c>
      <c r="AL191" s="793">
        <f t="shared" si="310"/>
        <v>5.1178943520380194E-4</v>
      </c>
      <c r="AM191" s="793">
        <f t="shared" si="310"/>
        <v>5.9566787003610113E-4</v>
      </c>
      <c r="AN191" s="793">
        <f t="shared" si="310"/>
        <v>4.7395079594790161E-4</v>
      </c>
      <c r="AO191" s="793">
        <f t="shared" si="310"/>
        <v>5.079962370649106E-4</v>
      </c>
      <c r="AP191" s="793">
        <f t="shared" si="310"/>
        <v>5.1178943520380194E-4</v>
      </c>
      <c r="AQ191" s="793">
        <f t="shared" si="310"/>
        <v>5.9566787003610113E-4</v>
      </c>
      <c r="AR191" s="793">
        <f t="shared" si="310"/>
        <v>4.7395079594790161E-4</v>
      </c>
      <c r="AS191" s="793">
        <f t="shared" si="310"/>
        <v>5.079962370649106E-4</v>
      </c>
      <c r="AT191" s="793">
        <f t="shared" ref="AT191" si="311">AP191</f>
        <v>5.1178943520380194E-4</v>
      </c>
      <c r="AU191" s="793">
        <f t="shared" ref="AU191" si="312">AQ191</f>
        <v>5.9566787003610113E-4</v>
      </c>
      <c r="AV191" s="793">
        <f t="shared" ref="AV191" si="313">AR191</f>
        <v>4.7395079594790161E-4</v>
      </c>
      <c r="AW191" s="793">
        <f t="shared" ref="AW191" si="314">AS191</f>
        <v>5.079962370649106E-4</v>
      </c>
    </row>
    <row r="192" spans="1:49" s="185" customFormat="1">
      <c r="A192" s="184" t="s">
        <v>614</v>
      </c>
      <c r="N192" s="186">
        <f t="shared" ref="N192:Z192" si="315">N196/SUM(N193:N195)</f>
        <v>-4.2918454935622317E-3</v>
      </c>
      <c r="O192" s="186">
        <f t="shared" si="315"/>
        <v>-7.5445816186556925E-3</v>
      </c>
      <c r="P192" s="186">
        <f t="shared" si="315"/>
        <v>-1.4619883040935672E-3</v>
      </c>
      <c r="Q192" s="186">
        <f t="shared" si="315"/>
        <v>4.7654504839910648E-2</v>
      </c>
      <c r="R192" s="186">
        <f t="shared" si="315"/>
        <v>2.2644265887509132E-2</v>
      </c>
      <c r="S192" s="186">
        <f t="shared" si="315"/>
        <v>-1.3323464100666173E-2</v>
      </c>
      <c r="T192" s="186">
        <f t="shared" si="315"/>
        <v>-4.3165467625899279E-3</v>
      </c>
      <c r="U192" s="186">
        <f t="shared" si="315"/>
        <v>0.28214285714285714</v>
      </c>
      <c r="V192" s="186">
        <f t="shared" si="315"/>
        <v>-3.5587188612099642E-3</v>
      </c>
      <c r="W192" s="186">
        <f t="shared" si="315"/>
        <v>1.1065006915629323E-2</v>
      </c>
      <c r="X192" s="186">
        <f t="shared" si="315"/>
        <v>-8.0000000000000002E-3</v>
      </c>
      <c r="Y192" s="186">
        <f t="shared" si="315"/>
        <v>5.8032554847841471E-2</v>
      </c>
      <c r="Z192" s="186">
        <f t="shared" si="315"/>
        <v>-5.8651026392961877E-3</v>
      </c>
      <c r="AA192" s="186">
        <f>AA196/SUM(AA193:AA195)</f>
        <v>-1.0362694300518135E-2</v>
      </c>
      <c r="AB192" s="186">
        <f t="shared" ref="AB192:AF192" si="316">AB196/SUM(AB193:AB195)</f>
        <v>0.24962518740629686</v>
      </c>
      <c r="AC192" s="186">
        <f t="shared" si="316"/>
        <v>4.3072505384063172E-3</v>
      </c>
      <c r="AD192" s="186">
        <f t="shared" si="316"/>
        <v>-1.023391812865497E-2</v>
      </c>
      <c r="AE192" s="186">
        <f t="shared" si="316"/>
        <v>-3.5460992907801418E-3</v>
      </c>
      <c r="AF192" s="186">
        <f t="shared" si="316"/>
        <v>-1.5671641791044775E-2</v>
      </c>
      <c r="AG192" s="187">
        <f>AVERAGE(AC192:AF192,V192:AA192)</f>
        <v>1.6166637290372932E-3</v>
      </c>
      <c r="AH192" s="187">
        <f t="shared" si="302"/>
        <v>1.6166637290372932E-3</v>
      </c>
      <c r="AI192" s="187">
        <f t="shared" si="302"/>
        <v>1.6166637290372932E-3</v>
      </c>
      <c r="AJ192" s="187">
        <f t="shared" si="302"/>
        <v>1.6166637290372932E-3</v>
      </c>
      <c r="AK192" s="187">
        <f t="shared" si="302"/>
        <v>1.6166637290372932E-3</v>
      </c>
      <c r="AL192" s="187">
        <f t="shared" si="302"/>
        <v>1.6166637290372932E-3</v>
      </c>
      <c r="AM192" s="187">
        <f t="shared" si="302"/>
        <v>1.6166637290372932E-3</v>
      </c>
      <c r="AN192" s="187">
        <f t="shared" si="302"/>
        <v>1.6166637290372932E-3</v>
      </c>
      <c r="AO192" s="187">
        <f t="shared" si="302"/>
        <v>1.6166637290372932E-3</v>
      </c>
      <c r="AP192" s="187">
        <f t="shared" si="302"/>
        <v>1.6166637290372932E-3</v>
      </c>
      <c r="AQ192" s="187">
        <f t="shared" si="302"/>
        <v>1.6166637290372932E-3</v>
      </c>
      <c r="AR192" s="187">
        <f t="shared" si="302"/>
        <v>1.6166637290372932E-3</v>
      </c>
      <c r="AS192" s="187">
        <f t="shared" si="302"/>
        <v>1.6166637290372932E-3</v>
      </c>
      <c r="AT192" s="187">
        <f t="shared" ref="AT192" si="317">AS192</f>
        <v>1.6166637290372932E-3</v>
      </c>
      <c r="AU192" s="187">
        <f t="shared" ref="AU192" si="318">AT192</f>
        <v>1.6166637290372932E-3</v>
      </c>
      <c r="AV192" s="187">
        <f t="shared" ref="AV192" si="319">AU192</f>
        <v>1.6166637290372932E-3</v>
      </c>
      <c r="AW192" s="187">
        <f t="shared" ref="AW192" si="320">AV192</f>
        <v>1.6166637290372932E-3</v>
      </c>
    </row>
    <row r="193" spans="1:49" s="188" customFormat="1">
      <c r="A193" s="191" t="s">
        <v>67</v>
      </c>
      <c r="N193" s="192">
        <v>645</v>
      </c>
      <c r="O193" s="192">
        <v>643</v>
      </c>
      <c r="P193" s="192">
        <v>639</v>
      </c>
      <c r="Q193" s="192">
        <v>635</v>
      </c>
      <c r="R193" s="189">
        <v>599</v>
      </c>
      <c r="S193" s="189">
        <v>586</v>
      </c>
      <c r="T193" s="189">
        <v>591</v>
      </c>
      <c r="U193" s="189">
        <v>601</v>
      </c>
      <c r="V193" s="189">
        <v>611</v>
      </c>
      <c r="W193" s="189">
        <v>685</v>
      </c>
      <c r="X193" s="189">
        <v>708</v>
      </c>
      <c r="Y193" s="189">
        <v>753</v>
      </c>
      <c r="Z193" s="189">
        <v>732</v>
      </c>
      <c r="AA193" s="189">
        <v>683</v>
      </c>
      <c r="AB193" s="189">
        <v>724</v>
      </c>
      <c r="AC193" s="189">
        <v>745</v>
      </c>
      <c r="AD193" s="189">
        <v>726</v>
      </c>
      <c r="AE193" s="189">
        <v>717</v>
      </c>
      <c r="AF193" s="189">
        <v>724</v>
      </c>
      <c r="AG193" s="190">
        <f>AG189*AG215</f>
        <v>722.10353300484223</v>
      </c>
      <c r="AH193" s="190">
        <f t="shared" ref="AH193:AS193" si="321">AH189*AH215</f>
        <v>730.00117056839474</v>
      </c>
      <c r="AI193" s="190">
        <f t="shared" si="321"/>
        <v>737.98518449798667</v>
      </c>
      <c r="AJ193" s="190">
        <f t="shared" si="321"/>
        <v>746.05651949088372</v>
      </c>
      <c r="AK193" s="190">
        <f t="shared" si="321"/>
        <v>754.2161305764937</v>
      </c>
      <c r="AL193" s="190">
        <f t="shared" si="321"/>
        <v>762.21654263088658</v>
      </c>
      <c r="AM193" s="190">
        <f t="shared" si="321"/>
        <v>770.30181973979791</v>
      </c>
      <c r="AN193" s="190">
        <f t="shared" si="321"/>
        <v>778.47286211654546</v>
      </c>
      <c r="AO193" s="190">
        <f t="shared" si="321"/>
        <v>786.73057952353656</v>
      </c>
      <c r="AP193" s="190">
        <f t="shared" si="321"/>
        <v>794.79407592786174</v>
      </c>
      <c r="AQ193" s="190">
        <f t="shared" si="321"/>
        <v>802.94021812727203</v>
      </c>
      <c r="AR193" s="190">
        <f t="shared" si="321"/>
        <v>811.16985318947889</v>
      </c>
      <c r="AS193" s="190">
        <f t="shared" si="321"/>
        <v>819.48383686410807</v>
      </c>
      <c r="AT193" s="190">
        <f t="shared" ref="AT193:AW193" si="322">AT189*AT215</f>
        <v>827.58796063772354</v>
      </c>
      <c r="AU193" s="190">
        <f t="shared" si="322"/>
        <v>835.77222854497973</v>
      </c>
      <c r="AV193" s="190">
        <f t="shared" si="322"/>
        <v>844.03743315547911</v>
      </c>
      <c r="AW193" s="190">
        <f t="shared" si="322"/>
        <v>852.38437487678482</v>
      </c>
    </row>
    <row r="194" spans="1:49" s="202" customFormat="1">
      <c r="A194" s="191" t="s">
        <v>83</v>
      </c>
      <c r="N194" s="192">
        <v>417</v>
      </c>
      <c r="O194" s="192">
        <v>419</v>
      </c>
      <c r="P194" s="192">
        <v>420</v>
      </c>
      <c r="Q194" s="192">
        <v>404</v>
      </c>
      <c r="R194" s="189">
        <v>426</v>
      </c>
      <c r="S194" s="189">
        <v>413</v>
      </c>
      <c r="T194" s="189">
        <v>420</v>
      </c>
      <c r="U194" s="189">
        <v>412</v>
      </c>
      <c r="V194" s="189">
        <v>412</v>
      </c>
      <c r="W194" s="189">
        <v>412</v>
      </c>
      <c r="X194" s="189">
        <v>372</v>
      </c>
      <c r="Y194" s="189">
        <v>373</v>
      </c>
      <c r="Z194" s="189">
        <v>344</v>
      </c>
      <c r="AA194" s="189">
        <v>363</v>
      </c>
      <c r="AB194" s="189">
        <v>361</v>
      </c>
      <c r="AC194" s="189">
        <v>378</v>
      </c>
      <c r="AD194" s="189">
        <v>362</v>
      </c>
      <c r="AE194" s="189">
        <v>363</v>
      </c>
      <c r="AF194" s="189">
        <v>354</v>
      </c>
      <c r="AG194" s="783">
        <f t="shared" ref="AG194:AS194" si="323">AG190*AG222</f>
        <v>377.80149847076251</v>
      </c>
      <c r="AH194" s="783">
        <f t="shared" si="323"/>
        <v>379.53932644058074</v>
      </c>
      <c r="AI194" s="783">
        <f t="shared" si="323"/>
        <v>381.28514814802287</v>
      </c>
      <c r="AJ194" s="783">
        <f t="shared" si="323"/>
        <v>383.03900036303514</v>
      </c>
      <c r="AK194" s="783">
        <f t="shared" si="323"/>
        <v>384.80092002470008</v>
      </c>
      <c r="AL194" s="783">
        <f t="shared" si="323"/>
        <v>386.57094424201392</v>
      </c>
      <c r="AM194" s="783">
        <f t="shared" si="323"/>
        <v>388.34911029466866</v>
      </c>
      <c r="AN194" s="783">
        <f t="shared" si="323"/>
        <v>390.13545563383713</v>
      </c>
      <c r="AO194" s="783">
        <f t="shared" si="323"/>
        <v>391.93001788296158</v>
      </c>
      <c r="AP194" s="783">
        <f t="shared" si="323"/>
        <v>393.73283483854624</v>
      </c>
      <c r="AQ194" s="783">
        <f t="shared" si="323"/>
        <v>395.54394447095336</v>
      </c>
      <c r="AR194" s="783">
        <f t="shared" si="323"/>
        <v>397.36338492520304</v>
      </c>
      <c r="AS194" s="783">
        <f t="shared" si="323"/>
        <v>399.19119452177642</v>
      </c>
      <c r="AT194" s="783">
        <f t="shared" ref="AT194:AW194" si="324">AT190*AT222</f>
        <v>401.0274117574229</v>
      </c>
      <c r="AU194" s="783">
        <f t="shared" si="324"/>
        <v>402.87207530597101</v>
      </c>
      <c r="AV194" s="783">
        <f t="shared" si="324"/>
        <v>404.72522401914273</v>
      </c>
      <c r="AW194" s="783">
        <f t="shared" si="324"/>
        <v>406.58689692737198</v>
      </c>
    </row>
    <row r="195" spans="1:49" s="202" customFormat="1">
      <c r="A195" s="191" t="s">
        <v>84</v>
      </c>
      <c r="N195" s="192">
        <v>336</v>
      </c>
      <c r="O195" s="192">
        <v>396</v>
      </c>
      <c r="P195" s="192">
        <v>309</v>
      </c>
      <c r="Q195" s="192">
        <v>304</v>
      </c>
      <c r="R195" s="189">
        <v>344</v>
      </c>
      <c r="S195" s="189">
        <v>352</v>
      </c>
      <c r="T195" s="189">
        <v>379</v>
      </c>
      <c r="U195" s="189">
        <v>387</v>
      </c>
      <c r="V195" s="189">
        <v>382</v>
      </c>
      <c r="W195" s="189">
        <v>349</v>
      </c>
      <c r="X195" s="189">
        <v>295</v>
      </c>
      <c r="Y195" s="189">
        <v>287</v>
      </c>
      <c r="Z195" s="189">
        <v>288</v>
      </c>
      <c r="AA195" s="189">
        <v>305</v>
      </c>
      <c r="AB195" s="189">
        <v>249</v>
      </c>
      <c r="AC195" s="189">
        <v>270</v>
      </c>
      <c r="AD195" s="189">
        <v>280</v>
      </c>
      <c r="AE195" s="189">
        <v>330</v>
      </c>
      <c r="AF195" s="189">
        <v>262</v>
      </c>
      <c r="AG195" s="783">
        <f t="shared" ref="AG195:AS195" si="325">AG191*AG222</f>
        <v>282.11204952314216</v>
      </c>
      <c r="AH195" s="783">
        <f t="shared" si="325"/>
        <v>285.52593589128242</v>
      </c>
      <c r="AI195" s="783">
        <f t="shared" si="325"/>
        <v>333.85011388190179</v>
      </c>
      <c r="AJ195" s="783">
        <f t="shared" si="325"/>
        <v>266.85399993000175</v>
      </c>
      <c r="AK195" s="783">
        <f t="shared" si="325"/>
        <v>287.33865970878327</v>
      </c>
      <c r="AL195" s="783">
        <f t="shared" si="325"/>
        <v>290.81579418452657</v>
      </c>
      <c r="AM195" s="783">
        <f t="shared" si="325"/>
        <v>340.03526055905377</v>
      </c>
      <c r="AN195" s="783">
        <f t="shared" si="325"/>
        <v>271.79792854443269</v>
      </c>
      <c r="AO195" s="783">
        <f t="shared" si="325"/>
        <v>292.6621018237193</v>
      </c>
      <c r="AP195" s="783">
        <f t="shared" si="325"/>
        <v>296.20365618687435</v>
      </c>
      <c r="AQ195" s="783">
        <f t="shared" si="325"/>
        <v>346.33499770009121</v>
      </c>
      <c r="AR195" s="783">
        <f t="shared" si="325"/>
        <v>276.83345192660568</v>
      </c>
      <c r="AS195" s="783">
        <f t="shared" si="325"/>
        <v>298.08416984572887</v>
      </c>
      <c r="AT195" s="783">
        <f t="shared" ref="AT195:AW195" si="326">AT191*AT222</f>
        <v>301.69133758533746</v>
      </c>
      <c r="AU195" s="783">
        <f t="shared" si="326"/>
        <v>352.75144829014232</v>
      </c>
      <c r="AV195" s="783">
        <f t="shared" si="326"/>
        <v>281.96226702688773</v>
      </c>
      <c r="AW195" s="783">
        <f t="shared" si="326"/>
        <v>303.60669098910984</v>
      </c>
    </row>
    <row r="196" spans="1:49" s="188" customFormat="1">
      <c r="A196" s="191" t="s">
        <v>70</v>
      </c>
      <c r="N196" s="192">
        <v>-6</v>
      </c>
      <c r="O196" s="192">
        <v>-11</v>
      </c>
      <c r="P196" s="192">
        <v>-2</v>
      </c>
      <c r="Q196" s="192">
        <v>64</v>
      </c>
      <c r="R196" s="189">
        <v>31</v>
      </c>
      <c r="S196" s="189">
        <v>-18</v>
      </c>
      <c r="T196" s="189">
        <v>-6</v>
      </c>
      <c r="U196" s="189">
        <v>395</v>
      </c>
      <c r="V196" s="189">
        <v>-5</v>
      </c>
      <c r="W196" s="189">
        <v>16</v>
      </c>
      <c r="X196" s="189">
        <v>-11</v>
      </c>
      <c r="Y196" s="189">
        <v>82</v>
      </c>
      <c r="Z196" s="189">
        <v>-8</v>
      </c>
      <c r="AA196" s="189">
        <v>-14</v>
      </c>
      <c r="AB196" s="189">
        <v>333</v>
      </c>
      <c r="AC196" s="189">
        <v>6</v>
      </c>
      <c r="AD196" s="189">
        <v>-14</v>
      </c>
      <c r="AE196" s="189">
        <v>-5</v>
      </c>
      <c r="AF196" s="189">
        <v>-21</v>
      </c>
      <c r="AG196" s="190">
        <f t="shared" ref="AG196:AS196" si="327">AG192*SUM(AG193:AG195)</f>
        <v>2.2342568877606692</v>
      </c>
      <c r="AH196" s="190">
        <f t="shared" si="327"/>
        <v>2.2553533016672858</v>
      </c>
      <c r="AI196" s="190">
        <f t="shared" si="327"/>
        <v>2.3492071198241495</v>
      </c>
      <c r="AJ196" s="190">
        <f t="shared" si="327"/>
        <v>2.2567809562016916</v>
      </c>
      <c r="AK196" s="190">
        <f t="shared" si="327"/>
        <v>2.3059375415633645</v>
      </c>
      <c r="AL196" s="190">
        <f t="shared" si="327"/>
        <v>2.3273544086886222</v>
      </c>
      <c r="AM196" s="190">
        <f t="shared" si="327"/>
        <v>2.4228716055416157</v>
      </c>
      <c r="AN196" s="190">
        <f t="shared" si="327"/>
        <v>2.3286525334635861</v>
      </c>
      <c r="AO196" s="190">
        <f t="shared" si="327"/>
        <v>2.3786340415547391</v>
      </c>
      <c r="AP196" s="190">
        <f t="shared" si="327"/>
        <v>2.4003100549863481</v>
      </c>
      <c r="AQ196" s="190">
        <f t="shared" si="327"/>
        <v>2.4974531043761363</v>
      </c>
      <c r="AR196" s="190">
        <f t="shared" si="327"/>
        <v>2.401338452109929</v>
      </c>
      <c r="AS196" s="190">
        <f t="shared" si="327"/>
        <v>2.4520895863147261</v>
      </c>
      <c r="AT196" s="190">
        <f t="shared" ref="AT196:AW196" si="328">AT192*SUM(AT193:AT195)</f>
        <v>2.4739913523278405</v>
      </c>
      <c r="AU196" s="190">
        <f t="shared" si="328"/>
        <v>2.5727517910305275</v>
      </c>
      <c r="AV196" s="190">
        <f t="shared" si="328"/>
        <v>2.4746674640899404</v>
      </c>
      <c r="AW196" s="190">
        <f t="shared" si="328"/>
        <v>2.5261631162408595</v>
      </c>
    </row>
    <row r="197" spans="1:49" s="194" customFormat="1" ht="16.5" thickBot="1">
      <c r="A197" s="193" t="s">
        <v>5</v>
      </c>
      <c r="N197" s="195">
        <v>1392</v>
      </c>
      <c r="O197" s="195">
        <v>1447</v>
      </c>
      <c r="P197" s="195">
        <v>1366</v>
      </c>
      <c r="Q197" s="195">
        <v>1407</v>
      </c>
      <c r="R197" s="196">
        <v>1400</v>
      </c>
      <c r="S197" s="196">
        <v>1333</v>
      </c>
      <c r="T197" s="196">
        <v>1384</v>
      </c>
      <c r="U197" s="196">
        <v>1795</v>
      </c>
      <c r="V197" s="196">
        <v>1400</v>
      </c>
      <c r="W197" s="196">
        <v>1462</v>
      </c>
      <c r="X197" s="196">
        <v>1364</v>
      </c>
      <c r="Y197" s="196">
        <v>1495</v>
      </c>
      <c r="Z197" s="196">
        <v>1356</v>
      </c>
      <c r="AA197" s="196">
        <v>1337</v>
      </c>
      <c r="AB197" s="196">
        <f>SUM(AB193:AB196)</f>
        <v>1667</v>
      </c>
      <c r="AC197" s="196">
        <f>SUM(AC193:AC196)</f>
        <v>1399</v>
      </c>
      <c r="AD197" s="196">
        <f t="shared" ref="AD197:AF197" si="329">SUM(AD193:AD196)</f>
        <v>1354</v>
      </c>
      <c r="AE197" s="196">
        <f t="shared" si="329"/>
        <v>1405</v>
      </c>
      <c r="AF197" s="196">
        <f t="shared" si="329"/>
        <v>1319</v>
      </c>
      <c r="AG197" s="197">
        <f t="shared" ref="AG197:AS197" si="330">SUM(AG193:AG196)</f>
        <v>1384.2513378865076</v>
      </c>
      <c r="AH197" s="197">
        <f t="shared" si="330"/>
        <v>1397.3217862019253</v>
      </c>
      <c r="AI197" s="197">
        <f t="shared" si="330"/>
        <v>1455.4696536477354</v>
      </c>
      <c r="AJ197" s="197">
        <f t="shared" si="330"/>
        <v>1398.2063007401223</v>
      </c>
      <c r="AK197" s="197">
        <f t="shared" si="330"/>
        <v>1428.6616478515402</v>
      </c>
      <c r="AL197" s="197">
        <f t="shared" si="330"/>
        <v>1441.9306354661157</v>
      </c>
      <c r="AM197" s="197">
        <f t="shared" si="330"/>
        <v>1501.1090621990618</v>
      </c>
      <c r="AN197" s="197">
        <f t="shared" si="330"/>
        <v>1442.734898828279</v>
      </c>
      <c r="AO197" s="197">
        <f t="shared" si="330"/>
        <v>1473.7013332717722</v>
      </c>
      <c r="AP197" s="197">
        <f t="shared" si="330"/>
        <v>1487.130877008269</v>
      </c>
      <c r="AQ197" s="197">
        <f t="shared" si="330"/>
        <v>1547.3166134026926</v>
      </c>
      <c r="AR197" s="197">
        <f t="shared" si="330"/>
        <v>1487.7680284933974</v>
      </c>
      <c r="AS197" s="197">
        <f t="shared" si="330"/>
        <v>1519.2112908179281</v>
      </c>
      <c r="AT197" s="197">
        <f t="shared" ref="AT197:AW197" si="331">SUM(AT193:AT196)</f>
        <v>1532.7807013328118</v>
      </c>
      <c r="AU197" s="197">
        <f t="shared" si="331"/>
        <v>1593.9685039321234</v>
      </c>
      <c r="AV197" s="197">
        <f t="shared" si="331"/>
        <v>1533.1995916655994</v>
      </c>
      <c r="AW197" s="197">
        <f t="shared" si="331"/>
        <v>1565.1041259095077</v>
      </c>
    </row>
    <row r="198" spans="1:49" s="188" customFormat="1">
      <c r="A198" s="191" t="s">
        <v>85</v>
      </c>
      <c r="N198" s="192">
        <v>37</v>
      </c>
      <c r="O198" s="192">
        <v>48</v>
      </c>
      <c r="P198" s="192">
        <v>40</v>
      </c>
      <c r="Q198" s="192">
        <v>53</v>
      </c>
      <c r="R198" s="189">
        <v>34</v>
      </c>
      <c r="S198" s="189">
        <v>46</v>
      </c>
      <c r="T198" s="189">
        <v>37</v>
      </c>
      <c r="U198" s="189">
        <v>46</v>
      </c>
      <c r="V198" s="189">
        <v>37</v>
      </c>
      <c r="W198" s="189">
        <v>51</v>
      </c>
      <c r="X198" s="189">
        <v>57</v>
      </c>
      <c r="Y198" s="189">
        <v>60</v>
      </c>
      <c r="Z198" s="189">
        <v>26</v>
      </c>
      <c r="AA198" s="189">
        <v>33</v>
      </c>
      <c r="AB198" s="189">
        <v>45</v>
      </c>
      <c r="AC198" s="189">
        <v>46</v>
      </c>
      <c r="AD198" s="189">
        <v>38</v>
      </c>
      <c r="AE198" s="189">
        <v>52</v>
      </c>
      <c r="AF198" s="189">
        <v>36</v>
      </c>
      <c r="AG198" s="198">
        <f>AVERAGE(Y198:AF198)</f>
        <v>42</v>
      </c>
      <c r="AH198" s="198">
        <f t="shared" ref="AH198:AS198" si="332">AG198</f>
        <v>42</v>
      </c>
      <c r="AI198" s="198">
        <f t="shared" si="332"/>
        <v>42</v>
      </c>
      <c r="AJ198" s="198">
        <f t="shared" si="332"/>
        <v>42</v>
      </c>
      <c r="AK198" s="198">
        <f t="shared" si="332"/>
        <v>42</v>
      </c>
      <c r="AL198" s="198">
        <f t="shared" si="332"/>
        <v>42</v>
      </c>
      <c r="AM198" s="198">
        <f t="shared" si="332"/>
        <v>42</v>
      </c>
      <c r="AN198" s="198">
        <f t="shared" si="332"/>
        <v>42</v>
      </c>
      <c r="AO198" s="198">
        <f t="shared" si="332"/>
        <v>42</v>
      </c>
      <c r="AP198" s="198">
        <f t="shared" si="332"/>
        <v>42</v>
      </c>
      <c r="AQ198" s="198">
        <f t="shared" si="332"/>
        <v>42</v>
      </c>
      <c r="AR198" s="198">
        <f t="shared" si="332"/>
        <v>42</v>
      </c>
      <c r="AS198" s="198">
        <f t="shared" si="332"/>
        <v>42</v>
      </c>
      <c r="AT198" s="198">
        <f t="shared" ref="AT198:AT199" si="333">AS198</f>
        <v>42</v>
      </c>
      <c r="AU198" s="198">
        <f t="shared" ref="AU198:AU199" si="334">AT198</f>
        <v>42</v>
      </c>
      <c r="AV198" s="198">
        <f t="shared" ref="AV198:AV199" si="335">AU198</f>
        <v>42</v>
      </c>
      <c r="AW198" s="198">
        <f t="shared" ref="AW198:AW199" si="336">AV198</f>
        <v>42</v>
      </c>
    </row>
    <row r="199" spans="1:49" s="178" customFormat="1">
      <c r="A199" s="203" t="s">
        <v>86</v>
      </c>
      <c r="N199" s="204">
        <v>-20</v>
      </c>
      <c r="O199" s="204">
        <v>-38</v>
      </c>
      <c r="P199" s="204">
        <v>-18</v>
      </c>
      <c r="Q199" s="204">
        <v>-31</v>
      </c>
      <c r="R199" s="796">
        <v>-16</v>
      </c>
      <c r="S199" s="796">
        <v>-19</v>
      </c>
      <c r="T199" s="796">
        <v>-17</v>
      </c>
      <c r="U199" s="796">
        <v>-17</v>
      </c>
      <c r="V199" s="796">
        <v>-14</v>
      </c>
      <c r="W199" s="796">
        <v>-18</v>
      </c>
      <c r="X199" s="796">
        <v>-18</v>
      </c>
      <c r="Y199" s="796">
        <v>-17</v>
      </c>
      <c r="Z199" s="796">
        <v>-20</v>
      </c>
      <c r="AA199" s="796">
        <v>-24</v>
      </c>
      <c r="AB199" s="796">
        <v>-15</v>
      </c>
      <c r="AC199" s="796">
        <v>-12</v>
      </c>
      <c r="AD199" s="796">
        <v>-28</v>
      </c>
      <c r="AE199" s="796">
        <v>-16</v>
      </c>
      <c r="AF199" s="796">
        <v>-22</v>
      </c>
      <c r="AG199" s="797">
        <f>SUM(N199:AF199)/SUM(N198:AF198)*AG198</f>
        <v>-19.416058394160583</v>
      </c>
      <c r="AH199" s="797">
        <f t="shared" ref="AH199:AS199" si="337">AG199</f>
        <v>-19.416058394160583</v>
      </c>
      <c r="AI199" s="797">
        <f t="shared" si="337"/>
        <v>-19.416058394160583</v>
      </c>
      <c r="AJ199" s="797">
        <f t="shared" si="337"/>
        <v>-19.416058394160583</v>
      </c>
      <c r="AK199" s="797">
        <f t="shared" si="337"/>
        <v>-19.416058394160583</v>
      </c>
      <c r="AL199" s="797">
        <f t="shared" si="337"/>
        <v>-19.416058394160583</v>
      </c>
      <c r="AM199" s="797">
        <f t="shared" si="337"/>
        <v>-19.416058394160583</v>
      </c>
      <c r="AN199" s="797">
        <f t="shared" si="337"/>
        <v>-19.416058394160583</v>
      </c>
      <c r="AO199" s="797">
        <f t="shared" si="337"/>
        <v>-19.416058394160583</v>
      </c>
      <c r="AP199" s="797">
        <f t="shared" si="337"/>
        <v>-19.416058394160583</v>
      </c>
      <c r="AQ199" s="797">
        <f t="shared" si="337"/>
        <v>-19.416058394160583</v>
      </c>
      <c r="AR199" s="797">
        <f t="shared" si="337"/>
        <v>-19.416058394160583</v>
      </c>
      <c r="AS199" s="797">
        <f t="shared" si="337"/>
        <v>-19.416058394160583</v>
      </c>
      <c r="AT199" s="797">
        <f t="shared" si="333"/>
        <v>-19.416058394160583</v>
      </c>
      <c r="AU199" s="797">
        <f t="shared" si="334"/>
        <v>-19.416058394160583</v>
      </c>
      <c r="AV199" s="797">
        <f t="shared" si="335"/>
        <v>-19.416058394160583</v>
      </c>
      <c r="AW199" s="797">
        <f t="shared" si="336"/>
        <v>-19.416058394160583</v>
      </c>
    </row>
    <row r="200" spans="1:49" s="208" customFormat="1" ht="16.5" thickBot="1">
      <c r="A200" s="794" t="s">
        <v>6</v>
      </c>
      <c r="N200" s="795">
        <v>17</v>
      </c>
      <c r="O200" s="795">
        <v>10</v>
      </c>
      <c r="P200" s="795">
        <v>22</v>
      </c>
      <c r="Q200" s="795">
        <v>22</v>
      </c>
      <c r="R200" s="556">
        <v>18</v>
      </c>
      <c r="S200" s="556">
        <v>27</v>
      </c>
      <c r="T200" s="556">
        <v>20</v>
      </c>
      <c r="U200" s="556">
        <v>29</v>
      </c>
      <c r="V200" s="556">
        <v>23</v>
      </c>
      <c r="W200" s="556">
        <v>33</v>
      </c>
      <c r="X200" s="556">
        <v>39</v>
      </c>
      <c r="Y200" s="556">
        <v>43</v>
      </c>
      <c r="Z200" s="556">
        <v>6</v>
      </c>
      <c r="AA200" s="556">
        <v>9</v>
      </c>
      <c r="AB200" s="556">
        <v>30</v>
      </c>
      <c r="AC200" s="556">
        <f t="shared" ref="AC200:AS200" si="338">AC198+AC199</f>
        <v>34</v>
      </c>
      <c r="AD200" s="556">
        <f t="shared" ref="AD200:AF200" si="339">AD198+AD199</f>
        <v>10</v>
      </c>
      <c r="AE200" s="556">
        <f t="shared" si="339"/>
        <v>36</v>
      </c>
      <c r="AF200" s="556">
        <f t="shared" si="339"/>
        <v>14</v>
      </c>
      <c r="AG200" s="553">
        <f t="shared" si="338"/>
        <v>22.583941605839417</v>
      </c>
      <c r="AH200" s="553">
        <f t="shared" si="338"/>
        <v>22.583941605839417</v>
      </c>
      <c r="AI200" s="553">
        <f t="shared" si="338"/>
        <v>22.583941605839417</v>
      </c>
      <c r="AJ200" s="553">
        <f t="shared" si="338"/>
        <v>22.583941605839417</v>
      </c>
      <c r="AK200" s="553">
        <f t="shared" si="338"/>
        <v>22.583941605839417</v>
      </c>
      <c r="AL200" s="553">
        <f t="shared" si="338"/>
        <v>22.583941605839417</v>
      </c>
      <c r="AM200" s="553">
        <f t="shared" si="338"/>
        <v>22.583941605839417</v>
      </c>
      <c r="AN200" s="553">
        <f t="shared" si="338"/>
        <v>22.583941605839417</v>
      </c>
      <c r="AO200" s="553">
        <f t="shared" si="338"/>
        <v>22.583941605839417</v>
      </c>
      <c r="AP200" s="553">
        <f t="shared" si="338"/>
        <v>22.583941605839417</v>
      </c>
      <c r="AQ200" s="553">
        <f t="shared" si="338"/>
        <v>22.583941605839417</v>
      </c>
      <c r="AR200" s="553">
        <f t="shared" si="338"/>
        <v>22.583941605839417</v>
      </c>
      <c r="AS200" s="553">
        <f t="shared" si="338"/>
        <v>22.583941605839417</v>
      </c>
      <c r="AT200" s="553">
        <f t="shared" ref="AT200:AW200" si="340">AT198+AT199</f>
        <v>22.583941605839417</v>
      </c>
      <c r="AU200" s="553">
        <f t="shared" si="340"/>
        <v>22.583941605839417</v>
      </c>
      <c r="AV200" s="553">
        <f t="shared" si="340"/>
        <v>22.583941605839417</v>
      </c>
      <c r="AW200" s="553">
        <f t="shared" si="340"/>
        <v>22.583941605839417</v>
      </c>
    </row>
    <row r="201" spans="1:49" s="188" customFormat="1">
      <c r="A201" s="191" t="s">
        <v>7</v>
      </c>
      <c r="N201" s="199">
        <v>497</v>
      </c>
      <c r="O201" s="199">
        <v>519</v>
      </c>
      <c r="P201" s="199">
        <v>496</v>
      </c>
      <c r="Q201" s="199">
        <v>554</v>
      </c>
      <c r="R201" s="200">
        <v>477</v>
      </c>
      <c r="S201" s="200">
        <v>480</v>
      </c>
      <c r="T201" s="200">
        <v>455</v>
      </c>
      <c r="U201" s="200">
        <v>493</v>
      </c>
      <c r="V201" s="200">
        <v>485</v>
      </c>
      <c r="W201" s="200">
        <v>496</v>
      </c>
      <c r="X201" s="200">
        <v>469</v>
      </c>
      <c r="Y201" s="200">
        <v>535</v>
      </c>
      <c r="Z201" s="200">
        <v>476</v>
      </c>
      <c r="AA201" s="200">
        <v>490</v>
      </c>
      <c r="AB201" s="200">
        <v>474</v>
      </c>
      <c r="AC201" s="200">
        <v>497</v>
      </c>
      <c r="AD201" s="200">
        <v>452</v>
      </c>
      <c r="AE201" s="200">
        <v>466</v>
      </c>
      <c r="AF201" s="200">
        <v>462</v>
      </c>
      <c r="AG201" s="201"/>
      <c r="AH201" s="201"/>
      <c r="AI201" s="201"/>
      <c r="AJ201" s="201"/>
      <c r="AK201" s="201"/>
      <c r="AL201" s="201"/>
      <c r="AM201" s="201"/>
      <c r="AN201" s="201"/>
      <c r="AO201" s="201"/>
      <c r="AP201" s="201"/>
      <c r="AQ201" s="201"/>
      <c r="AR201" s="201"/>
      <c r="AS201" s="201"/>
      <c r="AT201" s="201"/>
      <c r="AU201" s="201"/>
      <c r="AV201" s="201"/>
      <c r="AW201" s="201"/>
    </row>
    <row r="202" spans="1:49" s="202" customFormat="1">
      <c r="A202" s="191" t="s">
        <v>8</v>
      </c>
      <c r="N202" s="192">
        <v>373</v>
      </c>
      <c r="O202" s="192">
        <v>348</v>
      </c>
      <c r="P202" s="192">
        <v>342</v>
      </c>
      <c r="Q202" s="192">
        <v>334</v>
      </c>
      <c r="R202" s="189">
        <v>362</v>
      </c>
      <c r="S202" s="189">
        <v>391</v>
      </c>
      <c r="T202" s="189">
        <v>389</v>
      </c>
      <c r="U202" s="189">
        <v>444</v>
      </c>
      <c r="V202" s="189">
        <v>377</v>
      </c>
      <c r="W202" s="189">
        <v>395</v>
      </c>
      <c r="X202" s="189">
        <v>387</v>
      </c>
      <c r="Y202" s="189">
        <v>438</v>
      </c>
      <c r="Z202" s="189">
        <v>330</v>
      </c>
      <c r="AA202" s="189">
        <v>309</v>
      </c>
      <c r="AB202" s="189">
        <v>320</v>
      </c>
      <c r="AC202" s="189">
        <v>416</v>
      </c>
      <c r="AD202" s="189">
        <v>356</v>
      </c>
      <c r="AE202" s="189">
        <v>327</v>
      </c>
      <c r="AF202" s="189">
        <v>340</v>
      </c>
      <c r="AG202" s="201"/>
      <c r="AH202" s="201"/>
      <c r="AI202" s="201"/>
      <c r="AJ202" s="201"/>
      <c r="AK202" s="201"/>
      <c r="AL202" s="201"/>
      <c r="AM202" s="201"/>
      <c r="AN202" s="201"/>
      <c r="AO202" s="201"/>
      <c r="AP202" s="201"/>
      <c r="AQ202" s="201"/>
      <c r="AR202" s="201"/>
      <c r="AS202" s="201"/>
      <c r="AT202" s="201"/>
      <c r="AU202" s="201"/>
      <c r="AV202" s="201"/>
      <c r="AW202" s="201"/>
    </row>
    <row r="203" spans="1:49" s="202" customFormat="1">
      <c r="A203" s="191" t="s">
        <v>9</v>
      </c>
      <c r="N203" s="192">
        <v>93</v>
      </c>
      <c r="O203" s="192">
        <v>88</v>
      </c>
      <c r="P203" s="192">
        <v>78</v>
      </c>
      <c r="Q203" s="192">
        <v>79</v>
      </c>
      <c r="R203" s="189">
        <v>78</v>
      </c>
      <c r="S203" s="189">
        <v>76</v>
      </c>
      <c r="T203" s="189">
        <v>74</v>
      </c>
      <c r="U203" s="189">
        <v>75</v>
      </c>
      <c r="V203" s="189">
        <v>72</v>
      </c>
      <c r="W203" s="189">
        <v>70</v>
      </c>
      <c r="X203" s="189">
        <v>69</v>
      </c>
      <c r="Y203" s="189">
        <v>73</v>
      </c>
      <c r="Z203" s="189">
        <v>72</v>
      </c>
      <c r="AA203" s="189">
        <v>72</v>
      </c>
      <c r="AB203" s="189">
        <v>66</v>
      </c>
      <c r="AC203" s="189">
        <v>73</v>
      </c>
      <c r="AD203" s="189">
        <v>80</v>
      </c>
      <c r="AE203" s="189">
        <v>78</v>
      </c>
      <c r="AF203" s="189">
        <v>64</v>
      </c>
      <c r="AG203" s="900"/>
      <c r="AH203" s="900"/>
      <c r="AI203" s="900"/>
      <c r="AJ203" s="900"/>
      <c r="AK203" s="900"/>
      <c r="AL203" s="900"/>
      <c r="AM203" s="900"/>
      <c r="AN203" s="900"/>
      <c r="AO203" s="900"/>
      <c r="AP203" s="900"/>
      <c r="AQ203" s="900"/>
      <c r="AR203" s="900"/>
      <c r="AS203" s="900"/>
      <c r="AT203" s="900"/>
      <c r="AU203" s="900"/>
      <c r="AV203" s="900"/>
      <c r="AW203" s="900"/>
    </row>
    <row r="204" spans="1:49" s="178" customFormat="1">
      <c r="A204" s="203" t="s">
        <v>10</v>
      </c>
      <c r="N204" s="204">
        <v>0</v>
      </c>
      <c r="O204" s="204">
        <v>0</v>
      </c>
      <c r="P204" s="204">
        <v>0</v>
      </c>
      <c r="Q204" s="204">
        <v>0</v>
      </c>
      <c r="R204" s="205">
        <v>0</v>
      </c>
      <c r="S204" s="205">
        <v>0</v>
      </c>
      <c r="T204" s="205">
        <v>0</v>
      </c>
      <c r="U204" s="205">
        <v>0</v>
      </c>
      <c r="V204" s="205">
        <v>0</v>
      </c>
      <c r="W204" s="205">
        <v>0</v>
      </c>
      <c r="X204" s="205">
        <v>0</v>
      </c>
      <c r="Y204" s="205">
        <v>42</v>
      </c>
      <c r="Z204" s="205">
        <v>40</v>
      </c>
      <c r="AA204" s="205">
        <v>4</v>
      </c>
      <c r="AB204" s="205">
        <v>19</v>
      </c>
      <c r="AC204" s="205">
        <v>-3</v>
      </c>
      <c r="AD204" s="205">
        <v>52</v>
      </c>
      <c r="AE204" s="205">
        <v>-4</v>
      </c>
      <c r="AF204" s="205">
        <v>13</v>
      </c>
      <c r="AG204" s="206"/>
      <c r="AH204" s="206"/>
      <c r="AI204" s="206"/>
      <c r="AJ204" s="206"/>
      <c r="AK204" s="206"/>
      <c r="AL204" s="206"/>
      <c r="AM204" s="206"/>
      <c r="AN204" s="206"/>
      <c r="AO204" s="206"/>
      <c r="AP204" s="206"/>
      <c r="AQ204" s="206"/>
      <c r="AR204" s="206"/>
      <c r="AS204" s="206"/>
      <c r="AT204" s="206"/>
      <c r="AU204" s="206"/>
      <c r="AV204" s="206"/>
      <c r="AW204" s="206"/>
    </row>
    <row r="205" spans="1:49" s="188" customFormat="1">
      <c r="A205" s="191" t="s">
        <v>11</v>
      </c>
      <c r="N205" s="192">
        <v>466</v>
      </c>
      <c r="O205" s="192">
        <v>436</v>
      </c>
      <c r="P205" s="192">
        <v>420</v>
      </c>
      <c r="Q205" s="192">
        <v>413</v>
      </c>
      <c r="R205" s="189">
        <v>440</v>
      </c>
      <c r="S205" s="189">
        <v>467</v>
      </c>
      <c r="T205" s="189">
        <v>463</v>
      </c>
      <c r="U205" s="189">
        <v>519</v>
      </c>
      <c r="V205" s="189">
        <v>449</v>
      </c>
      <c r="W205" s="189">
        <v>465</v>
      </c>
      <c r="X205" s="189">
        <v>456</v>
      </c>
      <c r="Y205" s="189">
        <v>553</v>
      </c>
      <c r="Z205" s="189">
        <v>442</v>
      </c>
      <c r="AA205" s="189">
        <v>385</v>
      </c>
      <c r="AB205" s="189">
        <v>405</v>
      </c>
      <c r="AC205" s="189">
        <v>486</v>
      </c>
      <c r="AD205" s="189">
        <v>488</v>
      </c>
      <c r="AE205" s="189">
        <v>401</v>
      </c>
      <c r="AF205" s="189">
        <v>417</v>
      </c>
      <c r="AG205" s="190"/>
      <c r="AH205" s="190"/>
      <c r="AI205" s="190"/>
      <c r="AJ205" s="190"/>
      <c r="AK205" s="190"/>
      <c r="AL205" s="190"/>
      <c r="AM205" s="190"/>
      <c r="AN205" s="190"/>
      <c r="AO205" s="190"/>
      <c r="AP205" s="190"/>
      <c r="AQ205" s="190"/>
      <c r="AR205" s="190"/>
      <c r="AS205" s="190"/>
      <c r="AT205" s="190"/>
      <c r="AU205" s="190"/>
      <c r="AV205" s="190"/>
      <c r="AW205" s="190"/>
    </row>
    <row r="206" spans="1:49" s="194" customFormat="1" ht="16.5" thickBot="1">
      <c r="A206" s="193" t="s">
        <v>12</v>
      </c>
      <c r="N206" s="195">
        <v>963</v>
      </c>
      <c r="O206" s="195">
        <v>955</v>
      </c>
      <c r="P206" s="195">
        <v>916</v>
      </c>
      <c r="Q206" s="195">
        <v>967</v>
      </c>
      <c r="R206" s="196">
        <v>917</v>
      </c>
      <c r="S206" s="196">
        <v>947</v>
      </c>
      <c r="T206" s="196">
        <v>918</v>
      </c>
      <c r="U206" s="196">
        <v>1012</v>
      </c>
      <c r="V206" s="196">
        <v>934</v>
      </c>
      <c r="W206" s="196">
        <v>961</v>
      </c>
      <c r="X206" s="196">
        <v>925</v>
      </c>
      <c r="Y206" s="196">
        <v>1088</v>
      </c>
      <c r="Z206" s="196">
        <v>918</v>
      </c>
      <c r="AA206" s="196">
        <v>875</v>
      </c>
      <c r="AB206" s="196">
        <f>SUM(AB201:AB204)</f>
        <v>879</v>
      </c>
      <c r="AC206" s="196">
        <f>SUM(AC201:AC204)</f>
        <v>983</v>
      </c>
      <c r="AD206" s="196">
        <f t="shared" ref="AD206:AF206" si="341">SUM(AD201:AD204)</f>
        <v>940</v>
      </c>
      <c r="AE206" s="196">
        <f t="shared" si="341"/>
        <v>867</v>
      </c>
      <c r="AF206" s="196">
        <f t="shared" si="341"/>
        <v>879</v>
      </c>
      <c r="AG206" s="197">
        <f t="shared" ref="AG206:AS206" si="342">AG211*AG197</f>
        <v>875.37323704659991</v>
      </c>
      <c r="AH206" s="197">
        <f t="shared" si="342"/>
        <v>873.06811752350734</v>
      </c>
      <c r="AI206" s="197">
        <f t="shared" si="342"/>
        <v>808.32951654187048</v>
      </c>
      <c r="AJ206" s="197">
        <f t="shared" si="342"/>
        <v>838.60576536429926</v>
      </c>
      <c r="AK206" s="197">
        <f t="shared" si="342"/>
        <v>855.44338506583563</v>
      </c>
      <c r="AL206" s="197">
        <f t="shared" si="342"/>
        <v>861.94656004615956</v>
      </c>
      <c r="AM206" s="197">
        <f t="shared" si="342"/>
        <v>895.82069033097503</v>
      </c>
      <c r="AN206" s="197">
        <f t="shared" si="342"/>
        <v>859.54185681336878</v>
      </c>
      <c r="AO206" s="197">
        <f t="shared" si="342"/>
        <v>876.51710724668055</v>
      </c>
      <c r="AP206" s="197">
        <f t="shared" si="342"/>
        <v>883.01750040985451</v>
      </c>
      <c r="AQ206" s="197">
        <f t="shared" si="342"/>
        <v>917.20682226787187</v>
      </c>
      <c r="AR206" s="197">
        <f t="shared" si="342"/>
        <v>880.4202874180927</v>
      </c>
      <c r="AS206" s="197">
        <f t="shared" si="342"/>
        <v>897.50833580952485</v>
      </c>
      <c r="AT206" s="197">
        <f t="shared" ref="AT206:AW206" si="343">AT211*AT197</f>
        <v>903.99199042745079</v>
      </c>
      <c r="AU206" s="197">
        <f t="shared" si="343"/>
        <v>938.48490859526282</v>
      </c>
      <c r="AV206" s="197">
        <f t="shared" si="343"/>
        <v>901.17264126593818</v>
      </c>
      <c r="AW206" s="197">
        <f t="shared" si="343"/>
        <v>918.36014674756723</v>
      </c>
    </row>
    <row r="207" spans="1:49" s="208" customFormat="1" ht="16.5" thickBot="1">
      <c r="A207" s="207" t="s">
        <v>87</v>
      </c>
      <c r="N207" s="555">
        <v>412</v>
      </c>
      <c r="O207" s="555">
        <v>482</v>
      </c>
      <c r="P207" s="555">
        <v>428</v>
      </c>
      <c r="Q207" s="555">
        <v>418</v>
      </c>
      <c r="R207" s="556">
        <v>465</v>
      </c>
      <c r="S207" s="556">
        <v>359</v>
      </c>
      <c r="T207" s="556">
        <v>446</v>
      </c>
      <c r="U207" s="556">
        <v>754</v>
      </c>
      <c r="V207" s="556">
        <v>443</v>
      </c>
      <c r="W207" s="556">
        <v>468</v>
      </c>
      <c r="X207" s="556">
        <v>400</v>
      </c>
      <c r="Y207" s="556">
        <v>364</v>
      </c>
      <c r="Z207" s="556">
        <v>432</v>
      </c>
      <c r="AA207" s="556">
        <v>453</v>
      </c>
      <c r="AB207" s="556">
        <f>AB197-AB200-AB206</f>
        <v>758</v>
      </c>
      <c r="AC207" s="556">
        <f>AC197-AC200-AC206</f>
        <v>382</v>
      </c>
      <c r="AD207" s="556">
        <f t="shared" ref="AD207:AF207" si="344">AD197-AD200-AD206</f>
        <v>404</v>
      </c>
      <c r="AE207" s="556">
        <f t="shared" si="344"/>
        <v>502</v>
      </c>
      <c r="AF207" s="556">
        <f t="shared" si="344"/>
        <v>426</v>
      </c>
      <c r="AG207" s="209">
        <f t="shared" ref="AG207:AS207" si="345">AG197-AG200-AG206</f>
        <v>486.29415923406816</v>
      </c>
      <c r="AH207" s="209">
        <f t="shared" si="345"/>
        <v>501.66972707257844</v>
      </c>
      <c r="AI207" s="209">
        <f t="shared" si="345"/>
        <v>624.55619550002541</v>
      </c>
      <c r="AJ207" s="209">
        <f t="shared" si="345"/>
        <v>537.0165937699835</v>
      </c>
      <c r="AK207" s="899">
        <f t="shared" si="345"/>
        <v>550.63432117986508</v>
      </c>
      <c r="AL207" s="209">
        <f t="shared" si="345"/>
        <v>557.40013381411666</v>
      </c>
      <c r="AM207" s="209">
        <f t="shared" si="345"/>
        <v>582.70443026224723</v>
      </c>
      <c r="AN207" s="209">
        <f t="shared" si="345"/>
        <v>560.60910040907072</v>
      </c>
      <c r="AO207" s="209">
        <f t="shared" si="345"/>
        <v>574.60028441925215</v>
      </c>
      <c r="AP207" s="209">
        <f t="shared" si="345"/>
        <v>581.52943499257492</v>
      </c>
      <c r="AQ207" s="209">
        <f t="shared" si="345"/>
        <v>607.52584952898121</v>
      </c>
      <c r="AR207" s="209">
        <f t="shared" si="345"/>
        <v>584.7637994694652</v>
      </c>
      <c r="AS207" s="209">
        <f t="shared" si="345"/>
        <v>599.11901340256372</v>
      </c>
      <c r="AT207" s="209">
        <f t="shared" ref="AT207:AW207" si="346">AT197-AT200-AT206</f>
        <v>606.20476929952144</v>
      </c>
      <c r="AU207" s="209">
        <f t="shared" si="346"/>
        <v>632.89965373102109</v>
      </c>
      <c r="AV207" s="209">
        <f t="shared" si="346"/>
        <v>609.44300879382172</v>
      </c>
      <c r="AW207" s="209">
        <f t="shared" si="346"/>
        <v>624.16003755610097</v>
      </c>
    </row>
    <row r="208" spans="1:49" s="188" customFormat="1">
      <c r="A208" s="210"/>
      <c r="N208" s="557"/>
      <c r="O208" s="557"/>
      <c r="P208" s="557"/>
      <c r="Q208" s="557"/>
      <c r="R208" s="211"/>
      <c r="S208" s="211"/>
      <c r="T208" s="211"/>
      <c r="U208" s="211"/>
      <c r="V208" s="211"/>
      <c r="W208" s="211"/>
      <c r="X208" s="211"/>
      <c r="Y208" s="211"/>
      <c r="Z208" s="211"/>
      <c r="AA208" s="211"/>
      <c r="AB208" s="211"/>
      <c r="AC208" s="211"/>
      <c r="AD208" s="211"/>
      <c r="AE208" s="211"/>
      <c r="AF208" s="211"/>
      <c r="AG208" s="190"/>
      <c r="AH208" s="190"/>
      <c r="AI208" s="190"/>
      <c r="AJ208" s="190"/>
      <c r="AK208" s="190"/>
      <c r="AL208" s="190"/>
      <c r="AM208" s="190"/>
      <c r="AN208" s="190"/>
      <c r="AO208" s="190"/>
      <c r="AP208" s="190"/>
      <c r="AQ208" s="190"/>
      <c r="AR208" s="190"/>
      <c r="AS208" s="190"/>
      <c r="AT208" s="190"/>
      <c r="AU208" s="190"/>
      <c r="AV208" s="190"/>
      <c r="AW208" s="190"/>
    </row>
    <row r="209" spans="1:49" s="178" customFormat="1">
      <c r="A209" s="177" t="s">
        <v>88</v>
      </c>
      <c r="N209" s="558"/>
      <c r="O209" s="558"/>
      <c r="P209" s="558"/>
      <c r="Q209" s="558"/>
      <c r="R209" s="212"/>
      <c r="S209" s="212"/>
      <c r="T209" s="212"/>
      <c r="U209" s="212"/>
      <c r="V209" s="212"/>
      <c r="W209" s="212"/>
      <c r="X209" s="212"/>
      <c r="Y209" s="212"/>
      <c r="Z209" s="212"/>
      <c r="AA209" s="212"/>
      <c r="AB209" s="212"/>
      <c r="AC209" s="212"/>
      <c r="AD209" s="212"/>
      <c r="AE209" s="212"/>
      <c r="AF209" s="212"/>
      <c r="AG209" s="180"/>
      <c r="AH209" s="180"/>
      <c r="AI209" s="180"/>
      <c r="AJ209" s="180"/>
      <c r="AK209" s="180"/>
      <c r="AL209" s="180"/>
      <c r="AM209" s="180"/>
      <c r="AN209" s="180"/>
      <c r="AO209" s="180"/>
      <c r="AP209" s="180"/>
      <c r="AQ209" s="180"/>
      <c r="AR209" s="180"/>
      <c r="AS209" s="180"/>
      <c r="AT209" s="180"/>
      <c r="AU209" s="180"/>
      <c r="AV209" s="180"/>
      <c r="AW209" s="180"/>
    </row>
    <row r="210" spans="1:49" s="178" customFormat="1">
      <c r="A210" s="203" t="s">
        <v>89</v>
      </c>
      <c r="N210" s="213"/>
      <c r="O210" s="213"/>
      <c r="P210" s="213"/>
      <c r="Q210" s="213"/>
      <c r="R210" s="214"/>
      <c r="S210" s="214"/>
      <c r="T210" s="214"/>
      <c r="U210" s="215">
        <v>25</v>
      </c>
      <c r="V210" s="215">
        <v>14.2</v>
      </c>
      <c r="W210" s="215">
        <v>15</v>
      </c>
      <c r="X210" s="215">
        <v>13.4</v>
      </c>
      <c r="Y210" s="215">
        <v>12.3</v>
      </c>
      <c r="Z210" s="215">
        <v>14.4</v>
      </c>
      <c r="AA210" s="215">
        <v>14.9</v>
      </c>
      <c r="AB210" s="215">
        <v>24.7</v>
      </c>
      <c r="AC210" s="215">
        <v>12.2</v>
      </c>
      <c r="AD210" s="215">
        <v>12.7</v>
      </c>
      <c r="AE210" s="215">
        <v>15.5</v>
      </c>
      <c r="AF210" s="215">
        <v>13.2</v>
      </c>
      <c r="AG210" s="180"/>
      <c r="AH210" s="180"/>
      <c r="AI210" s="180"/>
      <c r="AJ210" s="180"/>
      <c r="AK210" s="180"/>
      <c r="AL210" s="180"/>
      <c r="AM210" s="180"/>
      <c r="AN210" s="180"/>
      <c r="AO210" s="180"/>
      <c r="AP210" s="180"/>
      <c r="AQ210" s="180"/>
      <c r="AR210" s="180"/>
      <c r="AS210" s="180"/>
      <c r="AT210" s="180"/>
      <c r="AU210" s="180"/>
      <c r="AV210" s="180"/>
      <c r="AW210" s="180"/>
    </row>
    <row r="211" spans="1:49" s="217" customFormat="1" ht="16.5" thickBot="1">
      <c r="A211" s="216" t="s">
        <v>90</v>
      </c>
      <c r="N211" s="559">
        <v>0.69200000000000006</v>
      </c>
      <c r="O211" s="559">
        <v>0.66</v>
      </c>
      <c r="P211" s="559">
        <v>0.67099999999999993</v>
      </c>
      <c r="Q211" s="559">
        <v>0.68700000000000006</v>
      </c>
      <c r="R211" s="559">
        <v>0.65500000000000003</v>
      </c>
      <c r="S211" s="559">
        <v>0.71042760690172546</v>
      </c>
      <c r="T211" s="559">
        <v>0.66329479768786126</v>
      </c>
      <c r="U211" s="559">
        <v>0.56378830083565457</v>
      </c>
      <c r="V211" s="559">
        <v>0.66714285714285704</v>
      </c>
      <c r="W211" s="559">
        <v>0.65700000000000003</v>
      </c>
      <c r="X211" s="559">
        <v>0.67815249266862165</v>
      </c>
      <c r="Y211" s="559">
        <v>0.72775919732441485</v>
      </c>
      <c r="Z211" s="559">
        <v>0.67699115044247793</v>
      </c>
      <c r="AA211" s="559">
        <v>0.65445026178010468</v>
      </c>
      <c r="AB211" s="559">
        <f>AB206/AB197</f>
        <v>0.52729454109178164</v>
      </c>
      <c r="AC211" s="559">
        <f t="shared" ref="AC211:AF211" si="347">AC206/AC197</f>
        <v>0.70264474624731954</v>
      </c>
      <c r="AD211" s="559">
        <f t="shared" si="347"/>
        <v>0.69423929098966031</v>
      </c>
      <c r="AE211" s="559">
        <f t="shared" si="347"/>
        <v>0.61708185053380782</v>
      </c>
      <c r="AF211" s="559">
        <f t="shared" si="347"/>
        <v>0.66641394996209247</v>
      </c>
      <c r="AG211" s="218">
        <f>Assumptions!AG9</f>
        <v>0.63238027162258759</v>
      </c>
      <c r="AH211" s="218">
        <f>Assumptions!AH9</f>
        <v>0.62481536189069431</v>
      </c>
      <c r="AI211" s="218">
        <f>Assumptions!AI9</f>
        <v>0.5553736654804271</v>
      </c>
      <c r="AJ211" s="218">
        <f>Assumptions!AJ9</f>
        <v>0.59977255496588322</v>
      </c>
      <c r="AK211" s="218">
        <f>Assumptions!AK9</f>
        <v>0.59877255496588322</v>
      </c>
      <c r="AL211" s="218">
        <f>Assumptions!AL9</f>
        <v>0.59777255496588322</v>
      </c>
      <c r="AM211" s="218">
        <f>Assumptions!AM9</f>
        <v>0.59677255496588322</v>
      </c>
      <c r="AN211" s="218">
        <f>Assumptions!AN9</f>
        <v>0.59577255496588322</v>
      </c>
      <c r="AO211" s="218">
        <f>Assumptions!AO9</f>
        <v>0.59477255496588322</v>
      </c>
      <c r="AP211" s="218">
        <f>Assumptions!AP9</f>
        <v>0.59377255496588321</v>
      </c>
      <c r="AQ211" s="218">
        <f>Assumptions!AQ9</f>
        <v>0.59277255496588321</v>
      </c>
      <c r="AR211" s="218">
        <f>Assumptions!AR9</f>
        <v>0.59177255496588321</v>
      </c>
      <c r="AS211" s="218">
        <f>Assumptions!AS9</f>
        <v>0.59077255496588321</v>
      </c>
      <c r="AT211" s="218">
        <f>Assumptions!AT9</f>
        <v>0.58977255496588321</v>
      </c>
      <c r="AU211" s="218">
        <f>Assumptions!AU9</f>
        <v>0.58877255496588321</v>
      </c>
      <c r="AV211" s="218">
        <f>Assumptions!AV9</f>
        <v>0.58777255496588321</v>
      </c>
      <c r="AW211" s="218">
        <f>Assumptions!AW9</f>
        <v>0.58677255496588321</v>
      </c>
    </row>
    <row r="212" spans="1:49" s="188" customFormat="1">
      <c r="A212" s="210"/>
      <c r="N212" s="219"/>
      <c r="O212" s="219"/>
      <c r="P212" s="219"/>
      <c r="Q212" s="219"/>
      <c r="R212" s="211"/>
      <c r="S212" s="211"/>
      <c r="T212" s="211"/>
      <c r="U212" s="211"/>
      <c r="V212" s="211"/>
      <c r="W212" s="211"/>
      <c r="X212" s="211"/>
      <c r="Y212" s="211"/>
      <c r="Z212" s="211"/>
      <c r="AA212" s="211"/>
      <c r="AB212" s="211"/>
      <c r="AC212" s="211"/>
      <c r="AD212" s="211"/>
      <c r="AE212" s="211"/>
      <c r="AF212" s="211"/>
      <c r="AG212" s="220"/>
      <c r="AH212" s="220"/>
      <c r="AI212" s="220"/>
      <c r="AJ212" s="220"/>
      <c r="AK212" s="220"/>
      <c r="AL212" s="220"/>
      <c r="AM212" s="220"/>
      <c r="AN212" s="220"/>
      <c r="AO212" s="220"/>
      <c r="AP212" s="220"/>
      <c r="AQ212" s="220"/>
      <c r="AR212" s="220"/>
      <c r="AS212" s="220"/>
      <c r="AT212" s="220"/>
      <c r="AU212" s="220"/>
      <c r="AV212" s="220"/>
      <c r="AW212" s="220"/>
    </row>
    <row r="213" spans="1:49" s="188" customFormat="1">
      <c r="A213" s="221" t="s">
        <v>91</v>
      </c>
      <c r="N213" s="222"/>
      <c r="O213" s="222"/>
      <c r="P213" s="222"/>
      <c r="Q213" s="222"/>
      <c r="R213" s="223"/>
      <c r="S213" s="223"/>
      <c r="T213" s="223"/>
      <c r="U213" s="223"/>
      <c r="V213" s="223"/>
      <c r="W213" s="223"/>
      <c r="X213" s="223"/>
      <c r="Y213" s="223"/>
      <c r="Z213" s="223"/>
      <c r="AA213" s="223"/>
      <c r="AB213" s="223"/>
      <c r="AC213" s="223"/>
      <c r="AD213" s="223"/>
      <c r="AE213" s="223"/>
      <c r="AF213" s="223"/>
      <c r="AG213" s="220"/>
      <c r="AH213" s="220"/>
      <c r="AI213" s="220"/>
      <c r="AJ213" s="220"/>
      <c r="AK213" s="220"/>
      <c r="AL213" s="220"/>
      <c r="AM213" s="220"/>
      <c r="AN213" s="220"/>
      <c r="AO213" s="220"/>
      <c r="AP213" s="220"/>
      <c r="AQ213" s="220"/>
      <c r="AR213" s="220"/>
      <c r="AS213" s="220"/>
      <c r="AT213" s="220"/>
      <c r="AU213" s="220"/>
      <c r="AV213" s="220"/>
      <c r="AW213" s="220"/>
    </row>
    <row r="214" spans="1:49" s="188" customFormat="1">
      <c r="A214" s="224" t="s">
        <v>36</v>
      </c>
      <c r="N214" s="225">
        <v>195584</v>
      </c>
      <c r="O214" s="225">
        <v>187293</v>
      </c>
      <c r="P214" s="225">
        <v>193825</v>
      </c>
      <c r="Q214" s="225">
        <v>186122</v>
      </c>
      <c r="R214" s="226">
        <v>215904</v>
      </c>
      <c r="S214" s="226">
        <v>206741</v>
      </c>
      <c r="T214" s="226">
        <v>213027</v>
      </c>
      <c r="U214" s="226">
        <v>215688</v>
      </c>
      <c r="V214" s="226">
        <v>230419</v>
      </c>
      <c r="W214" s="226">
        <v>220912</v>
      </c>
      <c r="X214" s="226">
        <v>214239</v>
      </c>
      <c r="Y214" s="226">
        <v>220359</v>
      </c>
      <c r="Z214" s="226">
        <v>222653</v>
      </c>
      <c r="AA214" s="226">
        <v>224866</v>
      </c>
      <c r="AB214" s="226">
        <v>222164</v>
      </c>
      <c r="AC214" s="226">
        <v>228363</v>
      </c>
      <c r="AD214" s="226">
        <v>232334</v>
      </c>
      <c r="AE214" s="226">
        <v>235562</v>
      </c>
      <c r="AF214" s="226">
        <v>228647</v>
      </c>
      <c r="AG214" s="190"/>
      <c r="AH214" s="190"/>
      <c r="AI214" s="190"/>
      <c r="AJ214" s="190"/>
      <c r="AK214" s="190"/>
      <c r="AL214" s="190"/>
      <c r="AM214" s="190"/>
      <c r="AN214" s="190"/>
      <c r="AO214" s="190"/>
      <c r="AP214" s="190"/>
      <c r="AQ214" s="227"/>
      <c r="AR214" s="227"/>
      <c r="AS214" s="227"/>
      <c r="AT214" s="227"/>
      <c r="AU214" s="227"/>
      <c r="AV214" s="227"/>
      <c r="AW214" s="227"/>
    </row>
    <row r="215" spans="1:49" s="229" customFormat="1">
      <c r="A215" s="228" t="s">
        <v>29</v>
      </c>
      <c r="N215" s="560"/>
      <c r="O215" s="560"/>
      <c r="P215" s="560"/>
      <c r="Q215" s="560"/>
      <c r="R215" s="560"/>
      <c r="S215" s="560"/>
      <c r="T215" s="560"/>
      <c r="U215" s="560"/>
      <c r="V215" s="230">
        <v>163254</v>
      </c>
      <c r="W215" s="230">
        <v>162755</v>
      </c>
      <c r="X215" s="230">
        <v>162621</v>
      </c>
      <c r="Y215" s="230">
        <v>162717</v>
      </c>
      <c r="Z215" s="230">
        <v>162941</v>
      </c>
      <c r="AA215" s="230">
        <v>164661</v>
      </c>
      <c r="AB215" s="230">
        <v>166910</v>
      </c>
      <c r="AC215" s="230">
        <v>165685</v>
      </c>
      <c r="AD215" s="230">
        <v>166078</v>
      </c>
      <c r="AE215" s="230">
        <v>165435</v>
      </c>
      <c r="AF215" s="230">
        <v>165221</v>
      </c>
      <c r="AG215" s="1338">
        <f>AF215*(1+Assumptions!AG10)</f>
        <v>167242.52819381442</v>
      </c>
      <c r="AH215" s="1338">
        <f>AG215*(1+Assumptions!AH10)</f>
        <v>169071.65769189445</v>
      </c>
      <c r="AI215" s="1338">
        <f>AH215*(1+Assumptions!AI10)</f>
        <v>170920.79235706251</v>
      </c>
      <c r="AJ215" s="1338">
        <f>AI215*(1+Assumptions!AJ10)</f>
        <v>172790.15098558794</v>
      </c>
      <c r="AK215" s="1338">
        <f>AJ215*(1+Assumptions!AK10)</f>
        <v>174679.95476671212</v>
      </c>
      <c r="AL215" s="1338">
        <f>AK215*(1+Assumptions!AL10)</f>
        <v>176532.88731365753</v>
      </c>
      <c r="AM215" s="1338">
        <f>AL215*(1+Assumptions!AM10)</f>
        <v>178405.4750009315</v>
      </c>
      <c r="AN215" s="1338">
        <f>AM215*(1+Assumptions!AN10)</f>
        <v>180297.92632211468</v>
      </c>
      <c r="AO215" s="1338">
        <f>AN215*(1+Assumptions!AO10)</f>
        <v>182210.45198240114</v>
      </c>
      <c r="AP215" s="1338">
        <f>AO215*(1+Assumptions!AP10)</f>
        <v>184077.9951574489</v>
      </c>
      <c r="AQ215" s="1338">
        <f>AP215*(1+Assumptions!AQ10)</f>
        <v>185964.679482045</v>
      </c>
      <c r="AR215" s="1338">
        <f>AQ215*(1+Assumptions!AR10)</f>
        <v>187870.70114100107</v>
      </c>
      <c r="AS215" s="1338">
        <f>AR215*(1+Assumptions!AS10)</f>
        <v>189796.25832990042</v>
      </c>
      <c r="AT215" s="1338">
        <f>AS215*(1+Assumptions!AT10)</f>
        <v>191673.21099215245</v>
      </c>
      <c r="AU215" s="1338">
        <f>AT215*(1+Assumptions!AU10)</f>
        <v>193568.72540755672</v>
      </c>
      <c r="AV215" s="1338">
        <f>AU215*(1+Assumptions!AV10)</f>
        <v>195482.98513890998</v>
      </c>
      <c r="AW215" s="1338">
        <f>AV215*(1+Assumptions!AW10)</f>
        <v>197416.17556431706</v>
      </c>
    </row>
    <row r="216" spans="1:49" s="188" customFormat="1">
      <c r="A216" s="191" t="s">
        <v>188</v>
      </c>
      <c r="N216" s="561"/>
      <c r="O216" s="561"/>
      <c r="P216" s="561"/>
      <c r="Q216" s="561"/>
      <c r="R216" s="561"/>
      <c r="S216" s="561"/>
      <c r="T216" s="561"/>
      <c r="U216" s="561"/>
      <c r="V216" s="189"/>
      <c r="W216" s="189">
        <f>W215-V215</f>
        <v>-499</v>
      </c>
      <c r="X216" s="189">
        <f t="shared" ref="X216:AS216" si="348">X215-W215</f>
        <v>-134</v>
      </c>
      <c r="Y216" s="189">
        <f t="shared" si="348"/>
        <v>96</v>
      </c>
      <c r="Z216" s="189">
        <f t="shared" si="348"/>
        <v>224</v>
      </c>
      <c r="AA216" s="189">
        <f t="shared" si="348"/>
        <v>1720</v>
      </c>
      <c r="AB216" s="189">
        <f>AB215-AA215</f>
        <v>2249</v>
      </c>
      <c r="AC216" s="189">
        <f>AC215-AB215</f>
        <v>-1225</v>
      </c>
      <c r="AD216" s="189">
        <f t="shared" ref="AD216:AF216" si="349">AD215-AC215</f>
        <v>393</v>
      </c>
      <c r="AE216" s="189">
        <f t="shared" si="349"/>
        <v>-643</v>
      </c>
      <c r="AF216" s="189">
        <f t="shared" si="349"/>
        <v>-214</v>
      </c>
      <c r="AG216" s="1339">
        <f t="shared" si="348"/>
        <v>2021.528193814418</v>
      </c>
      <c r="AH216" s="1339">
        <f t="shared" si="348"/>
        <v>1829.1294980800303</v>
      </c>
      <c r="AI216" s="1339">
        <f t="shared" si="348"/>
        <v>1849.1346651680651</v>
      </c>
      <c r="AJ216" s="1339">
        <f t="shared" si="348"/>
        <v>1869.3586285254278</v>
      </c>
      <c r="AK216" s="1339">
        <f t="shared" si="348"/>
        <v>1889.8037811241811</v>
      </c>
      <c r="AL216" s="1339">
        <f t="shared" si="348"/>
        <v>1852.9325469454052</v>
      </c>
      <c r="AM216" s="1339">
        <f t="shared" si="348"/>
        <v>1872.5876872739755</v>
      </c>
      <c r="AN216" s="1339">
        <f t="shared" si="348"/>
        <v>1892.45132118318</v>
      </c>
      <c r="AO216" s="1339">
        <f t="shared" si="348"/>
        <v>1912.5256602864538</v>
      </c>
      <c r="AP216" s="1339">
        <f t="shared" si="348"/>
        <v>1867.5431750477583</v>
      </c>
      <c r="AQ216" s="1339">
        <f t="shared" si="348"/>
        <v>1886.6843245961063</v>
      </c>
      <c r="AR216" s="1339">
        <f t="shared" si="348"/>
        <v>1906.0216589560732</v>
      </c>
      <c r="AS216" s="1339">
        <f t="shared" si="348"/>
        <v>1925.5571888993436</v>
      </c>
      <c r="AT216" s="1339">
        <f t="shared" ref="AT216" si="350">AT215-AS215</f>
        <v>1876.9526622520352</v>
      </c>
      <c r="AU216" s="1339">
        <f t="shared" ref="AU216" si="351">AU215-AT215</f>
        <v>1895.5144154042646</v>
      </c>
      <c r="AV216" s="1339">
        <f t="shared" ref="AV216" si="352">AV215-AU215</f>
        <v>1914.2597313532606</v>
      </c>
      <c r="AW216" s="1339">
        <f t="shared" ref="AW216" si="353">AW215-AV215</f>
        <v>1933.1904254070832</v>
      </c>
    </row>
    <row r="217" spans="1:49" s="229" customFormat="1">
      <c r="A217" s="228" t="s">
        <v>92</v>
      </c>
      <c r="N217" s="231">
        <v>54212</v>
      </c>
      <c r="O217" s="231">
        <v>51891</v>
      </c>
      <c r="P217" s="231">
        <v>50522</v>
      </c>
      <c r="Q217" s="231">
        <v>51777</v>
      </c>
      <c r="R217" s="230">
        <v>55425</v>
      </c>
      <c r="S217" s="230">
        <v>57491</v>
      </c>
      <c r="T217" s="230">
        <v>58469</v>
      </c>
      <c r="U217" s="230">
        <v>58403</v>
      </c>
      <c r="V217" s="230">
        <v>60683</v>
      </c>
      <c r="W217" s="230">
        <v>58349</v>
      </c>
      <c r="X217" s="230">
        <v>59441</v>
      </c>
      <c r="Y217" s="230">
        <v>60352</v>
      </c>
      <c r="Z217" s="230">
        <v>64437</v>
      </c>
      <c r="AA217" s="230">
        <v>64604</v>
      </c>
      <c r="AB217" s="230">
        <v>65571</v>
      </c>
      <c r="AC217" s="230">
        <v>65669</v>
      </c>
      <c r="AD217" s="230">
        <v>65639</v>
      </c>
      <c r="AE217" s="230">
        <v>64426</v>
      </c>
      <c r="AF217" s="230">
        <v>64519</v>
      </c>
      <c r="AG217" s="1338">
        <f t="shared" ref="AG217:AS217" si="354">AG215*AG219</f>
        <v>65705.975589697133</v>
      </c>
      <c r="AH217" s="1338">
        <f t="shared" si="354"/>
        <v>66424.601046087992</v>
      </c>
      <c r="AI217" s="1338">
        <f t="shared" si="354"/>
        <v>67151.086100360742</v>
      </c>
      <c r="AJ217" s="1338">
        <f t="shared" si="354"/>
        <v>67885.516712841913</v>
      </c>
      <c r="AK217" s="1338">
        <f t="shared" si="354"/>
        <v>68627.979784005016</v>
      </c>
      <c r="AL217" s="1338">
        <f t="shared" si="354"/>
        <v>69355.956943964353</v>
      </c>
      <c r="AM217" s="1338">
        <f t="shared" si="354"/>
        <v>70091.65618385507</v>
      </c>
      <c r="AN217" s="1338">
        <f t="shared" si="354"/>
        <v>70835.159416299924</v>
      </c>
      <c r="AO217" s="1338">
        <f t="shared" si="354"/>
        <v>71586.54942281681</v>
      </c>
      <c r="AP217" s="1338">
        <f t="shared" si="354"/>
        <v>72320.266782854495</v>
      </c>
      <c r="AQ217" s="1338">
        <f t="shared" si="354"/>
        <v>73061.504286952229</v>
      </c>
      <c r="AR217" s="1338">
        <f t="shared" si="354"/>
        <v>73810.339011883349</v>
      </c>
      <c r="AS217" s="1338">
        <f t="shared" si="354"/>
        <v>74566.848824410001</v>
      </c>
      <c r="AT217" s="1338">
        <f t="shared" ref="AT217:AW217" si="355">AT215*AT219</f>
        <v>75304.262968652241</v>
      </c>
      <c r="AU217" s="1338">
        <f t="shared" si="355"/>
        <v>76048.969624629943</v>
      </c>
      <c r="AV217" s="1338">
        <f t="shared" si="355"/>
        <v>76801.040910199576</v>
      </c>
      <c r="AW217" s="1338">
        <f t="shared" si="355"/>
        <v>77560.549656412913</v>
      </c>
    </row>
    <row r="218" spans="1:49" s="188" customFormat="1">
      <c r="A218" s="775" t="s">
        <v>181</v>
      </c>
      <c r="N218" s="561"/>
      <c r="O218" s="561"/>
      <c r="P218" s="561"/>
      <c r="Q218" s="561"/>
      <c r="R218" s="561"/>
      <c r="S218" s="561"/>
      <c r="T218" s="561"/>
      <c r="U218" s="561"/>
      <c r="V218" s="776">
        <f t="shared" ref="V218:AC218" si="356">V217/V214</f>
        <v>0.26335935838624419</v>
      </c>
      <c r="W218" s="776">
        <f t="shared" si="356"/>
        <v>0.26412779749402476</v>
      </c>
      <c r="X218" s="776">
        <f t="shared" si="356"/>
        <v>0.2774518178296202</v>
      </c>
      <c r="Y218" s="776">
        <f t="shared" si="356"/>
        <v>0.27388034979283804</v>
      </c>
      <c r="Z218" s="776">
        <f t="shared" si="356"/>
        <v>0.28940548746255385</v>
      </c>
      <c r="AA218" s="776">
        <f t="shared" si="356"/>
        <v>0.28729999199523271</v>
      </c>
      <c r="AB218" s="776">
        <f t="shared" si="356"/>
        <v>0.29514682846905888</v>
      </c>
      <c r="AC218" s="776">
        <f t="shared" si="356"/>
        <v>0.2875640975114182</v>
      </c>
      <c r="AD218" s="776">
        <f t="shared" ref="AD218:AF218" si="357">AD217/AD214</f>
        <v>0.28251999276903078</v>
      </c>
      <c r="AE218" s="776">
        <f t="shared" si="357"/>
        <v>0.27349912125045633</v>
      </c>
      <c r="AF218" s="776">
        <f t="shared" si="357"/>
        <v>0.282177330120229</v>
      </c>
      <c r="AG218" s="190"/>
      <c r="AH218" s="190"/>
      <c r="AI218" s="190"/>
      <c r="AJ218" s="190"/>
      <c r="AK218" s="190"/>
      <c r="AL218" s="190"/>
      <c r="AM218" s="190"/>
      <c r="AN218" s="190"/>
      <c r="AO218" s="190"/>
      <c r="AP218" s="190"/>
      <c r="AQ218" s="190"/>
      <c r="AR218" s="190"/>
      <c r="AS218" s="190"/>
      <c r="AT218" s="190"/>
      <c r="AU218" s="190"/>
      <c r="AV218" s="190"/>
      <c r="AW218" s="190"/>
    </row>
    <row r="219" spans="1:49" s="229" customFormat="1">
      <c r="A219" s="780" t="s">
        <v>182</v>
      </c>
      <c r="N219" s="560"/>
      <c r="O219" s="560"/>
      <c r="P219" s="560"/>
      <c r="Q219" s="560"/>
      <c r="R219" s="560"/>
      <c r="S219" s="560"/>
      <c r="T219" s="560"/>
      <c r="U219" s="560"/>
      <c r="V219" s="781">
        <f t="shared" ref="V219:Z219" si="358">V217/V215</f>
        <v>0.37170911585627303</v>
      </c>
      <c r="W219" s="781">
        <f t="shared" si="358"/>
        <v>0.35850818715246846</v>
      </c>
      <c r="X219" s="781">
        <f t="shared" si="358"/>
        <v>0.36551859845899359</v>
      </c>
      <c r="Y219" s="781">
        <f t="shared" si="358"/>
        <v>0.37090162675073901</v>
      </c>
      <c r="Z219" s="781">
        <f t="shared" si="358"/>
        <v>0.39546216115035504</v>
      </c>
      <c r="AA219" s="781">
        <f>AA217/AA215</f>
        <v>0.39234548557339016</v>
      </c>
      <c r="AB219" s="781">
        <f>AB217/AB215</f>
        <v>0.39285243544425141</v>
      </c>
      <c r="AC219" s="781">
        <f>AC217/AC215</f>
        <v>0.39634849262154087</v>
      </c>
      <c r="AD219" s="781">
        <f t="shared" ref="AD219:AF219" si="359">AD217/AD215</f>
        <v>0.3952299521911391</v>
      </c>
      <c r="AE219" s="781">
        <f t="shared" si="359"/>
        <v>0.38943391664399918</v>
      </c>
      <c r="AF219" s="781">
        <f t="shared" si="359"/>
        <v>0.39050120747362621</v>
      </c>
      <c r="AG219" s="782">
        <f>AVERAGE(AC219:AF219)</f>
        <v>0.39287839223257637</v>
      </c>
      <c r="AH219" s="782">
        <f t="shared" ref="AH219:AS219" si="360">AG219</f>
        <v>0.39287839223257637</v>
      </c>
      <c r="AI219" s="782">
        <f t="shared" si="360"/>
        <v>0.39287839223257637</v>
      </c>
      <c r="AJ219" s="782">
        <f t="shared" si="360"/>
        <v>0.39287839223257637</v>
      </c>
      <c r="AK219" s="782">
        <f t="shared" si="360"/>
        <v>0.39287839223257637</v>
      </c>
      <c r="AL219" s="782">
        <f t="shared" si="360"/>
        <v>0.39287839223257637</v>
      </c>
      <c r="AM219" s="782">
        <f t="shared" si="360"/>
        <v>0.39287839223257637</v>
      </c>
      <c r="AN219" s="782">
        <f t="shared" si="360"/>
        <v>0.39287839223257637</v>
      </c>
      <c r="AO219" s="782">
        <f t="shared" si="360"/>
        <v>0.39287839223257637</v>
      </c>
      <c r="AP219" s="782">
        <f t="shared" si="360"/>
        <v>0.39287839223257637</v>
      </c>
      <c r="AQ219" s="782">
        <f t="shared" si="360"/>
        <v>0.39287839223257637</v>
      </c>
      <c r="AR219" s="782">
        <f t="shared" si="360"/>
        <v>0.39287839223257637</v>
      </c>
      <c r="AS219" s="782">
        <f t="shared" si="360"/>
        <v>0.39287839223257637</v>
      </c>
      <c r="AT219" s="782">
        <f t="shared" ref="AT219" si="361">AS219</f>
        <v>0.39287839223257637</v>
      </c>
      <c r="AU219" s="782">
        <f t="shared" ref="AU219" si="362">AT219</f>
        <v>0.39287839223257637</v>
      </c>
      <c r="AV219" s="782">
        <f t="shared" ref="AV219" si="363">AU219</f>
        <v>0.39287839223257637</v>
      </c>
      <c r="AW219" s="782">
        <f t="shared" ref="AW219" si="364">AV219</f>
        <v>0.39287839223257637</v>
      </c>
    </row>
    <row r="220" spans="1:49" s="188" customFormat="1" ht="16.5" thickBot="1">
      <c r="A220" s="232" t="s">
        <v>93</v>
      </c>
      <c r="N220" s="778"/>
      <c r="O220" s="778"/>
      <c r="P220" s="778"/>
      <c r="Q220" s="778"/>
      <c r="R220" s="779"/>
      <c r="S220" s="779"/>
      <c r="T220" s="779"/>
      <c r="U220" s="233">
        <v>241520</v>
      </c>
      <c r="V220" s="233">
        <v>257393</v>
      </c>
      <c r="W220" s="233">
        <v>243946</v>
      </c>
      <c r="X220" s="233">
        <v>234406</v>
      </c>
      <c r="Y220" s="233">
        <v>238180</v>
      </c>
      <c r="Z220" s="233">
        <v>242144</v>
      </c>
      <c r="AA220" s="233">
        <v>245108</v>
      </c>
      <c r="AB220" s="233">
        <v>246254</v>
      </c>
      <c r="AC220" s="233">
        <v>252889</v>
      </c>
      <c r="AD220" s="233">
        <v>257397</v>
      </c>
      <c r="AE220" s="233">
        <v>260479</v>
      </c>
      <c r="AF220" s="233">
        <v>256207</v>
      </c>
      <c r="AG220" s="220"/>
      <c r="AH220" s="220"/>
      <c r="AI220" s="220"/>
      <c r="AJ220" s="220"/>
      <c r="AK220" s="220"/>
      <c r="AL220" s="220"/>
      <c r="AM220" s="220"/>
      <c r="AN220" s="220"/>
      <c r="AO220" s="220"/>
      <c r="AP220" s="220"/>
      <c r="AQ220" s="220"/>
      <c r="AR220" s="220"/>
      <c r="AS220" s="220"/>
      <c r="AT220" s="220"/>
      <c r="AU220" s="220"/>
      <c r="AV220" s="220"/>
      <c r="AW220" s="220"/>
    </row>
    <row r="221" spans="1:49" s="188" customFormat="1">
      <c r="A221" s="191"/>
      <c r="N221" s="557"/>
      <c r="O221" s="557"/>
      <c r="P221" s="557"/>
      <c r="Q221" s="557"/>
      <c r="R221" s="189"/>
      <c r="S221" s="189"/>
      <c r="T221" s="189"/>
      <c r="U221" s="189"/>
      <c r="V221" s="189"/>
      <c r="W221" s="189"/>
      <c r="X221" s="189"/>
      <c r="Y221" s="189"/>
      <c r="Z221" s="189"/>
      <c r="AA221" s="562"/>
      <c r="AB221" s="562"/>
      <c r="AC221" s="562"/>
      <c r="AD221" s="562"/>
      <c r="AE221" s="562"/>
      <c r="AF221" s="562"/>
      <c r="AG221" s="220"/>
      <c r="AH221" s="220"/>
      <c r="AI221" s="220"/>
      <c r="AJ221" s="220"/>
      <c r="AK221" s="220"/>
      <c r="AL221" s="220"/>
      <c r="AM221" s="220"/>
      <c r="AN221" s="220"/>
      <c r="AO221" s="220"/>
      <c r="AP221" s="220"/>
      <c r="AQ221" s="220"/>
      <c r="AR221" s="220"/>
      <c r="AS221" s="227"/>
      <c r="AT221" s="227"/>
      <c r="AU221" s="227"/>
      <c r="AV221" s="227"/>
      <c r="AW221" s="227"/>
    </row>
    <row r="222" spans="1:49" s="777" customFormat="1">
      <c r="A222" s="784" t="s">
        <v>185</v>
      </c>
      <c r="N222" s="785">
        <f t="shared" ref="N222:Z222" si="365">(N252+N272)*1000</f>
        <v>477600</v>
      </c>
      <c r="O222" s="785">
        <f t="shared" si="365"/>
        <v>474600</v>
      </c>
      <c r="P222" s="785">
        <f t="shared" si="365"/>
        <v>483700</v>
      </c>
      <c r="Q222" s="785">
        <f t="shared" si="365"/>
        <v>494200</v>
      </c>
      <c r="R222" s="785">
        <f t="shared" si="365"/>
        <v>507500</v>
      </c>
      <c r="S222" s="785">
        <f t="shared" si="365"/>
        <v>518099.99999999988</v>
      </c>
      <c r="T222" s="785">
        <f t="shared" si="365"/>
        <v>524600</v>
      </c>
      <c r="U222" s="785">
        <f t="shared" si="365"/>
        <v>534500</v>
      </c>
      <c r="V222" s="785">
        <f t="shared" si="365"/>
        <v>543200</v>
      </c>
      <c r="W222" s="785">
        <f t="shared" si="365"/>
        <v>531400</v>
      </c>
      <c r="X222" s="785">
        <f t="shared" si="365"/>
        <v>500200.00000000006</v>
      </c>
      <c r="Y222" s="785">
        <f t="shared" si="365"/>
        <v>516799.99999999994</v>
      </c>
      <c r="Z222" s="785">
        <f t="shared" si="365"/>
        <v>509700.00000000006</v>
      </c>
      <c r="AA222" s="785">
        <f>(AA252+AA272)*1000</f>
        <v>522299.99999999994</v>
      </c>
      <c r="AB222" s="785">
        <f>(244.5+284.6)*1000</f>
        <v>529100</v>
      </c>
      <c r="AC222" s="785">
        <v>531500</v>
      </c>
      <c r="AD222" s="785">
        <v>547099.99999999988</v>
      </c>
      <c r="AE222" s="785">
        <v>554000</v>
      </c>
      <c r="AF222" s="785">
        <v>552800</v>
      </c>
      <c r="AG222" s="1337">
        <f>AF222*(1+Assumptions!AG11)</f>
        <v>555342.79378351872</v>
      </c>
      <c r="AH222" s="1337">
        <f>AG222*(1+Assumptions!AH11)</f>
        <v>557897.28402185929</v>
      </c>
      <c r="AI222" s="1337">
        <f>AH222*(1+Assumptions!AI11)</f>
        <v>560463.52451688959</v>
      </c>
      <c r="AJ222" s="1337">
        <f>AI222*(1+Assumptions!AJ11)</f>
        <v>563041.56931795785</v>
      </c>
      <c r="AK222" s="1337">
        <f>AJ222*(1+Assumptions!AK11)</f>
        <v>565631.47272303083</v>
      </c>
      <c r="AL222" s="1337">
        <f>AK222*(1+Assumptions!AL11)</f>
        <v>568233.28927983739</v>
      </c>
      <c r="AM222" s="1337">
        <f>AL222*(1+Assumptions!AM11)</f>
        <v>570847.07378701749</v>
      </c>
      <c r="AN222" s="1337">
        <f>AM222*(1+Assumptions!AN11)</f>
        <v>573472.88129527634</v>
      </c>
      <c r="AO222" s="1337">
        <f>AN222*(1+Assumptions!AO11)</f>
        <v>576110.76710854378</v>
      </c>
      <c r="AP222" s="1337">
        <f>AO222*(1+Assumptions!AP11)</f>
        <v>578760.786785139</v>
      </c>
      <c r="AQ222" s="1337">
        <f>AP222*(1+Assumptions!AQ11)</f>
        <v>581422.99613894091</v>
      </c>
      <c r="AR222" s="1337">
        <f>AQ222*(1+Assumptions!AR11)</f>
        <v>584097.45124056342</v>
      </c>
      <c r="AS222" s="1337">
        <f>AR222*(1+Assumptions!AS11)</f>
        <v>586784.2084185367</v>
      </c>
      <c r="AT222" s="1337">
        <f>AS222*(1+Assumptions!AT11)</f>
        <v>589483.32426049327</v>
      </c>
      <c r="AU222" s="1337">
        <f>AT222*(1+Assumptions!AU11)</f>
        <v>592194.85561436007</v>
      </c>
      <c r="AV222" s="1337">
        <f>AU222*(1+Assumptions!AV11)</f>
        <v>594918.85958955542</v>
      </c>
      <c r="AW222" s="1337">
        <f>AV222*(1+Assumptions!AW11)</f>
        <v>597655.39355819218</v>
      </c>
    </row>
    <row r="223" spans="1:49" s="229" customFormat="1">
      <c r="A223" s="790" t="s">
        <v>198</v>
      </c>
      <c r="N223" s="230"/>
      <c r="O223" s="230"/>
      <c r="P223" s="230"/>
      <c r="Q223" s="230"/>
      <c r="R223" s="230"/>
      <c r="S223" s="230"/>
      <c r="T223" s="230"/>
      <c r="U223" s="230"/>
      <c r="V223" s="230"/>
      <c r="W223" s="230"/>
      <c r="X223" s="230"/>
      <c r="Y223" s="230"/>
      <c r="Z223" s="230"/>
      <c r="AA223" s="791">
        <f>(AA222/N222)^(1/COUNT(O222:AA222))-1</f>
        <v>6.9059346978039837E-3</v>
      </c>
      <c r="AB223" s="791">
        <f t="shared" ref="AB223:AC223" si="366">(AB222/O222)^(1/COUNT(P222:AB222))-1</f>
        <v>8.3969898216835759E-3</v>
      </c>
      <c r="AC223" s="791">
        <f t="shared" si="366"/>
        <v>7.2754397210552657E-3</v>
      </c>
      <c r="AD223" s="791">
        <f t="shared" ref="AD223" si="367">(AD222/Q222)^(1/COUNT(R222:AD222))-1</f>
        <v>7.8530832378533866E-3</v>
      </c>
      <c r="AE223" s="791">
        <f t="shared" ref="AE223" si="368">(AE222/R222)^(1/COUNT(S222:AE222))-1</f>
        <v>6.7664803294960052E-3</v>
      </c>
      <c r="AF223" s="791">
        <f t="shared" ref="AF223" si="369">(AF222/S222)^(1/COUNT(T222:AF222))-1</f>
        <v>4.9992237529270511E-3</v>
      </c>
      <c r="AG223" s="1182">
        <f>AG222/AF222-1</f>
        <v>4.5998440367560622E-3</v>
      </c>
      <c r="AH223" s="1182">
        <f t="shared" ref="AH223:AS223" si="370">AH222/AG222-1</f>
        <v>4.5998440367560622E-3</v>
      </c>
      <c r="AI223" s="1182">
        <f t="shared" si="370"/>
        <v>4.5998440367560622E-3</v>
      </c>
      <c r="AJ223" s="1182">
        <f t="shared" si="370"/>
        <v>4.5998440367560622E-3</v>
      </c>
      <c r="AK223" s="1182">
        <f t="shared" si="370"/>
        <v>4.5998440367560622E-3</v>
      </c>
      <c r="AL223" s="1182">
        <f t="shared" si="370"/>
        <v>4.5998440367560622E-3</v>
      </c>
      <c r="AM223" s="1182">
        <f t="shared" si="370"/>
        <v>4.5998440367560622E-3</v>
      </c>
      <c r="AN223" s="1182">
        <f t="shared" si="370"/>
        <v>4.5998440367560622E-3</v>
      </c>
      <c r="AO223" s="1182">
        <f t="shared" si="370"/>
        <v>4.5998440367560622E-3</v>
      </c>
      <c r="AP223" s="1182">
        <f t="shared" si="370"/>
        <v>4.5998440367560622E-3</v>
      </c>
      <c r="AQ223" s="1182">
        <f t="shared" si="370"/>
        <v>4.5998440367560622E-3</v>
      </c>
      <c r="AR223" s="1182">
        <f t="shared" si="370"/>
        <v>4.5998440367560622E-3</v>
      </c>
      <c r="AS223" s="1182">
        <f t="shared" si="370"/>
        <v>4.5998440367560622E-3</v>
      </c>
      <c r="AT223" s="1182">
        <f t="shared" ref="AT223" si="371">AT222/AS222-1</f>
        <v>4.5998440367560622E-3</v>
      </c>
      <c r="AU223" s="1182">
        <f t="shared" ref="AU223" si="372">AU222/AT222-1</f>
        <v>4.5998440367560622E-3</v>
      </c>
      <c r="AV223" s="1182">
        <f t="shared" ref="AV223" si="373">AV222/AU222-1</f>
        <v>4.5998440367560622E-3</v>
      </c>
      <c r="AW223" s="1182">
        <f t="shared" ref="AW223" si="374">AW222/AV222-1</f>
        <v>4.5998440367560622E-3</v>
      </c>
    </row>
    <row r="224" spans="1:49" s="787" customFormat="1" ht="16.5" thickBot="1">
      <c r="A224" s="786" t="s">
        <v>186</v>
      </c>
      <c r="N224" s="788">
        <f t="shared" ref="N224:Z224" si="375">(N253+N273)*1000</f>
        <v>4700</v>
      </c>
      <c r="O224" s="788">
        <f t="shared" si="375"/>
        <v>-100</v>
      </c>
      <c r="P224" s="788">
        <f t="shared" si="375"/>
        <v>-600.00000000000011</v>
      </c>
      <c r="Q224" s="788">
        <f t="shared" si="375"/>
        <v>2300</v>
      </c>
      <c r="R224" s="788">
        <f t="shared" si="375"/>
        <v>4200</v>
      </c>
      <c r="S224" s="788">
        <f t="shared" si="375"/>
        <v>2400</v>
      </c>
      <c r="T224" s="788">
        <f t="shared" si="375"/>
        <v>-999.99999999999989</v>
      </c>
      <c r="U224" s="788">
        <f t="shared" si="375"/>
        <v>3700</v>
      </c>
      <c r="V224" s="788">
        <f t="shared" si="375"/>
        <v>7600</v>
      </c>
      <c r="W224" s="788">
        <f t="shared" si="375"/>
        <v>-100.00000000000009</v>
      </c>
      <c r="X224" s="788">
        <f t="shared" si="375"/>
        <v>5000</v>
      </c>
      <c r="Y224" s="788">
        <f t="shared" si="375"/>
        <v>1300.0000000000002</v>
      </c>
      <c r="Z224" s="788">
        <f t="shared" si="375"/>
        <v>3000</v>
      </c>
      <c r="AA224" s="788">
        <f>(AA253+AA273)*1000</f>
        <v>1600</v>
      </c>
      <c r="AB224" s="788">
        <f>(0.2-1.2)*1000</f>
        <v>-1000</v>
      </c>
      <c r="AC224" s="788">
        <v>-1000</v>
      </c>
      <c r="AD224" s="788">
        <v>2000</v>
      </c>
      <c r="AE224" s="788">
        <v>1700</v>
      </c>
      <c r="AF224" s="788">
        <v>-12700</v>
      </c>
      <c r="AG224" s="789"/>
      <c r="AH224" s="789"/>
      <c r="AI224" s="789"/>
      <c r="AJ224" s="789"/>
      <c r="AK224" s="789"/>
      <c r="AL224" s="789"/>
      <c r="AM224" s="789"/>
      <c r="AN224" s="789"/>
      <c r="AO224" s="789"/>
      <c r="AP224" s="789"/>
      <c r="AQ224" s="789"/>
      <c r="AR224" s="789"/>
      <c r="AS224" s="789"/>
      <c r="AT224" s="789"/>
      <c r="AU224" s="789"/>
      <c r="AV224" s="789"/>
      <c r="AW224" s="789"/>
    </row>
    <row r="225" spans="1:49" s="188" customFormat="1">
      <c r="A225" s="191"/>
      <c r="N225" s="557"/>
      <c r="O225" s="557"/>
      <c r="P225" s="557"/>
      <c r="Q225" s="557"/>
      <c r="R225" s="189"/>
      <c r="S225" s="189"/>
      <c r="T225" s="189"/>
      <c r="U225" s="189"/>
      <c r="V225" s="189"/>
      <c r="W225" s="189"/>
      <c r="X225" s="189"/>
      <c r="Y225" s="189"/>
      <c r="Z225" s="1181"/>
      <c r="AA225" s="1181"/>
      <c r="AB225" s="1181"/>
      <c r="AC225" s="1181"/>
      <c r="AD225" s="1181"/>
      <c r="AE225" s="1181"/>
      <c r="AF225" s="1181"/>
      <c r="AG225" s="220"/>
      <c r="AH225" s="220"/>
      <c r="AI225" s="220"/>
      <c r="AJ225" s="220"/>
      <c r="AK225" s="220"/>
      <c r="AL225" s="220"/>
      <c r="AM225" s="220"/>
      <c r="AN225" s="220"/>
      <c r="AO225" s="220"/>
      <c r="AP225" s="220"/>
      <c r="AQ225" s="220"/>
      <c r="AR225" s="220"/>
      <c r="AS225" s="220"/>
      <c r="AT225" s="220"/>
      <c r="AU225" s="220"/>
      <c r="AV225" s="220"/>
      <c r="AW225" s="220"/>
    </row>
    <row r="226" spans="1:49" hidden="1" outlineLevel="1">
      <c r="A226" s="35"/>
      <c r="N226" s="563"/>
      <c r="O226" s="563"/>
      <c r="P226" s="563"/>
      <c r="Q226" s="563"/>
      <c r="R226" s="141"/>
      <c r="S226" s="141"/>
      <c r="T226" s="141"/>
      <c r="U226" s="141"/>
      <c r="V226" s="141"/>
      <c r="W226" s="141"/>
      <c r="X226" s="141"/>
      <c r="Y226" s="141"/>
      <c r="Z226" s="141"/>
      <c r="AA226" s="141"/>
      <c r="AT226" s="18"/>
      <c r="AU226" s="18"/>
      <c r="AV226" s="18"/>
      <c r="AW226" s="18"/>
    </row>
    <row r="227" spans="1:49" hidden="1" outlineLevel="1">
      <c r="A227" s="35"/>
      <c r="N227" s="563"/>
      <c r="O227" s="563"/>
      <c r="P227" s="563"/>
      <c r="Q227" s="563"/>
      <c r="R227" s="141"/>
      <c r="S227" s="141"/>
      <c r="T227" s="141"/>
      <c r="U227" s="141"/>
      <c r="V227" s="141"/>
      <c r="W227" s="141"/>
      <c r="X227" s="141"/>
      <c r="Y227" s="141"/>
      <c r="Z227" s="141"/>
      <c r="AA227" s="141"/>
      <c r="AT227" s="18"/>
      <c r="AU227" s="18"/>
      <c r="AV227" s="18"/>
      <c r="AW227" s="18"/>
    </row>
    <row r="228" spans="1:49" hidden="1" outlineLevel="1">
      <c r="A228" s="24" t="s">
        <v>94</v>
      </c>
      <c r="N228" s="563"/>
      <c r="O228" s="563"/>
      <c r="P228" s="563"/>
      <c r="Q228" s="563"/>
      <c r="R228" s="48"/>
      <c r="S228" s="48"/>
      <c r="T228" s="48"/>
      <c r="U228" s="48"/>
      <c r="V228" s="48"/>
      <c r="W228" s="48"/>
      <c r="X228" s="48"/>
      <c r="Y228" s="48"/>
      <c r="Z228" s="48"/>
      <c r="AA228" s="48"/>
      <c r="AB228" s="18" t="s">
        <v>170</v>
      </c>
      <c r="AC228"/>
      <c r="AD228"/>
      <c r="AE228"/>
      <c r="AF228"/>
      <c r="AG228"/>
      <c r="AH228"/>
      <c r="AI228"/>
      <c r="AJ228"/>
      <c r="AK228"/>
      <c r="AL228"/>
      <c r="AM228"/>
      <c r="AN228"/>
      <c r="AO228"/>
      <c r="AP228"/>
      <c r="AQ228"/>
      <c r="AR228"/>
      <c r="AS228"/>
      <c r="AT228" s="851"/>
      <c r="AU228" s="851"/>
      <c r="AV228" s="851"/>
      <c r="AW228" s="851"/>
    </row>
    <row r="229" spans="1:49" hidden="1" outlineLevel="1">
      <c r="A229" s="25" t="s">
        <v>67</v>
      </c>
      <c r="N229" s="69">
        <v>386</v>
      </c>
      <c r="O229" s="69">
        <v>393</v>
      </c>
      <c r="P229" s="69">
        <v>391</v>
      </c>
      <c r="Q229" s="69">
        <v>391</v>
      </c>
      <c r="R229" s="42">
        <v>378</v>
      </c>
      <c r="S229" s="42">
        <v>369</v>
      </c>
      <c r="T229" s="42">
        <v>371</v>
      </c>
      <c r="U229" s="42">
        <v>375</v>
      </c>
      <c r="V229" s="42">
        <v>406</v>
      </c>
      <c r="W229" s="42">
        <v>447</v>
      </c>
      <c r="X229" s="42">
        <v>452</v>
      </c>
      <c r="Y229" s="43">
        <v>465</v>
      </c>
      <c r="Z229" s="43">
        <v>460</v>
      </c>
      <c r="AA229" s="42">
        <v>441</v>
      </c>
      <c r="AC229"/>
      <c r="AD229"/>
      <c r="AE229"/>
      <c r="AF229"/>
      <c r="AG229"/>
      <c r="AH229"/>
      <c r="AI229"/>
      <c r="AJ229"/>
      <c r="AK229"/>
      <c r="AL229"/>
      <c r="AM229"/>
      <c r="AN229"/>
      <c r="AO229"/>
      <c r="AP229"/>
      <c r="AQ229"/>
      <c r="AR229"/>
      <c r="AS229"/>
      <c r="AT229" s="851"/>
      <c r="AU229" s="851"/>
      <c r="AV229" s="851"/>
      <c r="AW229" s="851"/>
    </row>
    <row r="230" spans="1:49" hidden="1" outlineLevel="1">
      <c r="A230" s="26" t="s">
        <v>83</v>
      </c>
      <c r="N230" s="70">
        <v>310</v>
      </c>
      <c r="O230" s="70">
        <v>305</v>
      </c>
      <c r="P230" s="70">
        <v>307</v>
      </c>
      <c r="Q230" s="70">
        <v>302</v>
      </c>
      <c r="R230" s="44">
        <v>305</v>
      </c>
      <c r="S230" s="44">
        <v>303</v>
      </c>
      <c r="T230" s="44">
        <v>311</v>
      </c>
      <c r="U230" s="44">
        <v>300</v>
      </c>
      <c r="V230" s="44">
        <v>291</v>
      </c>
      <c r="W230" s="44">
        <v>299</v>
      </c>
      <c r="X230" s="44">
        <v>255</v>
      </c>
      <c r="Y230" s="44">
        <v>257</v>
      </c>
      <c r="Z230" s="44">
        <v>235</v>
      </c>
      <c r="AA230" s="44">
        <v>240</v>
      </c>
      <c r="AC230"/>
      <c r="AD230"/>
      <c r="AE230"/>
      <c r="AF230"/>
      <c r="AG230"/>
      <c r="AH230"/>
      <c r="AI230"/>
      <c r="AJ230"/>
      <c r="AK230"/>
      <c r="AL230"/>
      <c r="AM230"/>
      <c r="AN230"/>
      <c r="AO230"/>
      <c r="AP230"/>
      <c r="AQ230"/>
      <c r="AR230"/>
      <c r="AS230"/>
      <c r="AT230" s="851"/>
      <c r="AU230" s="851"/>
      <c r="AV230" s="851"/>
      <c r="AW230" s="851"/>
    </row>
    <row r="231" spans="1:49" hidden="1" outlineLevel="1">
      <c r="A231" s="26" t="s">
        <v>84</v>
      </c>
      <c r="N231" s="70">
        <v>210</v>
      </c>
      <c r="O231" s="70">
        <v>254</v>
      </c>
      <c r="P231" s="70">
        <v>194</v>
      </c>
      <c r="Q231" s="70">
        <v>188</v>
      </c>
      <c r="R231" s="44">
        <v>210</v>
      </c>
      <c r="S231" s="44">
        <v>207</v>
      </c>
      <c r="T231" s="44">
        <v>215</v>
      </c>
      <c r="U231" s="44">
        <v>218</v>
      </c>
      <c r="V231" s="44">
        <v>223</v>
      </c>
      <c r="W231" s="44">
        <v>187</v>
      </c>
      <c r="X231" s="44">
        <v>151</v>
      </c>
      <c r="Y231" s="44">
        <v>159</v>
      </c>
      <c r="Z231" s="44">
        <v>149</v>
      </c>
      <c r="AA231" s="44">
        <v>159</v>
      </c>
      <c r="AC231"/>
      <c r="AD231"/>
      <c r="AE231"/>
      <c r="AF231"/>
      <c r="AG231"/>
      <c r="AH231"/>
      <c r="AI231"/>
      <c r="AJ231"/>
      <c r="AK231"/>
      <c r="AL231"/>
      <c r="AM231"/>
      <c r="AN231"/>
      <c r="AO231"/>
      <c r="AP231"/>
      <c r="AQ231"/>
      <c r="AR231"/>
      <c r="AS231"/>
      <c r="AT231" s="851"/>
      <c r="AU231" s="851"/>
      <c r="AV231" s="851"/>
      <c r="AW231" s="851"/>
    </row>
    <row r="232" spans="1:49" hidden="1" outlineLevel="1">
      <c r="A232" s="27" t="s">
        <v>70</v>
      </c>
      <c r="N232" s="71">
        <v>-1</v>
      </c>
      <c r="O232" s="71">
        <v>-4</v>
      </c>
      <c r="P232" s="71">
        <v>-1</v>
      </c>
      <c r="Q232" s="71">
        <v>67</v>
      </c>
      <c r="R232" s="45">
        <v>35</v>
      </c>
      <c r="S232" s="45">
        <v>4</v>
      </c>
      <c r="T232" s="45">
        <v>-1</v>
      </c>
      <c r="U232" s="45">
        <v>390</v>
      </c>
      <c r="V232" s="45">
        <v>0</v>
      </c>
      <c r="W232" s="45">
        <v>23</v>
      </c>
      <c r="X232" s="45">
        <v>-1</v>
      </c>
      <c r="Y232" s="45">
        <v>82</v>
      </c>
      <c r="Z232" s="45">
        <v>2</v>
      </c>
      <c r="AA232" s="45">
        <v>0</v>
      </c>
      <c r="AC232"/>
      <c r="AD232"/>
      <c r="AE232"/>
      <c r="AF232"/>
      <c r="AG232"/>
      <c r="AH232"/>
      <c r="AI232"/>
      <c r="AJ232"/>
      <c r="AK232"/>
      <c r="AL232"/>
      <c r="AM232"/>
      <c r="AN232"/>
      <c r="AO232"/>
      <c r="AP232"/>
      <c r="AQ232"/>
      <c r="AR232"/>
      <c r="AS232"/>
      <c r="AT232" s="851"/>
      <c r="AU232" s="851"/>
      <c r="AV232" s="851"/>
      <c r="AW232" s="851"/>
    </row>
    <row r="233" spans="1:49" hidden="1" outlineLevel="1">
      <c r="A233" s="36" t="s">
        <v>5</v>
      </c>
      <c r="N233" s="77">
        <v>905</v>
      </c>
      <c r="O233" s="77">
        <v>948</v>
      </c>
      <c r="P233" s="77">
        <v>891</v>
      </c>
      <c r="Q233" s="77">
        <v>948</v>
      </c>
      <c r="R233" s="51">
        <v>928</v>
      </c>
      <c r="S233" s="51">
        <v>883</v>
      </c>
      <c r="T233" s="51">
        <v>896</v>
      </c>
      <c r="U233" s="51">
        <v>1283</v>
      </c>
      <c r="V233" s="51">
        <v>920</v>
      </c>
      <c r="W233" s="51">
        <v>956</v>
      </c>
      <c r="X233" s="51">
        <v>857</v>
      </c>
      <c r="Y233" s="51">
        <v>963</v>
      </c>
      <c r="Z233" s="51">
        <v>846</v>
      </c>
      <c r="AA233" s="51">
        <v>840</v>
      </c>
      <c r="AC233"/>
      <c r="AD233"/>
      <c r="AE233"/>
      <c r="AF233"/>
      <c r="AG233"/>
      <c r="AH233"/>
      <c r="AI233"/>
      <c r="AJ233"/>
      <c r="AK233"/>
      <c r="AL233"/>
      <c r="AM233"/>
      <c r="AN233"/>
      <c r="AO233"/>
      <c r="AP233"/>
      <c r="AQ233"/>
      <c r="AR233"/>
      <c r="AS233"/>
      <c r="AT233" s="851"/>
      <c r="AU233" s="851"/>
      <c r="AV233" s="851"/>
      <c r="AW233" s="851"/>
    </row>
    <row r="234" spans="1:49" hidden="1" outlineLevel="1">
      <c r="A234" s="36" t="s">
        <v>6</v>
      </c>
      <c r="N234" s="77">
        <v>20</v>
      </c>
      <c r="O234" s="77">
        <v>17</v>
      </c>
      <c r="P234" s="77">
        <v>19</v>
      </c>
      <c r="Q234" s="77">
        <v>19</v>
      </c>
      <c r="R234" s="51">
        <v>16</v>
      </c>
      <c r="S234" s="51">
        <v>17</v>
      </c>
      <c r="T234" s="51">
        <v>17</v>
      </c>
      <c r="U234" s="51">
        <v>10</v>
      </c>
      <c r="V234" s="51">
        <v>12</v>
      </c>
      <c r="W234" s="51">
        <v>9</v>
      </c>
      <c r="X234" s="51">
        <v>14</v>
      </c>
      <c r="Y234" s="51">
        <v>14</v>
      </c>
      <c r="Z234" s="51">
        <v>9</v>
      </c>
      <c r="AA234" s="51">
        <v>7</v>
      </c>
      <c r="AC234"/>
      <c r="AD234"/>
      <c r="AE234"/>
      <c r="AF234"/>
      <c r="AG234"/>
      <c r="AH234"/>
      <c r="AI234"/>
      <c r="AJ234"/>
      <c r="AK234"/>
      <c r="AL234"/>
      <c r="AM234"/>
      <c r="AN234"/>
      <c r="AO234"/>
      <c r="AP234"/>
      <c r="AQ234"/>
      <c r="AR234"/>
      <c r="AS234"/>
      <c r="AT234" s="851"/>
      <c r="AU234" s="851"/>
      <c r="AV234" s="851"/>
      <c r="AW234" s="851"/>
    </row>
    <row r="235" spans="1:49" hidden="1" outlineLevel="1">
      <c r="A235" s="28" t="s">
        <v>7</v>
      </c>
      <c r="N235" s="72">
        <v>341</v>
      </c>
      <c r="O235" s="72">
        <v>365</v>
      </c>
      <c r="P235" s="72">
        <v>336</v>
      </c>
      <c r="Q235" s="72">
        <v>386</v>
      </c>
      <c r="R235" s="46">
        <v>312</v>
      </c>
      <c r="S235" s="46">
        <v>319</v>
      </c>
      <c r="T235" s="46">
        <v>302</v>
      </c>
      <c r="U235" s="46">
        <v>322</v>
      </c>
      <c r="V235" s="46">
        <v>321</v>
      </c>
      <c r="W235" s="46">
        <v>336</v>
      </c>
      <c r="X235" s="46">
        <v>302</v>
      </c>
      <c r="Y235" s="46">
        <v>368</v>
      </c>
      <c r="Z235" s="46">
        <v>314</v>
      </c>
      <c r="AA235" s="46">
        <v>308</v>
      </c>
      <c r="AC235"/>
      <c r="AD235"/>
      <c r="AE235"/>
      <c r="AF235"/>
      <c r="AG235"/>
      <c r="AH235"/>
      <c r="AI235"/>
      <c r="AJ235"/>
      <c r="AK235"/>
      <c r="AL235"/>
      <c r="AM235"/>
      <c r="AN235"/>
      <c r="AO235"/>
      <c r="AP235"/>
      <c r="AQ235"/>
      <c r="AR235"/>
      <c r="AS235"/>
      <c r="AT235" s="851"/>
      <c r="AU235" s="851"/>
      <c r="AV235" s="851"/>
      <c r="AW235" s="851"/>
    </row>
    <row r="236" spans="1:49" hidden="1" outlineLevel="1">
      <c r="A236" s="29" t="s">
        <v>8</v>
      </c>
      <c r="N236" s="73">
        <v>294</v>
      </c>
      <c r="O236" s="73">
        <v>259</v>
      </c>
      <c r="P236" s="73">
        <v>271</v>
      </c>
      <c r="Q236" s="73">
        <v>256</v>
      </c>
      <c r="R236" s="43">
        <v>280</v>
      </c>
      <c r="S236" s="43">
        <v>299</v>
      </c>
      <c r="T236" s="43">
        <v>296</v>
      </c>
      <c r="U236" s="43">
        <v>343</v>
      </c>
      <c r="V236" s="43">
        <v>288</v>
      </c>
      <c r="W236" s="43">
        <v>307</v>
      </c>
      <c r="X236" s="43">
        <v>291</v>
      </c>
      <c r="Y236" s="43">
        <v>335</v>
      </c>
      <c r="Z236" s="43">
        <v>236</v>
      </c>
      <c r="AA236" s="43">
        <v>224</v>
      </c>
      <c r="AC236"/>
      <c r="AD236"/>
      <c r="AE236"/>
      <c r="AF236"/>
      <c r="AG236"/>
      <c r="AH236"/>
      <c r="AI236"/>
      <c r="AJ236"/>
      <c r="AK236"/>
      <c r="AL236"/>
      <c r="AM236"/>
      <c r="AN236"/>
      <c r="AO236"/>
      <c r="AP236"/>
      <c r="AQ236"/>
      <c r="AR236"/>
      <c r="AS236"/>
      <c r="AT236" s="851"/>
      <c r="AU236" s="851"/>
      <c r="AV236" s="851"/>
      <c r="AW236" s="851"/>
    </row>
    <row r="237" spans="1:49" hidden="1" outlineLevel="1">
      <c r="A237" s="26" t="s">
        <v>9</v>
      </c>
      <c r="N237" s="70">
        <v>75</v>
      </c>
      <c r="O237" s="70">
        <v>69</v>
      </c>
      <c r="P237" s="70">
        <v>55</v>
      </c>
      <c r="Q237" s="70">
        <v>57</v>
      </c>
      <c r="R237" s="44">
        <v>56</v>
      </c>
      <c r="S237" s="44">
        <v>53</v>
      </c>
      <c r="T237" s="44">
        <v>51</v>
      </c>
      <c r="U237" s="44">
        <v>50</v>
      </c>
      <c r="V237" s="44">
        <v>50</v>
      </c>
      <c r="W237" s="44">
        <v>47</v>
      </c>
      <c r="X237" s="44">
        <v>46</v>
      </c>
      <c r="Y237" s="44">
        <v>48</v>
      </c>
      <c r="Z237" s="44">
        <v>47</v>
      </c>
      <c r="AA237" s="44">
        <v>47</v>
      </c>
      <c r="AC237"/>
      <c r="AD237"/>
      <c r="AE237"/>
      <c r="AF237"/>
      <c r="AG237"/>
      <c r="AH237"/>
      <c r="AI237"/>
      <c r="AJ237"/>
      <c r="AK237"/>
      <c r="AL237"/>
      <c r="AM237"/>
      <c r="AN237"/>
      <c r="AO237"/>
      <c r="AP237"/>
      <c r="AQ237"/>
      <c r="AR237"/>
      <c r="AS237"/>
      <c r="AT237" s="851"/>
      <c r="AU237" s="851"/>
      <c r="AV237" s="851"/>
      <c r="AW237" s="851"/>
    </row>
    <row r="238" spans="1:49" hidden="1" outlineLevel="1">
      <c r="A238" s="30" t="s">
        <v>71</v>
      </c>
      <c r="N238" s="47">
        <v>0</v>
      </c>
      <c r="O238" s="47">
        <v>0</v>
      </c>
      <c r="P238" s="47">
        <v>0</v>
      </c>
      <c r="Q238" s="47">
        <v>0</v>
      </c>
      <c r="R238" s="47">
        <v>0</v>
      </c>
      <c r="S238" s="47">
        <v>0</v>
      </c>
      <c r="T238" s="47">
        <v>0</v>
      </c>
      <c r="U238" s="47">
        <v>0</v>
      </c>
      <c r="V238" s="47">
        <v>0</v>
      </c>
      <c r="W238" s="47">
        <v>0</v>
      </c>
      <c r="X238" s="47">
        <v>0</v>
      </c>
      <c r="Y238" s="47">
        <v>0</v>
      </c>
      <c r="Z238" s="47">
        <v>0</v>
      </c>
      <c r="AA238" s="47">
        <v>0</v>
      </c>
      <c r="AC238"/>
      <c r="AD238"/>
      <c r="AE238"/>
      <c r="AF238"/>
      <c r="AG238"/>
      <c r="AH238"/>
      <c r="AI238"/>
      <c r="AJ238"/>
      <c r="AK238"/>
      <c r="AL238"/>
      <c r="AM238"/>
      <c r="AN238"/>
      <c r="AO238"/>
      <c r="AP238"/>
      <c r="AQ238"/>
      <c r="AR238"/>
      <c r="AS238"/>
      <c r="AT238" s="851"/>
      <c r="AU238" s="851"/>
      <c r="AV238" s="851"/>
      <c r="AW238" s="851"/>
    </row>
    <row r="239" spans="1:49" hidden="1" outlineLevel="1">
      <c r="A239" s="30" t="s">
        <v>10</v>
      </c>
      <c r="N239" s="74">
        <v>0</v>
      </c>
      <c r="O239" s="74">
        <v>0</v>
      </c>
      <c r="P239" s="74">
        <v>0</v>
      </c>
      <c r="Q239" s="74">
        <v>0</v>
      </c>
      <c r="R239" s="47">
        <v>0</v>
      </c>
      <c r="S239" s="47">
        <v>0</v>
      </c>
      <c r="T239" s="47">
        <v>0</v>
      </c>
      <c r="U239" s="47">
        <v>0</v>
      </c>
      <c r="V239" s="47">
        <v>0</v>
      </c>
      <c r="W239" s="47">
        <v>0</v>
      </c>
      <c r="X239" s="47">
        <v>0</v>
      </c>
      <c r="Y239" s="47">
        <v>33</v>
      </c>
      <c r="Z239" s="47">
        <v>35</v>
      </c>
      <c r="AA239" s="47">
        <v>3</v>
      </c>
      <c r="AC239"/>
      <c r="AD239"/>
      <c r="AE239"/>
      <c r="AF239"/>
      <c r="AG239"/>
      <c r="AH239"/>
      <c r="AI239"/>
      <c r="AJ239"/>
      <c r="AK239"/>
      <c r="AL239"/>
      <c r="AM239"/>
      <c r="AN239"/>
      <c r="AO239"/>
      <c r="AP239"/>
      <c r="AQ239"/>
      <c r="AR239"/>
      <c r="AS239"/>
      <c r="AT239" s="851"/>
      <c r="AU239" s="851"/>
      <c r="AV239" s="851"/>
      <c r="AW239" s="851"/>
    </row>
    <row r="240" spans="1:49" hidden="1" outlineLevel="1">
      <c r="A240" s="28" t="s">
        <v>11</v>
      </c>
      <c r="N240" s="76">
        <v>369</v>
      </c>
      <c r="O240" s="76">
        <v>328</v>
      </c>
      <c r="P240" s="76">
        <v>326</v>
      </c>
      <c r="Q240" s="76">
        <v>313</v>
      </c>
      <c r="R240" s="49">
        <v>336</v>
      </c>
      <c r="S240" s="49">
        <v>352</v>
      </c>
      <c r="T240" s="49">
        <v>347</v>
      </c>
      <c r="U240" s="49">
        <v>393</v>
      </c>
      <c r="V240" s="49">
        <v>338</v>
      </c>
      <c r="W240" s="49">
        <v>354</v>
      </c>
      <c r="X240" s="49">
        <v>337</v>
      </c>
      <c r="Y240" s="49">
        <v>416</v>
      </c>
      <c r="Z240" s="49">
        <v>318</v>
      </c>
      <c r="AA240" s="49">
        <v>274</v>
      </c>
      <c r="AC240"/>
      <c r="AD240"/>
      <c r="AE240"/>
      <c r="AF240"/>
      <c r="AG240"/>
      <c r="AH240"/>
      <c r="AI240"/>
      <c r="AJ240"/>
      <c r="AK240"/>
      <c r="AL240"/>
      <c r="AM240"/>
      <c r="AN240"/>
      <c r="AO240"/>
      <c r="AP240"/>
      <c r="AQ240"/>
      <c r="AR240"/>
      <c r="AS240"/>
      <c r="AT240" s="851"/>
      <c r="AU240" s="851"/>
      <c r="AV240" s="851"/>
      <c r="AW240" s="851"/>
    </row>
    <row r="241" spans="1:49" hidden="1" outlineLevel="1">
      <c r="A241" s="36" t="s">
        <v>12</v>
      </c>
      <c r="N241" s="77">
        <v>710</v>
      </c>
      <c r="O241" s="77">
        <v>693</v>
      </c>
      <c r="P241" s="77">
        <v>662</v>
      </c>
      <c r="Q241" s="77">
        <v>699</v>
      </c>
      <c r="R241" s="51">
        <v>648</v>
      </c>
      <c r="S241" s="51">
        <v>671</v>
      </c>
      <c r="T241" s="51">
        <v>649</v>
      </c>
      <c r="U241" s="51">
        <v>715</v>
      </c>
      <c r="V241" s="51">
        <v>659</v>
      </c>
      <c r="W241" s="51">
        <v>690</v>
      </c>
      <c r="X241" s="51">
        <v>639</v>
      </c>
      <c r="Y241" s="51">
        <v>784</v>
      </c>
      <c r="Z241" s="51">
        <v>632</v>
      </c>
      <c r="AA241" s="51">
        <v>582</v>
      </c>
      <c r="AC241"/>
      <c r="AD241"/>
      <c r="AE241"/>
      <c r="AF241"/>
      <c r="AG241"/>
      <c r="AH241"/>
      <c r="AI241"/>
      <c r="AJ241"/>
      <c r="AK241"/>
      <c r="AL241"/>
      <c r="AM241"/>
      <c r="AN241"/>
      <c r="AO241"/>
      <c r="AP241"/>
      <c r="AQ241"/>
      <c r="AR241"/>
      <c r="AS241"/>
      <c r="AT241" s="851"/>
      <c r="AU241" s="851"/>
      <c r="AV241" s="851"/>
      <c r="AW241" s="851"/>
    </row>
    <row r="242" spans="1:49" ht="16.5" hidden="1" outlineLevel="1" thickBot="1">
      <c r="A242" s="31" t="s">
        <v>87</v>
      </c>
      <c r="N242" s="564">
        <v>175</v>
      </c>
      <c r="O242" s="564">
        <v>238</v>
      </c>
      <c r="P242" s="564">
        <v>210</v>
      </c>
      <c r="Q242" s="564">
        <v>230</v>
      </c>
      <c r="R242" s="565">
        <v>264</v>
      </c>
      <c r="S242" s="565">
        <v>195</v>
      </c>
      <c r="T242" s="565">
        <v>230</v>
      </c>
      <c r="U242" s="565">
        <v>558</v>
      </c>
      <c r="V242" s="565">
        <v>249</v>
      </c>
      <c r="W242" s="565">
        <v>257</v>
      </c>
      <c r="X242" s="565">
        <v>204</v>
      </c>
      <c r="Y242" s="565">
        <v>165</v>
      </c>
      <c r="Z242" s="565">
        <v>205</v>
      </c>
      <c r="AA242" s="565">
        <v>251</v>
      </c>
      <c r="AC242"/>
      <c r="AD242"/>
      <c r="AE242"/>
      <c r="AF242"/>
      <c r="AG242"/>
      <c r="AH242"/>
      <c r="AI242"/>
      <c r="AJ242"/>
      <c r="AK242"/>
      <c r="AL242"/>
      <c r="AM242"/>
      <c r="AN242"/>
      <c r="AO242"/>
      <c r="AP242"/>
      <c r="AQ242"/>
      <c r="AR242"/>
      <c r="AS242"/>
      <c r="AT242" s="851"/>
      <c r="AU242" s="851"/>
      <c r="AV242" s="851"/>
      <c r="AW242" s="851"/>
    </row>
    <row r="243" spans="1:49" hidden="1" outlineLevel="1">
      <c r="A243" s="37"/>
      <c r="N243" s="563"/>
      <c r="O243" s="563"/>
      <c r="P243" s="563"/>
      <c r="Q243" s="563"/>
      <c r="R243" s="52"/>
      <c r="S243" s="52"/>
      <c r="T243" s="52"/>
      <c r="U243" s="52"/>
      <c r="V243" s="52"/>
      <c r="W243" s="52"/>
      <c r="X243" s="52"/>
      <c r="Y243" s="52"/>
      <c r="Z243" s="52"/>
      <c r="AA243" s="52"/>
      <c r="AC243"/>
      <c r="AD243"/>
      <c r="AE243"/>
      <c r="AF243"/>
      <c r="AG243"/>
      <c r="AH243"/>
      <c r="AI243"/>
      <c r="AJ243"/>
      <c r="AK243"/>
      <c r="AL243"/>
      <c r="AM243"/>
      <c r="AN243"/>
      <c r="AO243"/>
      <c r="AP243"/>
      <c r="AQ243"/>
      <c r="AR243"/>
      <c r="AS243"/>
      <c r="AT243" s="851"/>
      <c r="AU243" s="851"/>
      <c r="AV243" s="851"/>
      <c r="AW243" s="851"/>
    </row>
    <row r="244" spans="1:49" ht="16.5" hidden="1" outlineLevel="1" thickBot="1">
      <c r="A244" s="33" t="s">
        <v>90</v>
      </c>
      <c r="N244" s="563"/>
      <c r="O244" s="563"/>
      <c r="P244" s="563"/>
      <c r="Q244" s="563"/>
      <c r="R244" s="566">
        <v>69.827586206896555</v>
      </c>
      <c r="S244" s="566">
        <v>75.990939977349953</v>
      </c>
      <c r="T244" s="566">
        <v>72.433035714285708</v>
      </c>
      <c r="U244" s="566">
        <v>55.72876071706937</v>
      </c>
      <c r="V244" s="566">
        <v>71.630434782608702</v>
      </c>
      <c r="W244" s="566">
        <v>72.175732217573213</v>
      </c>
      <c r="X244" s="566">
        <v>74.562427071178533</v>
      </c>
      <c r="Y244" s="566">
        <v>81.412253374870204</v>
      </c>
      <c r="Z244" s="566">
        <v>74.704491725768321</v>
      </c>
      <c r="AA244" s="566">
        <v>69.285714285714278</v>
      </c>
      <c r="AC244"/>
      <c r="AD244"/>
      <c r="AE244"/>
      <c r="AF244"/>
      <c r="AG244"/>
      <c r="AH244"/>
      <c r="AI244"/>
      <c r="AJ244"/>
      <c r="AK244"/>
      <c r="AL244"/>
      <c r="AM244"/>
      <c r="AN244"/>
      <c r="AO244"/>
      <c r="AP244"/>
      <c r="AQ244"/>
      <c r="AR244"/>
      <c r="AS244"/>
      <c r="AT244" s="851"/>
      <c r="AU244" s="851"/>
      <c r="AV244" s="851"/>
      <c r="AW244" s="851"/>
    </row>
    <row r="245" spans="1:49" ht="16.5" hidden="1" outlineLevel="1" thickBot="1">
      <c r="A245" s="35"/>
      <c r="N245" s="563"/>
      <c r="O245" s="563"/>
      <c r="P245" s="563"/>
      <c r="Q245" s="563"/>
      <c r="R245" s="567"/>
      <c r="S245" s="567"/>
      <c r="T245" s="567"/>
      <c r="U245" s="567"/>
      <c r="V245" s="567"/>
      <c r="W245" s="567"/>
      <c r="X245" s="567"/>
      <c r="Y245" s="567"/>
      <c r="Z245" s="567"/>
      <c r="AA245" s="567"/>
      <c r="AC245"/>
      <c r="AD245"/>
      <c r="AE245"/>
      <c r="AF245"/>
      <c r="AG245"/>
      <c r="AH245"/>
      <c r="AI245"/>
      <c r="AJ245"/>
      <c r="AK245"/>
      <c r="AL245"/>
      <c r="AM245"/>
      <c r="AN245"/>
      <c r="AO245"/>
      <c r="AP245"/>
      <c r="AQ245"/>
      <c r="AR245"/>
      <c r="AS245"/>
      <c r="AT245" s="851"/>
      <c r="AU245" s="851"/>
      <c r="AV245" s="851"/>
      <c r="AW245" s="851"/>
    </row>
    <row r="246" spans="1:49" hidden="1" outlineLevel="1">
      <c r="A246" s="38"/>
      <c r="N246" s="563"/>
      <c r="O246" s="563"/>
      <c r="P246" s="563"/>
      <c r="Q246" s="563"/>
      <c r="R246" s="568"/>
      <c r="S246" s="568"/>
      <c r="T246" s="568"/>
      <c r="U246" s="568"/>
      <c r="V246" s="568"/>
      <c r="W246" s="568"/>
      <c r="X246" s="568"/>
      <c r="Y246" s="568"/>
      <c r="Z246" s="568"/>
      <c r="AA246" s="568"/>
      <c r="AC246"/>
      <c r="AD246"/>
      <c r="AE246"/>
      <c r="AF246"/>
      <c r="AG246"/>
      <c r="AH246"/>
      <c r="AI246"/>
      <c r="AJ246"/>
      <c r="AK246"/>
      <c r="AL246"/>
      <c r="AM246"/>
      <c r="AN246"/>
      <c r="AO246"/>
      <c r="AP246"/>
      <c r="AQ246"/>
      <c r="AR246"/>
      <c r="AS246"/>
      <c r="AT246" s="851"/>
      <c r="AU246" s="851"/>
      <c r="AV246" s="851"/>
      <c r="AW246" s="851"/>
    </row>
    <row r="247" spans="1:49" hidden="1" outlineLevel="1">
      <c r="A247" s="39" t="s">
        <v>95</v>
      </c>
      <c r="N247" s="563"/>
      <c r="O247" s="563"/>
      <c r="P247" s="563"/>
      <c r="Q247" s="563"/>
      <c r="R247" s="53">
        <v>149</v>
      </c>
      <c r="S247" s="53">
        <v>138</v>
      </c>
      <c r="T247" s="53">
        <v>140</v>
      </c>
      <c r="U247" s="53">
        <v>198</v>
      </c>
      <c r="V247" s="53">
        <v>145</v>
      </c>
      <c r="W247" s="53">
        <v>149</v>
      </c>
      <c r="X247" s="53">
        <v>141</v>
      </c>
      <c r="Y247" s="53">
        <v>159</v>
      </c>
      <c r="Z247" s="53">
        <v>142</v>
      </c>
      <c r="AA247" s="53">
        <v>140</v>
      </c>
      <c r="AC247"/>
      <c r="AD247"/>
      <c r="AE247"/>
      <c r="AF247"/>
      <c r="AG247"/>
      <c r="AH247"/>
      <c r="AI247"/>
      <c r="AJ247"/>
      <c r="AK247"/>
      <c r="AL247"/>
      <c r="AM247"/>
      <c r="AN247"/>
      <c r="AO247"/>
      <c r="AP247"/>
      <c r="AQ247"/>
      <c r="AR247"/>
      <c r="AS247"/>
      <c r="AT247" s="851"/>
      <c r="AU247" s="851"/>
      <c r="AV247" s="851"/>
      <c r="AW247" s="851"/>
    </row>
    <row r="248" spans="1:49" ht="16.5" hidden="1" outlineLevel="1" thickBot="1">
      <c r="A248" s="34" t="s">
        <v>96</v>
      </c>
      <c r="N248" s="563"/>
      <c r="O248" s="563"/>
      <c r="P248" s="563"/>
      <c r="Q248" s="563"/>
      <c r="R248" s="54">
        <v>42</v>
      </c>
      <c r="S248" s="54">
        <v>30</v>
      </c>
      <c r="T248" s="54">
        <v>36</v>
      </c>
      <c r="U248" s="54">
        <v>86</v>
      </c>
      <c r="V248" s="54">
        <v>39</v>
      </c>
      <c r="W248" s="54">
        <v>40</v>
      </c>
      <c r="X248" s="54">
        <v>34</v>
      </c>
      <c r="Y248" s="54">
        <v>27</v>
      </c>
      <c r="Z248" s="54">
        <v>34</v>
      </c>
      <c r="AA248" s="54">
        <v>42</v>
      </c>
      <c r="AC248"/>
      <c r="AD248"/>
      <c r="AE248"/>
      <c r="AF248"/>
      <c r="AG248"/>
      <c r="AH248"/>
      <c r="AI248"/>
      <c r="AJ248"/>
      <c r="AK248"/>
      <c r="AL248"/>
      <c r="AM248"/>
      <c r="AN248"/>
      <c r="AO248"/>
      <c r="AP248"/>
      <c r="AQ248"/>
      <c r="AR248"/>
      <c r="AS248"/>
      <c r="AT248" s="851"/>
      <c r="AU248" s="851"/>
      <c r="AV248" s="851"/>
      <c r="AW248" s="851"/>
    </row>
    <row r="249" spans="1:49" hidden="1" outlineLevel="1">
      <c r="A249" s="37"/>
      <c r="N249" s="563"/>
      <c r="O249" s="563"/>
      <c r="P249" s="563"/>
      <c r="Q249" s="563"/>
      <c r="R249" s="52"/>
      <c r="S249" s="52"/>
      <c r="T249" s="52"/>
      <c r="U249" s="52"/>
      <c r="V249" s="52"/>
      <c r="W249" s="52"/>
      <c r="X249" s="52"/>
      <c r="Y249" s="52"/>
      <c r="Z249" s="52"/>
      <c r="AA249" s="52"/>
      <c r="AC249"/>
      <c r="AD249"/>
      <c r="AE249"/>
      <c r="AF249"/>
      <c r="AG249"/>
      <c r="AH249"/>
      <c r="AI249"/>
      <c r="AJ249"/>
      <c r="AK249"/>
      <c r="AL249"/>
      <c r="AM249"/>
      <c r="AN249"/>
      <c r="AO249"/>
      <c r="AP249"/>
      <c r="AQ249"/>
      <c r="AR249"/>
      <c r="AS249"/>
      <c r="AT249" s="851"/>
      <c r="AU249" s="851"/>
      <c r="AV249" s="851"/>
      <c r="AW249" s="851"/>
    </row>
    <row r="250" spans="1:49" ht="16.5" hidden="1" outlineLevel="1" thickBot="1">
      <c r="A250" s="34" t="s">
        <v>97</v>
      </c>
      <c r="N250" s="563"/>
      <c r="O250" s="563"/>
      <c r="P250" s="563"/>
      <c r="Q250" s="563"/>
      <c r="R250" s="50">
        <v>1610</v>
      </c>
      <c r="S250" s="50">
        <v>1600</v>
      </c>
      <c r="T250" s="50">
        <v>1600</v>
      </c>
      <c r="U250" s="50">
        <v>1580</v>
      </c>
      <c r="V250" s="50">
        <v>1590</v>
      </c>
      <c r="W250" s="50">
        <v>1580</v>
      </c>
      <c r="X250" s="50">
        <v>1570</v>
      </c>
      <c r="Y250" s="50">
        <v>1570</v>
      </c>
      <c r="Z250" s="50">
        <v>1560</v>
      </c>
      <c r="AA250" s="50">
        <v>1530</v>
      </c>
      <c r="AC250"/>
      <c r="AD250"/>
      <c r="AE250"/>
      <c r="AF250"/>
      <c r="AG250"/>
      <c r="AH250"/>
      <c r="AI250"/>
      <c r="AJ250"/>
      <c r="AK250"/>
      <c r="AL250"/>
      <c r="AM250"/>
      <c r="AN250"/>
      <c r="AO250"/>
      <c r="AP250"/>
      <c r="AQ250"/>
      <c r="AR250"/>
      <c r="AS250"/>
      <c r="AT250" s="851"/>
      <c r="AU250" s="851"/>
      <c r="AV250" s="851"/>
      <c r="AW250" s="851"/>
    </row>
    <row r="251" spans="1:49" ht="16.5" hidden="1" outlineLevel="1" thickBot="1">
      <c r="A251" s="37"/>
      <c r="N251" s="563"/>
      <c r="O251" s="563"/>
      <c r="P251" s="563"/>
      <c r="Q251" s="563"/>
      <c r="R251" s="52"/>
      <c r="S251" s="52"/>
      <c r="T251" s="52"/>
      <c r="U251" s="52"/>
      <c r="V251" s="52"/>
      <c r="W251" s="52"/>
      <c r="X251" s="52"/>
      <c r="Y251" s="52"/>
      <c r="Z251" s="52"/>
      <c r="AA251" s="52"/>
      <c r="AC251"/>
      <c r="AD251"/>
      <c r="AE251"/>
      <c r="AF251"/>
      <c r="AG251"/>
      <c r="AH251"/>
      <c r="AI251"/>
      <c r="AJ251"/>
      <c r="AK251"/>
      <c r="AL251"/>
      <c r="AM251"/>
      <c r="AN251"/>
      <c r="AO251"/>
      <c r="AP251"/>
      <c r="AQ251"/>
      <c r="AR251"/>
      <c r="AS251"/>
      <c r="AT251" s="851"/>
      <c r="AU251" s="851"/>
      <c r="AV251" s="851"/>
      <c r="AW251" s="851"/>
    </row>
    <row r="252" spans="1:49" hidden="1" outlineLevel="1">
      <c r="A252" s="39" t="s">
        <v>98</v>
      </c>
      <c r="N252" s="78">
        <v>238.9</v>
      </c>
      <c r="O252" s="78">
        <v>236.3</v>
      </c>
      <c r="P252" s="78">
        <v>242.6</v>
      </c>
      <c r="Q252" s="78">
        <v>244.2</v>
      </c>
      <c r="R252" s="55">
        <v>253.1</v>
      </c>
      <c r="S252" s="55">
        <v>256.7</v>
      </c>
      <c r="T252" s="55">
        <v>258</v>
      </c>
      <c r="U252" s="55">
        <v>258.60000000000002</v>
      </c>
      <c r="V252" s="55">
        <v>256.5</v>
      </c>
      <c r="W252" s="55">
        <v>253.6</v>
      </c>
      <c r="X252" s="55">
        <v>237.1</v>
      </c>
      <c r="Y252" s="55">
        <v>241</v>
      </c>
      <c r="Z252" s="55">
        <v>236.1</v>
      </c>
      <c r="AA252" s="55">
        <v>241.4</v>
      </c>
      <c r="AC252"/>
      <c r="AD252"/>
      <c r="AE252"/>
      <c r="AF252"/>
      <c r="AG252"/>
      <c r="AH252"/>
      <c r="AI252"/>
      <c r="AJ252"/>
      <c r="AK252"/>
      <c r="AL252"/>
      <c r="AM252"/>
      <c r="AN252"/>
      <c r="AO252"/>
      <c r="AP252"/>
      <c r="AQ252"/>
      <c r="AR252"/>
      <c r="AS252"/>
      <c r="AT252" s="851"/>
      <c r="AU252" s="851"/>
      <c r="AV252" s="851"/>
      <c r="AW252" s="851"/>
    </row>
    <row r="253" spans="1:49" ht="16.5" hidden="1" outlineLevel="1" thickBot="1">
      <c r="A253" s="34" t="s">
        <v>99</v>
      </c>
      <c r="N253" s="79">
        <v>0.2</v>
      </c>
      <c r="O253" s="79">
        <v>0.1</v>
      </c>
      <c r="P253" s="79">
        <v>-1.1000000000000001</v>
      </c>
      <c r="Q253" s="79">
        <v>-1.7</v>
      </c>
      <c r="R253" s="56">
        <v>3.8</v>
      </c>
      <c r="S253" s="56">
        <v>1.8</v>
      </c>
      <c r="T253" s="56">
        <v>-1.9</v>
      </c>
      <c r="U253" s="56">
        <v>0.1</v>
      </c>
      <c r="V253" s="56">
        <v>1.5</v>
      </c>
      <c r="W253" s="56">
        <v>1.5</v>
      </c>
      <c r="X253" s="56">
        <v>3.1</v>
      </c>
      <c r="Y253" s="56">
        <v>-2.9</v>
      </c>
      <c r="Z253" s="56">
        <v>0.7</v>
      </c>
      <c r="AA253" s="56">
        <v>0.9</v>
      </c>
      <c r="AC253"/>
      <c r="AD253"/>
      <c r="AE253"/>
      <c r="AF253"/>
      <c r="AG253"/>
      <c r="AH253"/>
      <c r="AI253"/>
      <c r="AJ253"/>
      <c r="AK253"/>
      <c r="AL253"/>
      <c r="AM253"/>
      <c r="AN253"/>
      <c r="AO253"/>
      <c r="AP253"/>
      <c r="AQ253"/>
      <c r="AR253"/>
      <c r="AS253"/>
      <c r="AT253" s="851"/>
      <c r="AU253" s="851"/>
      <c r="AV253" s="851"/>
      <c r="AW253" s="851"/>
    </row>
    <row r="254" spans="1:49" hidden="1" outlineLevel="1">
      <c r="A254" s="40"/>
      <c r="N254" s="563"/>
      <c r="O254" s="563"/>
      <c r="P254" s="563"/>
      <c r="Q254" s="563"/>
      <c r="R254" s="57"/>
      <c r="S254" s="57"/>
      <c r="T254" s="57"/>
      <c r="U254" s="57"/>
      <c r="V254" s="57"/>
      <c r="W254" s="57"/>
      <c r="X254" s="57"/>
      <c r="Y254" s="57"/>
      <c r="Z254" s="57"/>
      <c r="AA254" s="57"/>
      <c r="AC254"/>
      <c r="AD254"/>
      <c r="AE254"/>
      <c r="AF254"/>
      <c r="AG254"/>
      <c r="AH254"/>
      <c r="AI254"/>
      <c r="AJ254"/>
      <c r="AK254"/>
      <c r="AL254"/>
      <c r="AM254"/>
      <c r="AN254"/>
      <c r="AO254"/>
      <c r="AP254"/>
      <c r="AQ254"/>
      <c r="AR254"/>
      <c r="AS254"/>
      <c r="AT254" s="851"/>
      <c r="AU254" s="851"/>
      <c r="AV254" s="851"/>
      <c r="AW254" s="851"/>
    </row>
    <row r="255" spans="1:49" hidden="1" outlineLevel="1">
      <c r="A255" s="24" t="s">
        <v>100</v>
      </c>
      <c r="N255" s="563"/>
      <c r="O255" s="563"/>
      <c r="P255" s="563"/>
      <c r="Q255" s="563"/>
      <c r="R255" s="57"/>
      <c r="S255" s="57"/>
      <c r="T255" s="57"/>
      <c r="U255" s="57"/>
      <c r="V255" s="57"/>
      <c r="W255" s="57"/>
      <c r="X255" s="57"/>
      <c r="Y255" s="57"/>
      <c r="Z255" s="57"/>
      <c r="AA255" s="57"/>
      <c r="AB255" s="130" t="s">
        <v>171</v>
      </c>
      <c r="AC255"/>
      <c r="AD255"/>
      <c r="AE255"/>
      <c r="AF255"/>
      <c r="AG255"/>
      <c r="AH255"/>
      <c r="AI255"/>
      <c r="AJ255"/>
      <c r="AK255"/>
      <c r="AL255"/>
      <c r="AM255"/>
      <c r="AN255"/>
      <c r="AO255"/>
      <c r="AP255"/>
      <c r="AQ255"/>
      <c r="AR255"/>
      <c r="AS255"/>
      <c r="AT255" s="851"/>
      <c r="AU255" s="851"/>
      <c r="AV255" s="851"/>
      <c r="AW255" s="851"/>
    </row>
    <row r="256" spans="1:49" hidden="1" outlineLevel="1">
      <c r="A256" s="25" t="s">
        <v>67</v>
      </c>
      <c r="N256" s="69">
        <v>259</v>
      </c>
      <c r="O256" s="69">
        <v>250</v>
      </c>
      <c r="P256" s="69">
        <v>248</v>
      </c>
      <c r="Q256" s="69">
        <v>244</v>
      </c>
      <c r="R256" s="42">
        <v>221</v>
      </c>
      <c r="S256" s="42">
        <v>217</v>
      </c>
      <c r="T256" s="42">
        <v>220</v>
      </c>
      <c r="U256" s="42">
        <v>226</v>
      </c>
      <c r="V256" s="42">
        <v>205</v>
      </c>
      <c r="W256" s="42">
        <v>238</v>
      </c>
      <c r="X256" s="42">
        <v>256</v>
      </c>
      <c r="Y256" s="43">
        <v>288</v>
      </c>
      <c r="Z256" s="43">
        <v>272</v>
      </c>
      <c r="AA256" s="42">
        <v>242</v>
      </c>
      <c r="AC256"/>
      <c r="AD256"/>
      <c r="AE256"/>
      <c r="AF256"/>
      <c r="AG256"/>
      <c r="AH256"/>
      <c r="AI256"/>
      <c r="AJ256"/>
      <c r="AK256"/>
      <c r="AL256"/>
      <c r="AM256"/>
      <c r="AN256"/>
      <c r="AO256"/>
      <c r="AP256"/>
      <c r="AQ256"/>
      <c r="AR256"/>
      <c r="AS256"/>
      <c r="AT256" s="851"/>
      <c r="AU256" s="851"/>
      <c r="AV256" s="851"/>
      <c r="AW256" s="851"/>
    </row>
    <row r="257" spans="1:49" hidden="1" outlineLevel="1">
      <c r="A257" s="26" t="s">
        <v>83</v>
      </c>
      <c r="N257" s="70">
        <v>107</v>
      </c>
      <c r="O257" s="70">
        <v>114</v>
      </c>
      <c r="P257" s="70">
        <v>113</v>
      </c>
      <c r="Q257" s="70">
        <v>102</v>
      </c>
      <c r="R257" s="44">
        <v>121</v>
      </c>
      <c r="S257" s="44">
        <v>110</v>
      </c>
      <c r="T257" s="44">
        <v>109</v>
      </c>
      <c r="U257" s="44">
        <v>112</v>
      </c>
      <c r="V257" s="44">
        <v>121</v>
      </c>
      <c r="W257" s="44">
        <v>113</v>
      </c>
      <c r="X257" s="44">
        <v>117</v>
      </c>
      <c r="Y257" s="44">
        <v>116</v>
      </c>
      <c r="Z257" s="44">
        <v>109</v>
      </c>
      <c r="AA257" s="44">
        <v>123</v>
      </c>
      <c r="AC257"/>
      <c r="AD257"/>
      <c r="AE257"/>
      <c r="AF257"/>
      <c r="AG257"/>
      <c r="AH257"/>
      <c r="AI257"/>
      <c r="AJ257"/>
      <c r="AK257"/>
      <c r="AL257"/>
      <c r="AM257"/>
      <c r="AN257"/>
      <c r="AO257"/>
      <c r="AP257"/>
      <c r="AQ257"/>
      <c r="AR257"/>
      <c r="AS257"/>
      <c r="AT257" s="851"/>
      <c r="AU257" s="851"/>
      <c r="AV257" s="851"/>
      <c r="AW257" s="851"/>
    </row>
    <row r="258" spans="1:49" hidden="1" outlineLevel="1">
      <c r="A258" s="26" t="s">
        <v>84</v>
      </c>
      <c r="N258" s="70">
        <v>126</v>
      </c>
      <c r="O258" s="70">
        <v>142</v>
      </c>
      <c r="P258" s="70">
        <v>115</v>
      </c>
      <c r="Q258" s="70">
        <v>116</v>
      </c>
      <c r="R258" s="44">
        <v>134</v>
      </c>
      <c r="S258" s="44">
        <v>145</v>
      </c>
      <c r="T258" s="44">
        <v>164</v>
      </c>
      <c r="U258" s="44">
        <v>169</v>
      </c>
      <c r="V258" s="44">
        <v>159</v>
      </c>
      <c r="W258" s="44">
        <v>162</v>
      </c>
      <c r="X258" s="44">
        <v>144</v>
      </c>
      <c r="Y258" s="44">
        <v>128</v>
      </c>
      <c r="Z258" s="44">
        <v>139</v>
      </c>
      <c r="AA258" s="44">
        <v>146</v>
      </c>
      <c r="AC258"/>
      <c r="AD258"/>
      <c r="AE258"/>
      <c r="AF258"/>
      <c r="AG258"/>
      <c r="AH258"/>
      <c r="AI258"/>
      <c r="AJ258"/>
      <c r="AK258"/>
      <c r="AL258"/>
      <c r="AM258"/>
      <c r="AN258"/>
      <c r="AO258"/>
      <c r="AP258"/>
      <c r="AQ258"/>
      <c r="AR258"/>
      <c r="AS258"/>
      <c r="AT258" s="851"/>
      <c r="AU258" s="851"/>
      <c r="AV258" s="851"/>
      <c r="AW258" s="851"/>
    </row>
    <row r="259" spans="1:49" hidden="1" outlineLevel="1">
      <c r="A259" s="27" t="s">
        <v>70</v>
      </c>
      <c r="N259" s="71">
        <v>-5</v>
      </c>
      <c r="O259" s="71">
        <v>-7</v>
      </c>
      <c r="P259" s="71">
        <v>-1</v>
      </c>
      <c r="Q259" s="71">
        <v>-3</v>
      </c>
      <c r="R259" s="45">
        <v>-4</v>
      </c>
      <c r="S259" s="45">
        <v>-22</v>
      </c>
      <c r="T259" s="45">
        <v>-5</v>
      </c>
      <c r="U259" s="45">
        <v>5</v>
      </c>
      <c r="V259" s="45">
        <v>-5</v>
      </c>
      <c r="W259" s="45">
        <v>-7</v>
      </c>
      <c r="X259" s="45">
        <v>-10</v>
      </c>
      <c r="Y259" s="45">
        <v>0</v>
      </c>
      <c r="Z259" s="45">
        <v>-10</v>
      </c>
      <c r="AA259" s="45">
        <v>-14</v>
      </c>
      <c r="AC259"/>
      <c r="AD259"/>
      <c r="AE259"/>
      <c r="AF259"/>
      <c r="AG259"/>
      <c r="AH259"/>
      <c r="AI259"/>
      <c r="AJ259"/>
      <c r="AK259"/>
      <c r="AL259"/>
      <c r="AM259"/>
      <c r="AN259"/>
      <c r="AO259"/>
      <c r="AP259"/>
      <c r="AQ259"/>
      <c r="AR259"/>
      <c r="AS259"/>
      <c r="AT259" s="851"/>
      <c r="AU259" s="851"/>
      <c r="AV259" s="851"/>
      <c r="AW259" s="851"/>
    </row>
    <row r="260" spans="1:49" hidden="1" outlineLevel="1">
      <c r="A260" s="36" t="s">
        <v>5</v>
      </c>
      <c r="N260" s="77">
        <v>487</v>
      </c>
      <c r="O260" s="77">
        <v>499</v>
      </c>
      <c r="P260" s="77">
        <v>475</v>
      </c>
      <c r="Q260" s="77">
        <v>459</v>
      </c>
      <c r="R260" s="51">
        <v>472</v>
      </c>
      <c r="S260" s="51">
        <v>450</v>
      </c>
      <c r="T260" s="51">
        <v>488</v>
      </c>
      <c r="U260" s="51">
        <v>512</v>
      </c>
      <c r="V260" s="51">
        <v>480</v>
      </c>
      <c r="W260" s="51">
        <v>506</v>
      </c>
      <c r="X260" s="51">
        <v>507</v>
      </c>
      <c r="Y260" s="51">
        <v>532</v>
      </c>
      <c r="Z260" s="51">
        <v>510</v>
      </c>
      <c r="AA260" s="51">
        <v>497</v>
      </c>
      <c r="AT260" s="18"/>
      <c r="AU260" s="18"/>
      <c r="AV260" s="18"/>
      <c r="AW260" s="18"/>
    </row>
    <row r="261" spans="1:49" hidden="1" outlineLevel="1">
      <c r="A261" s="36" t="s">
        <v>6</v>
      </c>
      <c r="N261" s="77">
        <v>-3</v>
      </c>
      <c r="O261" s="77">
        <v>-7</v>
      </c>
      <c r="P261" s="77">
        <v>3</v>
      </c>
      <c r="Q261" s="77">
        <v>3</v>
      </c>
      <c r="R261" s="51">
        <v>2</v>
      </c>
      <c r="S261" s="51">
        <v>10</v>
      </c>
      <c r="T261" s="51">
        <v>3</v>
      </c>
      <c r="U261" s="51">
        <v>19</v>
      </c>
      <c r="V261" s="51">
        <v>11</v>
      </c>
      <c r="W261" s="51">
        <v>24</v>
      </c>
      <c r="X261" s="51">
        <v>25</v>
      </c>
      <c r="Y261" s="51">
        <v>29</v>
      </c>
      <c r="Z261" s="51">
        <v>-3</v>
      </c>
      <c r="AA261" s="51">
        <v>2</v>
      </c>
      <c r="AT261" s="18"/>
      <c r="AU261" s="18"/>
      <c r="AV261" s="18"/>
      <c r="AW261" s="18"/>
    </row>
    <row r="262" spans="1:49" hidden="1" outlineLevel="1">
      <c r="A262" s="28" t="s">
        <v>7</v>
      </c>
      <c r="N262" s="72">
        <v>156</v>
      </c>
      <c r="O262" s="72">
        <v>154</v>
      </c>
      <c r="P262" s="72">
        <v>160</v>
      </c>
      <c r="Q262" s="72">
        <v>168</v>
      </c>
      <c r="R262" s="46">
        <v>165</v>
      </c>
      <c r="S262" s="46">
        <v>161</v>
      </c>
      <c r="T262" s="46">
        <v>153</v>
      </c>
      <c r="U262" s="46">
        <v>171</v>
      </c>
      <c r="V262" s="46">
        <v>164</v>
      </c>
      <c r="W262" s="46">
        <v>160</v>
      </c>
      <c r="X262" s="46">
        <v>167</v>
      </c>
      <c r="Y262" s="46">
        <v>167</v>
      </c>
      <c r="Z262" s="46">
        <v>162</v>
      </c>
      <c r="AA262" s="46">
        <v>182</v>
      </c>
      <c r="AT262" s="18"/>
      <c r="AU262" s="18"/>
      <c r="AV262" s="18"/>
      <c r="AW262" s="18"/>
    </row>
    <row r="263" spans="1:49" hidden="1" outlineLevel="1">
      <c r="A263" s="29" t="s">
        <v>8</v>
      </c>
      <c r="N263" s="73">
        <v>79</v>
      </c>
      <c r="O263" s="73">
        <v>89</v>
      </c>
      <c r="P263" s="73">
        <v>71</v>
      </c>
      <c r="Q263" s="73">
        <v>78</v>
      </c>
      <c r="R263" s="43">
        <v>82</v>
      </c>
      <c r="S263" s="43">
        <v>92</v>
      </c>
      <c r="T263" s="43">
        <v>93</v>
      </c>
      <c r="U263" s="43">
        <v>101</v>
      </c>
      <c r="V263" s="43">
        <v>89</v>
      </c>
      <c r="W263" s="43">
        <v>88</v>
      </c>
      <c r="X263" s="43">
        <v>96</v>
      </c>
      <c r="Y263" s="43">
        <v>103</v>
      </c>
      <c r="Z263" s="43">
        <v>94</v>
      </c>
      <c r="AA263" s="43">
        <v>85</v>
      </c>
      <c r="AT263" s="18"/>
      <c r="AU263" s="18"/>
      <c r="AV263" s="18"/>
      <c r="AW263" s="18"/>
    </row>
    <row r="264" spans="1:49" hidden="1" outlineLevel="1">
      <c r="A264" s="26" t="s">
        <v>9</v>
      </c>
      <c r="N264" s="70">
        <v>18</v>
      </c>
      <c r="O264" s="70">
        <v>19</v>
      </c>
      <c r="P264" s="70">
        <v>23</v>
      </c>
      <c r="Q264" s="70">
        <v>22</v>
      </c>
      <c r="R264" s="44">
        <v>22</v>
      </c>
      <c r="S264" s="44">
        <v>23</v>
      </c>
      <c r="T264" s="44">
        <v>23</v>
      </c>
      <c r="U264" s="44">
        <v>25</v>
      </c>
      <c r="V264" s="44">
        <v>22</v>
      </c>
      <c r="W264" s="44">
        <v>23</v>
      </c>
      <c r="X264" s="44">
        <v>23</v>
      </c>
      <c r="Y264" s="44">
        <v>25</v>
      </c>
      <c r="Z264" s="44">
        <v>25</v>
      </c>
      <c r="AA264" s="44">
        <v>25</v>
      </c>
      <c r="AT264" s="18"/>
      <c r="AU264" s="18"/>
      <c r="AV264" s="18"/>
      <c r="AW264" s="18"/>
    </row>
    <row r="265" spans="1:49" hidden="1" outlineLevel="1">
      <c r="A265" s="30" t="s">
        <v>10</v>
      </c>
      <c r="N265" s="74">
        <v>0</v>
      </c>
      <c r="O265" s="74">
        <v>0</v>
      </c>
      <c r="P265" s="74">
        <v>0</v>
      </c>
      <c r="Q265" s="74">
        <v>0</v>
      </c>
      <c r="R265" s="47">
        <v>0</v>
      </c>
      <c r="S265" s="47">
        <v>0</v>
      </c>
      <c r="T265" s="47">
        <v>0</v>
      </c>
      <c r="U265" s="47">
        <v>0</v>
      </c>
      <c r="V265" s="47">
        <v>0</v>
      </c>
      <c r="W265" s="47">
        <v>0</v>
      </c>
      <c r="X265" s="47">
        <v>0</v>
      </c>
      <c r="Y265" s="47">
        <v>9</v>
      </c>
      <c r="Z265" s="47">
        <v>5</v>
      </c>
      <c r="AA265" s="47">
        <v>1</v>
      </c>
      <c r="AT265" s="18"/>
      <c r="AU265" s="18"/>
      <c r="AV265" s="18"/>
      <c r="AW265" s="18"/>
    </row>
    <row r="266" spans="1:49" hidden="1" outlineLevel="1">
      <c r="A266" s="28" t="s">
        <v>11</v>
      </c>
      <c r="N266" s="76">
        <v>97</v>
      </c>
      <c r="O266" s="76">
        <v>108</v>
      </c>
      <c r="P266" s="76">
        <v>94</v>
      </c>
      <c r="Q266" s="76">
        <v>100</v>
      </c>
      <c r="R266" s="49">
        <v>104</v>
      </c>
      <c r="S266" s="49">
        <v>115</v>
      </c>
      <c r="T266" s="49">
        <v>116</v>
      </c>
      <c r="U266" s="49">
        <v>126</v>
      </c>
      <c r="V266" s="49">
        <v>111</v>
      </c>
      <c r="W266" s="49">
        <v>111</v>
      </c>
      <c r="X266" s="49">
        <v>119</v>
      </c>
      <c r="Y266" s="49">
        <v>137</v>
      </c>
      <c r="Z266" s="49">
        <v>124</v>
      </c>
      <c r="AA266" s="49">
        <v>111</v>
      </c>
      <c r="AT266" s="18"/>
      <c r="AU266" s="18"/>
      <c r="AV266" s="18"/>
      <c r="AW266" s="18"/>
    </row>
    <row r="267" spans="1:49" hidden="1" outlineLevel="1">
      <c r="A267" s="36" t="s">
        <v>12</v>
      </c>
      <c r="N267" s="77">
        <v>253</v>
      </c>
      <c r="O267" s="77">
        <v>262</v>
      </c>
      <c r="P267" s="77">
        <v>254</v>
      </c>
      <c r="Q267" s="77">
        <v>268</v>
      </c>
      <c r="R267" s="51">
        <v>269</v>
      </c>
      <c r="S267" s="51">
        <v>276</v>
      </c>
      <c r="T267" s="51">
        <v>269</v>
      </c>
      <c r="U267" s="51">
        <v>297</v>
      </c>
      <c r="V267" s="51">
        <v>275</v>
      </c>
      <c r="W267" s="51">
        <v>271</v>
      </c>
      <c r="X267" s="51">
        <v>286</v>
      </c>
      <c r="Y267" s="51">
        <v>304</v>
      </c>
      <c r="Z267" s="51">
        <v>286</v>
      </c>
      <c r="AA267" s="51">
        <v>293</v>
      </c>
      <c r="AT267" s="18"/>
      <c r="AU267" s="18"/>
      <c r="AV267" s="18"/>
      <c r="AW267" s="18"/>
    </row>
    <row r="268" spans="1:49" ht="16.5" hidden="1" outlineLevel="1" thickBot="1">
      <c r="A268" s="31" t="s">
        <v>87</v>
      </c>
      <c r="N268" s="564">
        <v>237</v>
      </c>
      <c r="O268" s="564">
        <v>244</v>
      </c>
      <c r="P268" s="564">
        <v>218</v>
      </c>
      <c r="Q268" s="564">
        <v>188</v>
      </c>
      <c r="R268" s="565">
        <v>201</v>
      </c>
      <c r="S268" s="565">
        <v>164</v>
      </c>
      <c r="T268" s="565">
        <v>216</v>
      </c>
      <c r="U268" s="565">
        <v>196</v>
      </c>
      <c r="V268" s="565">
        <v>194</v>
      </c>
      <c r="W268" s="565">
        <v>211</v>
      </c>
      <c r="X268" s="565">
        <v>196</v>
      </c>
      <c r="Y268" s="565">
        <v>199</v>
      </c>
      <c r="Z268" s="565">
        <v>227</v>
      </c>
      <c r="AA268" s="565">
        <v>202</v>
      </c>
      <c r="AT268" s="18"/>
      <c r="AU268" s="18"/>
      <c r="AV268" s="18"/>
      <c r="AW268" s="18"/>
    </row>
    <row r="269" spans="1:49" hidden="1" outlineLevel="1">
      <c r="A269" s="35"/>
      <c r="N269" s="563"/>
      <c r="O269" s="563"/>
      <c r="P269" s="563"/>
      <c r="Q269" s="563"/>
      <c r="R269" s="567"/>
      <c r="S269" s="567"/>
      <c r="T269" s="567"/>
      <c r="U269" s="567"/>
      <c r="V269" s="567"/>
      <c r="W269" s="567"/>
      <c r="X269" s="567"/>
      <c r="Y269" s="567"/>
      <c r="Z269" s="567"/>
      <c r="AA269" s="567"/>
      <c r="AT269" s="18"/>
      <c r="AU269" s="18"/>
      <c r="AV269" s="18"/>
      <c r="AW269" s="18"/>
    </row>
    <row r="270" spans="1:49" ht="16.5" hidden="1" outlineLevel="1" thickBot="1">
      <c r="A270" s="33" t="s">
        <v>90</v>
      </c>
      <c r="N270" s="563"/>
      <c r="O270" s="563"/>
      <c r="P270" s="563"/>
      <c r="Q270" s="563"/>
      <c r="R270" s="566">
        <v>56.991525423728817</v>
      </c>
      <c r="S270" s="566">
        <v>61.333333333333329</v>
      </c>
      <c r="T270" s="566">
        <v>55.122950819672134</v>
      </c>
      <c r="U270" s="566">
        <v>58.0078125</v>
      </c>
      <c r="V270" s="566">
        <v>57.291666666666664</v>
      </c>
      <c r="W270" s="566">
        <v>53.557312252964429</v>
      </c>
      <c r="X270" s="566">
        <v>56.410256410256409</v>
      </c>
      <c r="Y270" s="566">
        <v>57.142857142857139</v>
      </c>
      <c r="Z270" s="566">
        <v>56.078431372549019</v>
      </c>
      <c r="AA270" s="566">
        <v>58.95372233400402</v>
      </c>
      <c r="AT270" s="18"/>
      <c r="AU270" s="18"/>
      <c r="AV270" s="18"/>
      <c r="AW270" s="18"/>
    </row>
    <row r="271" spans="1:49" ht="16.5" hidden="1" outlineLevel="1" thickBot="1">
      <c r="A271" s="41"/>
      <c r="N271" s="563"/>
      <c r="O271" s="563"/>
      <c r="P271" s="563"/>
      <c r="Q271" s="563"/>
      <c r="R271" s="52"/>
      <c r="S271" s="52"/>
      <c r="T271" s="52"/>
      <c r="U271" s="52"/>
      <c r="V271" s="52"/>
      <c r="W271" s="52"/>
      <c r="X271" s="52"/>
      <c r="Y271" s="52"/>
      <c r="Z271" s="52"/>
      <c r="AA271" s="52"/>
      <c r="AT271" s="18"/>
      <c r="AU271" s="18"/>
      <c r="AV271" s="18"/>
      <c r="AW271" s="18"/>
    </row>
    <row r="272" spans="1:49" hidden="1" outlineLevel="1">
      <c r="A272" s="39" t="s">
        <v>98</v>
      </c>
      <c r="N272" s="78">
        <v>238.7</v>
      </c>
      <c r="O272" s="78">
        <v>238.3</v>
      </c>
      <c r="P272" s="78">
        <v>241.1</v>
      </c>
      <c r="Q272" s="78">
        <v>250</v>
      </c>
      <c r="R272" s="55">
        <v>254.4</v>
      </c>
      <c r="S272" s="55">
        <v>261.39999999999998</v>
      </c>
      <c r="T272" s="55">
        <v>266.60000000000002</v>
      </c>
      <c r="U272" s="55">
        <v>275.89999999999998</v>
      </c>
      <c r="V272" s="55">
        <v>286.7</v>
      </c>
      <c r="W272" s="55">
        <v>277.8</v>
      </c>
      <c r="X272" s="55">
        <v>263.10000000000002</v>
      </c>
      <c r="Y272" s="55">
        <v>275.8</v>
      </c>
      <c r="Z272" s="55">
        <v>273.60000000000002</v>
      </c>
      <c r="AA272" s="55">
        <v>280.89999999999998</v>
      </c>
      <c r="AT272" s="18"/>
      <c r="AU272" s="18"/>
      <c r="AV272" s="18"/>
      <c r="AW272" s="18"/>
    </row>
    <row r="273" spans="1:49" ht="16.5" hidden="1" outlineLevel="1" thickBot="1">
      <c r="A273" s="34" t="s">
        <v>99</v>
      </c>
      <c r="N273" s="79">
        <v>4.5</v>
      </c>
      <c r="O273" s="79">
        <v>-0.2</v>
      </c>
      <c r="P273" s="79">
        <v>0.5</v>
      </c>
      <c r="Q273" s="79">
        <v>4</v>
      </c>
      <c r="R273" s="56">
        <v>0.4</v>
      </c>
      <c r="S273" s="56">
        <v>0.6</v>
      </c>
      <c r="T273" s="56">
        <v>0.9</v>
      </c>
      <c r="U273" s="56">
        <v>3.6</v>
      </c>
      <c r="V273" s="56">
        <v>6.1</v>
      </c>
      <c r="W273" s="56">
        <v>-1.6</v>
      </c>
      <c r="X273" s="56">
        <v>1.9</v>
      </c>
      <c r="Y273" s="56">
        <v>4.2</v>
      </c>
      <c r="Z273" s="56">
        <v>2.2999999999999998</v>
      </c>
      <c r="AA273" s="56">
        <v>0.7</v>
      </c>
      <c r="AT273" s="18"/>
      <c r="AU273" s="18"/>
      <c r="AV273" s="18"/>
      <c r="AW273" s="18"/>
    </row>
    <row r="274" spans="1:49" hidden="1" outlineLevel="1">
      <c r="N274" s="563"/>
      <c r="O274" s="563"/>
      <c r="P274" s="563"/>
      <c r="Q274" s="563"/>
      <c r="R274" s="563"/>
      <c r="S274" s="563"/>
      <c r="T274" s="563"/>
      <c r="U274" s="563"/>
      <c r="V274" s="563"/>
      <c r="W274" s="563"/>
      <c r="X274" s="563"/>
      <c r="Y274" s="563"/>
      <c r="Z274" s="563"/>
      <c r="AA274" s="563"/>
      <c r="AT274" s="18"/>
      <c r="AU274" s="18"/>
      <c r="AV274" s="18"/>
      <c r="AW274" s="18"/>
    </row>
    <row r="275" spans="1:49" s="818" customFormat="1" ht="21.75" collapsed="1" thickBot="1">
      <c r="A275" s="817" t="s">
        <v>101</v>
      </c>
      <c r="N275" s="819"/>
      <c r="O275" s="819"/>
      <c r="P275" s="819"/>
      <c r="Q275" s="819"/>
      <c r="R275" s="819"/>
      <c r="S275" s="819"/>
      <c r="T275" s="819"/>
      <c r="U275" s="819"/>
      <c r="V275" s="819"/>
      <c r="W275" s="819"/>
      <c r="X275" s="819"/>
      <c r="Y275" s="819"/>
      <c r="Z275" s="819"/>
      <c r="AA275" s="819"/>
      <c r="AB275" s="820"/>
      <c r="AC275" s="820"/>
      <c r="AD275" s="820"/>
      <c r="AE275" s="820"/>
      <c r="AF275" s="820"/>
      <c r="AG275" s="820"/>
      <c r="AH275" s="820"/>
      <c r="AI275" s="820"/>
      <c r="AJ275" s="820"/>
      <c r="AK275" s="820"/>
      <c r="AL275" s="820"/>
      <c r="AM275" s="820"/>
      <c r="AN275" s="820"/>
      <c r="AO275" s="820"/>
      <c r="AP275" s="820"/>
      <c r="AQ275" s="820"/>
      <c r="AR275" s="820"/>
      <c r="AS275" s="820"/>
      <c r="AT275" s="820"/>
      <c r="AU275" s="820"/>
      <c r="AV275" s="820"/>
      <c r="AW275" s="820"/>
    </row>
    <row r="276" spans="1:49" s="235" customFormat="1">
      <c r="A276" s="234" t="s">
        <v>82</v>
      </c>
      <c r="N276" s="236"/>
      <c r="O276" s="236"/>
      <c r="P276" s="236"/>
      <c r="Q276" s="236"/>
      <c r="R276" s="236"/>
      <c r="S276" s="236"/>
      <c r="T276" s="236"/>
      <c r="U276" s="236"/>
      <c r="V276" s="236"/>
      <c r="W276" s="236"/>
      <c r="X276" s="236"/>
      <c r="Y276" s="236"/>
      <c r="Z276" s="236"/>
      <c r="AA276" s="236"/>
      <c r="AB276" s="236"/>
      <c r="AC276" s="236"/>
      <c r="AD276" s="236"/>
      <c r="AE276" s="236"/>
      <c r="AF276" s="236"/>
      <c r="AG276" s="236"/>
      <c r="AH276" s="237"/>
      <c r="AI276" s="237"/>
      <c r="AJ276" s="237"/>
      <c r="AK276" s="237"/>
      <c r="AL276" s="237"/>
      <c r="AM276" s="237"/>
      <c r="AN276" s="237"/>
      <c r="AO276" s="237"/>
      <c r="AP276" s="237"/>
      <c r="AQ276" s="237"/>
      <c r="AR276" s="237"/>
      <c r="AS276" s="237"/>
      <c r="AT276" s="237"/>
      <c r="AU276" s="237"/>
      <c r="AV276" s="237"/>
      <c r="AW276" s="237"/>
    </row>
    <row r="277" spans="1:49" s="772" customFormat="1">
      <c r="A277" s="803" t="s">
        <v>67</v>
      </c>
      <c r="N277" s="773" t="e">
        <f t="shared" ref="N277:AA277" si="376">N281/N303</f>
        <v>#DIV/0!</v>
      </c>
      <c r="O277" s="773" t="e">
        <f t="shared" si="376"/>
        <v>#DIV/0!</v>
      </c>
      <c r="P277" s="773" t="e">
        <f t="shared" si="376"/>
        <v>#DIV/0!</v>
      </c>
      <c r="Q277" s="773" t="e">
        <f t="shared" si="376"/>
        <v>#DIV/0!</v>
      </c>
      <c r="R277" s="773" t="e">
        <f t="shared" si="376"/>
        <v>#DIV/0!</v>
      </c>
      <c r="S277" s="773" t="e">
        <f t="shared" si="376"/>
        <v>#DIV/0!</v>
      </c>
      <c r="T277" s="773" t="e">
        <f t="shared" si="376"/>
        <v>#DIV/0!</v>
      </c>
      <c r="U277" s="773" t="e">
        <f t="shared" si="376"/>
        <v>#DIV/0!</v>
      </c>
      <c r="V277" s="773">
        <f t="shared" si="376"/>
        <v>5.7552451211217498E-3</v>
      </c>
      <c r="W277" s="773">
        <f t="shared" si="376"/>
        <v>6.4861525790178114E-3</v>
      </c>
      <c r="X277" s="773">
        <f t="shared" si="376"/>
        <v>6.3170731707317077E-3</v>
      </c>
      <c r="Y277" s="773">
        <f t="shared" si="376"/>
        <v>6.8605927552140506E-3</v>
      </c>
      <c r="Z277" s="773">
        <f t="shared" si="376"/>
        <v>8.090413482362899E-3</v>
      </c>
      <c r="AA277" s="773">
        <f t="shared" si="376"/>
        <v>7.0600803548619339E-3</v>
      </c>
      <c r="AB277" s="773">
        <f t="shared" ref="AB277" si="377">AB281/AB303</f>
        <v>7.591635228913418E-3</v>
      </c>
      <c r="AC277" s="773">
        <f t="shared" ref="AC277:AF277" si="378">AC281/AC303</f>
        <v>7.850550428110753E-3</v>
      </c>
      <c r="AD277" s="773">
        <f t="shared" si="378"/>
        <v>7.41913790485281E-3</v>
      </c>
      <c r="AE277" s="773">
        <f t="shared" si="378"/>
        <v>7.7815965242202193E-3</v>
      </c>
      <c r="AF277" s="773">
        <f t="shared" si="378"/>
        <v>7.7212766405083001E-3</v>
      </c>
      <c r="AG277" s="774">
        <f>AVERAGE(Y277:AF277)</f>
        <v>7.5469104148805479E-3</v>
      </c>
      <c r="AH277" s="774">
        <f t="shared" ref="AH277:AS277" si="379">AG277</f>
        <v>7.5469104148805479E-3</v>
      </c>
      <c r="AI277" s="774">
        <f t="shared" si="379"/>
        <v>7.5469104148805479E-3</v>
      </c>
      <c r="AJ277" s="774">
        <f t="shared" si="379"/>
        <v>7.5469104148805479E-3</v>
      </c>
      <c r="AK277" s="774">
        <f t="shared" si="379"/>
        <v>7.5469104148805479E-3</v>
      </c>
      <c r="AL277" s="774">
        <f t="shared" si="379"/>
        <v>7.5469104148805479E-3</v>
      </c>
      <c r="AM277" s="774">
        <f t="shared" si="379"/>
        <v>7.5469104148805479E-3</v>
      </c>
      <c r="AN277" s="774">
        <f t="shared" si="379"/>
        <v>7.5469104148805479E-3</v>
      </c>
      <c r="AO277" s="774">
        <f t="shared" si="379"/>
        <v>7.5469104148805479E-3</v>
      </c>
      <c r="AP277" s="774">
        <f t="shared" si="379"/>
        <v>7.5469104148805479E-3</v>
      </c>
      <c r="AQ277" s="774">
        <f t="shared" si="379"/>
        <v>7.5469104148805479E-3</v>
      </c>
      <c r="AR277" s="774">
        <f t="shared" si="379"/>
        <v>7.5469104148805479E-3</v>
      </c>
      <c r="AS277" s="774">
        <f t="shared" si="379"/>
        <v>7.5469104148805479E-3</v>
      </c>
      <c r="AT277" s="774">
        <f t="shared" ref="AT277:AT278" si="380">AS277</f>
        <v>7.5469104148805479E-3</v>
      </c>
      <c r="AU277" s="774">
        <f t="shared" ref="AU277:AU278" si="381">AT277</f>
        <v>7.5469104148805479E-3</v>
      </c>
      <c r="AV277" s="774">
        <f t="shared" ref="AV277:AV278" si="382">AU277</f>
        <v>7.5469104148805479E-3</v>
      </c>
      <c r="AW277" s="774">
        <f t="shared" ref="AW277:AW278" si="383">AV277</f>
        <v>7.5469104148805479E-3</v>
      </c>
    </row>
    <row r="278" spans="1:49" s="770" customFormat="1">
      <c r="A278" s="658" t="s">
        <v>83</v>
      </c>
      <c r="N278" s="239">
        <f t="shared" ref="N278:AA278" si="384">N282/N314</f>
        <v>9.2966146290124536E-4</v>
      </c>
      <c r="O278" s="239">
        <f t="shared" si="384"/>
        <v>1.0007097232079488E-3</v>
      </c>
      <c r="P278" s="239">
        <f t="shared" si="384"/>
        <v>9.8734628408483362E-4</v>
      </c>
      <c r="Q278" s="239">
        <f t="shared" si="384"/>
        <v>1.0107413276985383E-3</v>
      </c>
      <c r="R278" s="239">
        <f t="shared" si="384"/>
        <v>9.3351705132621446E-4</v>
      </c>
      <c r="S278" s="239">
        <f t="shared" si="384"/>
        <v>9.1527109932017909E-4</v>
      </c>
      <c r="T278" s="239">
        <f t="shared" si="384"/>
        <v>8.8938476251195408E-4</v>
      </c>
      <c r="U278" s="239">
        <f t="shared" si="384"/>
        <v>9.2224519001431074E-4</v>
      </c>
      <c r="V278" s="239">
        <f t="shared" si="384"/>
        <v>7.7059487344833145E-4</v>
      </c>
      <c r="W278" s="239">
        <f t="shared" si="384"/>
        <v>8.0629461388708617E-4</v>
      </c>
      <c r="X278" s="239">
        <f t="shared" si="384"/>
        <v>8.2515388454500085E-4</v>
      </c>
      <c r="Y278" s="239">
        <f t="shared" si="384"/>
        <v>8.0864298575871645E-4</v>
      </c>
      <c r="Z278" s="239">
        <f t="shared" si="384"/>
        <v>8.1081081081081077E-4</v>
      </c>
      <c r="AA278" s="239">
        <f t="shared" si="384"/>
        <v>7.775061124694377E-4</v>
      </c>
      <c r="AB278" s="239">
        <f t="shared" ref="AB278" si="385">AB282/AB314</f>
        <v>7.4091552619159982E-4</v>
      </c>
      <c r="AC278" s="239">
        <f t="shared" ref="AC278:AF278" si="386">AC282/AC314</f>
        <v>7.8318858560794049E-4</v>
      </c>
      <c r="AD278" s="239">
        <f t="shared" si="386"/>
        <v>7.7349637423574573E-4</v>
      </c>
      <c r="AE278" s="239">
        <f t="shared" si="386"/>
        <v>8.129271070615034E-4</v>
      </c>
      <c r="AF278" s="239">
        <f t="shared" si="386"/>
        <v>7.9004920721705853E-4</v>
      </c>
      <c r="AG278" s="771">
        <f>AVERAGE(Y278:AF278)</f>
        <v>7.8719208866910172E-4</v>
      </c>
      <c r="AH278" s="771">
        <f t="shared" ref="AH278:AS278" si="387">AG278</f>
        <v>7.8719208866910172E-4</v>
      </c>
      <c r="AI278" s="771">
        <f t="shared" si="387"/>
        <v>7.8719208866910172E-4</v>
      </c>
      <c r="AJ278" s="771">
        <f t="shared" si="387"/>
        <v>7.8719208866910172E-4</v>
      </c>
      <c r="AK278" s="771">
        <f t="shared" si="387"/>
        <v>7.8719208866910172E-4</v>
      </c>
      <c r="AL278" s="771">
        <f t="shared" si="387"/>
        <v>7.8719208866910172E-4</v>
      </c>
      <c r="AM278" s="771">
        <f t="shared" si="387"/>
        <v>7.8719208866910172E-4</v>
      </c>
      <c r="AN278" s="771">
        <f t="shared" si="387"/>
        <v>7.8719208866910172E-4</v>
      </c>
      <c r="AO278" s="771">
        <f t="shared" si="387"/>
        <v>7.8719208866910172E-4</v>
      </c>
      <c r="AP278" s="771">
        <f t="shared" si="387"/>
        <v>7.8719208866910172E-4</v>
      </c>
      <c r="AQ278" s="771">
        <f t="shared" si="387"/>
        <v>7.8719208866910172E-4</v>
      </c>
      <c r="AR278" s="771">
        <f t="shared" si="387"/>
        <v>7.8719208866910172E-4</v>
      </c>
      <c r="AS278" s="771">
        <f t="shared" si="387"/>
        <v>7.8719208866910172E-4</v>
      </c>
      <c r="AT278" s="771">
        <f t="shared" si="380"/>
        <v>7.8719208866910172E-4</v>
      </c>
      <c r="AU278" s="771">
        <f t="shared" si="381"/>
        <v>7.8719208866910172E-4</v>
      </c>
      <c r="AV278" s="771">
        <f t="shared" si="382"/>
        <v>7.8719208866910172E-4</v>
      </c>
      <c r="AW278" s="771">
        <f t="shared" si="383"/>
        <v>7.8719208866910172E-4</v>
      </c>
    </row>
    <row r="279" spans="1:49" s="770" customFormat="1">
      <c r="A279" s="658" t="s">
        <v>103</v>
      </c>
      <c r="N279" s="239">
        <f t="shared" ref="N279:AA279" si="388">N283/N314</f>
        <v>5.928784423785301E-4</v>
      </c>
      <c r="O279" s="239">
        <f t="shared" si="388"/>
        <v>7.8424414478353447E-4</v>
      </c>
      <c r="P279" s="239">
        <f t="shared" si="388"/>
        <v>5.5426840135448243E-4</v>
      </c>
      <c r="Q279" s="239">
        <f t="shared" si="388"/>
        <v>1.185067793625638E-3</v>
      </c>
      <c r="R279" s="239">
        <f t="shared" si="388"/>
        <v>6.9583189803651413E-4</v>
      </c>
      <c r="S279" s="239">
        <f t="shared" si="388"/>
        <v>6.383684297794727E-4</v>
      </c>
      <c r="T279" s="239">
        <f t="shared" si="388"/>
        <v>6.1364360854319411E-4</v>
      </c>
      <c r="U279" s="239">
        <f t="shared" si="388"/>
        <v>9.0793448878995068E-4</v>
      </c>
      <c r="V279" s="239">
        <f t="shared" si="388"/>
        <v>6.7225536030952762E-4</v>
      </c>
      <c r="W279" s="239">
        <f t="shared" si="388"/>
        <v>6.8137573004542495E-4</v>
      </c>
      <c r="X279" s="239">
        <f t="shared" si="388"/>
        <v>6.1720179670603898E-4</v>
      </c>
      <c r="Y279" s="239">
        <f t="shared" si="388"/>
        <v>6.5313471926665566E-4</v>
      </c>
      <c r="Z279" s="239">
        <f t="shared" si="388"/>
        <v>6.6802651708312085E-4</v>
      </c>
      <c r="AA279" s="239">
        <f t="shared" si="388"/>
        <v>5.5419722901385495E-4</v>
      </c>
      <c r="AB279" s="239">
        <f t="shared" ref="AB279" si="389">AB283/AB314</f>
        <v>4.5776309579990563E-4</v>
      </c>
      <c r="AC279" s="239">
        <f t="shared" ref="AC279:AF279" si="390">AC283/AC314</f>
        <v>5.3194789081885852E-4</v>
      </c>
      <c r="AD279" s="239">
        <f t="shared" si="390"/>
        <v>4.151855538177165E-4</v>
      </c>
      <c r="AE279" s="239">
        <f t="shared" si="390"/>
        <v>4.2283599088838267E-4</v>
      </c>
      <c r="AF279" s="239">
        <f t="shared" si="390"/>
        <v>3.6358665937670856E-4</v>
      </c>
      <c r="AG279" s="771">
        <f>AC279</f>
        <v>5.3194789081885852E-4</v>
      </c>
      <c r="AH279" s="771">
        <f t="shared" ref="AH279:AJ279" si="391">AD279</f>
        <v>4.151855538177165E-4</v>
      </c>
      <c r="AI279" s="771">
        <f t="shared" si="391"/>
        <v>4.2283599088838267E-4</v>
      </c>
      <c r="AJ279" s="771">
        <f t="shared" si="391"/>
        <v>3.6358665937670856E-4</v>
      </c>
      <c r="AK279" s="771">
        <f>AG279</f>
        <v>5.3194789081885852E-4</v>
      </c>
      <c r="AL279" s="771">
        <f t="shared" ref="AL279:AS279" si="392">AH279</f>
        <v>4.151855538177165E-4</v>
      </c>
      <c r="AM279" s="771">
        <f t="shared" si="392"/>
        <v>4.2283599088838267E-4</v>
      </c>
      <c r="AN279" s="771">
        <f t="shared" si="392"/>
        <v>3.6358665937670856E-4</v>
      </c>
      <c r="AO279" s="771">
        <f t="shared" si="392"/>
        <v>5.3194789081885852E-4</v>
      </c>
      <c r="AP279" s="771">
        <f t="shared" si="392"/>
        <v>4.151855538177165E-4</v>
      </c>
      <c r="AQ279" s="771">
        <f t="shared" si="392"/>
        <v>4.2283599088838267E-4</v>
      </c>
      <c r="AR279" s="771">
        <f t="shared" si="392"/>
        <v>3.6358665937670856E-4</v>
      </c>
      <c r="AS279" s="771">
        <f t="shared" si="392"/>
        <v>5.3194789081885852E-4</v>
      </c>
      <c r="AT279" s="771">
        <f t="shared" ref="AT279" si="393">AP279</f>
        <v>4.151855538177165E-4</v>
      </c>
      <c r="AU279" s="771">
        <f t="shared" ref="AU279" si="394">AQ279</f>
        <v>4.2283599088838267E-4</v>
      </c>
      <c r="AV279" s="771">
        <f t="shared" ref="AV279" si="395">AR279</f>
        <v>3.6358665937670856E-4</v>
      </c>
      <c r="AW279" s="771">
        <f t="shared" ref="AW279" si="396">AS279</f>
        <v>5.3194789081885852E-4</v>
      </c>
    </row>
    <row r="280" spans="1:49" s="240" customFormat="1">
      <c r="A280" s="804" t="s">
        <v>70</v>
      </c>
      <c r="N280" s="241">
        <f t="shared" ref="N280:Z280" si="397">N284/SUM(N281:N283)</f>
        <v>1.834862385321101E-2</v>
      </c>
      <c r="O280" s="241">
        <f t="shared" si="397"/>
        <v>-1.5936254980079682E-3</v>
      </c>
      <c r="P280" s="241">
        <f t="shared" si="397"/>
        <v>-2.7978339350180504E-2</v>
      </c>
      <c r="Q280" s="241">
        <f t="shared" si="397"/>
        <v>-2.6791694574681848E-3</v>
      </c>
      <c r="R280" s="241">
        <f t="shared" si="397"/>
        <v>1.0318142734307825E-2</v>
      </c>
      <c r="S280" s="241">
        <f t="shared" si="397"/>
        <v>0</v>
      </c>
      <c r="T280" s="241">
        <f t="shared" si="397"/>
        <v>0</v>
      </c>
      <c r="U280" s="241">
        <f t="shared" si="397"/>
        <v>3.5302593659942365E-2</v>
      </c>
      <c r="V280" s="241">
        <f t="shared" si="397"/>
        <v>5.3811659192825115E-3</v>
      </c>
      <c r="W280" s="241">
        <f t="shared" si="397"/>
        <v>-3.4217279726261761E-3</v>
      </c>
      <c r="X280" s="241">
        <f t="shared" si="397"/>
        <v>-2.9307282415630551E-2</v>
      </c>
      <c r="Y280" s="241">
        <f t="shared" si="397"/>
        <v>4.2808219178082189E-3</v>
      </c>
      <c r="Z280" s="241">
        <f t="shared" si="397"/>
        <v>-1.8410041841004185E-2</v>
      </c>
      <c r="AA280" s="241">
        <f>AA284/SUM(AA281:AA283)</f>
        <v>2.1409455842997322E-2</v>
      </c>
      <c r="AB280" s="241">
        <f>AB284/SUM(AB281:AB283)</f>
        <v>-6.4338235294117644E-3</v>
      </c>
      <c r="AC280" s="241">
        <f t="shared" ref="AC280:AF280" si="398">AC284/SUM(AC281:AC283)</f>
        <v>8.1598667776852624E-2</v>
      </c>
      <c r="AD280" s="241">
        <f t="shared" si="398"/>
        <v>3.6502546689303902E-2</v>
      </c>
      <c r="AE280" s="241">
        <f t="shared" si="398"/>
        <v>2.9315960912052116E-2</v>
      </c>
      <c r="AF280" s="241">
        <f t="shared" si="398"/>
        <v>4.2113955408753095E-2</v>
      </c>
      <c r="AG280" s="242">
        <f t="shared" ref="AG280" si="399">AVERAGE(AC280:AF280)</f>
        <v>4.7382782696740434E-2</v>
      </c>
      <c r="AH280" s="242">
        <f t="shared" ref="AH280:AS280" si="400">AG280</f>
        <v>4.7382782696740434E-2</v>
      </c>
      <c r="AI280" s="242">
        <f t="shared" si="400"/>
        <v>4.7382782696740434E-2</v>
      </c>
      <c r="AJ280" s="242">
        <f t="shared" si="400"/>
        <v>4.7382782696740434E-2</v>
      </c>
      <c r="AK280" s="242">
        <f t="shared" si="400"/>
        <v>4.7382782696740434E-2</v>
      </c>
      <c r="AL280" s="242">
        <f t="shared" si="400"/>
        <v>4.7382782696740434E-2</v>
      </c>
      <c r="AM280" s="242">
        <f t="shared" si="400"/>
        <v>4.7382782696740434E-2</v>
      </c>
      <c r="AN280" s="242">
        <f t="shared" si="400"/>
        <v>4.7382782696740434E-2</v>
      </c>
      <c r="AO280" s="242">
        <f t="shared" si="400"/>
        <v>4.7382782696740434E-2</v>
      </c>
      <c r="AP280" s="242">
        <f t="shared" si="400"/>
        <v>4.7382782696740434E-2</v>
      </c>
      <c r="AQ280" s="242">
        <f t="shared" si="400"/>
        <v>4.7382782696740434E-2</v>
      </c>
      <c r="AR280" s="242">
        <f t="shared" si="400"/>
        <v>4.7382782696740434E-2</v>
      </c>
      <c r="AS280" s="242">
        <f t="shared" si="400"/>
        <v>4.7382782696740434E-2</v>
      </c>
      <c r="AT280" s="242">
        <f t="shared" ref="AT280" si="401">AS280</f>
        <v>4.7382782696740434E-2</v>
      </c>
      <c r="AU280" s="242">
        <f t="shared" ref="AU280" si="402">AT280</f>
        <v>4.7382782696740434E-2</v>
      </c>
      <c r="AV280" s="242">
        <f t="shared" ref="AV280" si="403">AU280</f>
        <v>4.7382782696740434E-2</v>
      </c>
      <c r="AW280" s="242">
        <f t="shared" ref="AW280" si="404">AV280</f>
        <v>4.7382782696740434E-2</v>
      </c>
    </row>
    <row r="281" spans="1:49" s="235" customFormat="1">
      <c r="A281" s="293" t="s">
        <v>67</v>
      </c>
      <c r="N281" s="760">
        <v>222</v>
      </c>
      <c r="O281" s="760">
        <v>249</v>
      </c>
      <c r="P281" s="760">
        <v>243</v>
      </c>
      <c r="Q281" s="760">
        <v>246</v>
      </c>
      <c r="R281" s="243">
        <v>217</v>
      </c>
      <c r="S281" s="243">
        <v>228</v>
      </c>
      <c r="T281" s="243">
        <v>222</v>
      </c>
      <c r="U281" s="243">
        <v>237</v>
      </c>
      <c r="V281" s="243">
        <v>220</v>
      </c>
      <c r="W281" s="243">
        <v>252</v>
      </c>
      <c r="X281" s="243">
        <v>259</v>
      </c>
      <c r="Y281" s="243">
        <v>275</v>
      </c>
      <c r="Z281" s="243">
        <v>325</v>
      </c>
      <c r="AA281" s="243">
        <v>304</v>
      </c>
      <c r="AB281" s="243">
        <v>326</v>
      </c>
      <c r="AC281" s="243">
        <v>353</v>
      </c>
      <c r="AD281" s="243">
        <v>342</v>
      </c>
      <c r="AE281" s="243">
        <v>360</v>
      </c>
      <c r="AF281" s="243">
        <v>367</v>
      </c>
      <c r="AG281" s="244">
        <f>AG277*AG303</f>
        <v>363.48463921141899</v>
      </c>
      <c r="AH281" s="244">
        <f t="shared" ref="AH281:AW281" si="405">AH277*AH303*IF(AH3="2Q",1+$AC$119,1)</f>
        <v>368.56018779889121</v>
      </c>
      <c r="AI281" s="244">
        <f t="shared" si="405"/>
        <v>437.69544491747939</v>
      </c>
      <c r="AJ281" s="244">
        <f t="shared" si="405"/>
        <v>378.92489317243673</v>
      </c>
      <c r="AK281" s="244">
        <f t="shared" si="405"/>
        <v>384.21604305561175</v>
      </c>
      <c r="AL281" s="244">
        <f t="shared" si="405"/>
        <v>389.65464971730074</v>
      </c>
      <c r="AM281" s="244">
        <f t="shared" si="405"/>
        <v>462.83423908674604</v>
      </c>
      <c r="AN281" s="244">
        <f t="shared" si="405"/>
        <v>400.76390439846472</v>
      </c>
      <c r="AO281" s="244">
        <f t="shared" si="405"/>
        <v>406.43674726804392</v>
      </c>
      <c r="AP281" s="244">
        <f t="shared" si="405"/>
        <v>412.16426307249645</v>
      </c>
      <c r="AQ281" s="244">
        <f t="shared" si="405"/>
        <v>489.54086162213673</v>
      </c>
      <c r="AR281" s="244">
        <f t="shared" si="405"/>
        <v>423.86256892617672</v>
      </c>
      <c r="AS281" s="244">
        <f t="shared" si="405"/>
        <v>429.83564980225083</v>
      </c>
      <c r="AT281" s="244">
        <f t="shared" si="405"/>
        <v>435.82787041066194</v>
      </c>
      <c r="AU281" s="244">
        <f t="shared" si="405"/>
        <v>517.56966511389157</v>
      </c>
      <c r="AV281" s="244">
        <f t="shared" si="405"/>
        <v>448.0640838782279</v>
      </c>
      <c r="AW281" s="244">
        <f t="shared" si="405"/>
        <v>454.31042207409229</v>
      </c>
    </row>
    <row r="282" spans="1:49" s="759" customFormat="1">
      <c r="A282" s="293" t="s">
        <v>606</v>
      </c>
      <c r="N282" s="760">
        <v>530</v>
      </c>
      <c r="O282" s="760">
        <v>564</v>
      </c>
      <c r="P282" s="760">
        <v>554</v>
      </c>
      <c r="Q282" s="760">
        <v>574</v>
      </c>
      <c r="R282" s="243">
        <v>542</v>
      </c>
      <c r="S282" s="243">
        <v>552</v>
      </c>
      <c r="T282" s="243">
        <v>558</v>
      </c>
      <c r="U282" s="243">
        <v>580</v>
      </c>
      <c r="V282" s="243">
        <v>478</v>
      </c>
      <c r="W282" s="243">
        <v>497</v>
      </c>
      <c r="X282" s="243">
        <v>496</v>
      </c>
      <c r="Y282" s="243">
        <v>494</v>
      </c>
      <c r="Z282" s="243">
        <v>477</v>
      </c>
      <c r="AA282" s="243">
        <v>477</v>
      </c>
      <c r="AB282" s="243">
        <v>471</v>
      </c>
      <c r="AC282" s="243">
        <v>505</v>
      </c>
      <c r="AD282" s="243">
        <v>544</v>
      </c>
      <c r="AE282" s="243">
        <v>571</v>
      </c>
      <c r="AF282" s="243">
        <v>578</v>
      </c>
      <c r="AG282" s="769">
        <f t="shared" ref="AG282:AS282" si="406">AG278*AG314</f>
        <v>583.20608955000091</v>
      </c>
      <c r="AH282" s="769">
        <f t="shared" si="406"/>
        <v>590.59488657273812</v>
      </c>
      <c r="AI282" s="769">
        <f t="shared" si="406"/>
        <v>598.07729428031132</v>
      </c>
      <c r="AJ282" s="769">
        <f t="shared" si="406"/>
        <v>605.65449865201958</v>
      </c>
      <c r="AK282" s="769">
        <f t="shared" si="406"/>
        <v>613.32770069265757</v>
      </c>
      <c r="AL282" s="769">
        <f t="shared" si="406"/>
        <v>621.09811662287677</v>
      </c>
      <c r="AM282" s="769">
        <f t="shared" si="406"/>
        <v>628.96697807196051</v>
      </c>
      <c r="AN282" s="769">
        <f t="shared" si="406"/>
        <v>636.93553227303903</v>
      </c>
      <c r="AO282" s="769">
        <f t="shared" si="406"/>
        <v>645.00504226077931</v>
      </c>
      <c r="AP282" s="769">
        <f t="shared" si="406"/>
        <v>653.17678707157893</v>
      </c>
      <c r="AQ282" s="769">
        <f t="shared" si="406"/>
        <v>661.45206194629691</v>
      </c>
      <c r="AR282" s="769">
        <f t="shared" si="406"/>
        <v>669.83217853555152</v>
      </c>
      <c r="AS282" s="769">
        <f t="shared" si="406"/>
        <v>678.31846510762057</v>
      </c>
      <c r="AT282" s="769">
        <f t="shared" ref="AT282:AW282" si="407">AT278*AT314</f>
        <v>686.91226675897542</v>
      </c>
      <c r="AU282" s="769">
        <f t="shared" si="407"/>
        <v>695.61494562748078</v>
      </c>
      <c r="AV282" s="769">
        <f t="shared" si="407"/>
        <v>704.42788110829804</v>
      </c>
      <c r="AW282" s="769">
        <f t="shared" si="407"/>
        <v>713.35247007252201</v>
      </c>
    </row>
    <row r="283" spans="1:49" s="759" customFormat="1">
      <c r="A283" s="293" t="s">
        <v>103</v>
      </c>
      <c r="N283" s="760">
        <v>338</v>
      </c>
      <c r="O283" s="760">
        <v>442</v>
      </c>
      <c r="P283" s="760">
        <v>311</v>
      </c>
      <c r="Q283" s="760">
        <v>673</v>
      </c>
      <c r="R283" s="243">
        <v>404</v>
      </c>
      <c r="S283" s="243">
        <v>385</v>
      </c>
      <c r="T283" s="243">
        <v>385</v>
      </c>
      <c r="U283" s="243">
        <v>571</v>
      </c>
      <c r="V283" s="243">
        <v>417</v>
      </c>
      <c r="W283" s="243">
        <v>420</v>
      </c>
      <c r="X283" s="243">
        <v>371</v>
      </c>
      <c r="Y283" s="243">
        <v>399</v>
      </c>
      <c r="Z283" s="243">
        <v>393</v>
      </c>
      <c r="AA283" s="243">
        <v>340</v>
      </c>
      <c r="AB283" s="243">
        <v>291</v>
      </c>
      <c r="AC283" s="243">
        <v>343</v>
      </c>
      <c r="AD283" s="243">
        <v>292</v>
      </c>
      <c r="AE283" s="243">
        <v>297</v>
      </c>
      <c r="AF283" s="243">
        <v>266</v>
      </c>
      <c r="AG283" s="769">
        <f t="shared" ref="AG283:AS283" si="408">AG279*AG314</f>
        <v>394.1036167847534</v>
      </c>
      <c r="AH283" s="769">
        <f t="shared" si="408"/>
        <v>311.49508308471701</v>
      </c>
      <c r="AI283" s="769">
        <f t="shared" si="408"/>
        <v>321.25399758833282</v>
      </c>
      <c r="AJ283" s="769">
        <f t="shared" si="408"/>
        <v>279.73845147969723</v>
      </c>
      <c r="AK283" s="769">
        <f t="shared" si="408"/>
        <v>414.45840406734942</v>
      </c>
      <c r="AL283" s="769">
        <f t="shared" si="408"/>
        <v>327.58327889345253</v>
      </c>
      <c r="AM283" s="769">
        <f t="shared" si="408"/>
        <v>337.84622487602496</v>
      </c>
      <c r="AN283" s="769">
        <f t="shared" si="408"/>
        <v>294.18647081300355</v>
      </c>
      <c r="AO283" s="769">
        <f t="shared" si="408"/>
        <v>435.86448179153012</v>
      </c>
      <c r="AP283" s="769">
        <f t="shared" si="408"/>
        <v>344.50240288833169</v>
      </c>
      <c r="AQ283" s="769">
        <f t="shared" si="408"/>
        <v>355.29541272586772</v>
      </c>
      <c r="AR283" s="769">
        <f t="shared" si="408"/>
        <v>309.38070598310821</v>
      </c>
      <c r="AS283" s="769">
        <f t="shared" si="408"/>
        <v>458.3761473359524</v>
      </c>
      <c r="AT283" s="769">
        <f t="shared" ref="AT283:AW283" si="409">AT279*AT314</f>
        <v>362.29537110908535</v>
      </c>
      <c r="AU283" s="769">
        <f t="shared" si="409"/>
        <v>373.64582170591791</v>
      </c>
      <c r="AV283" s="769">
        <f t="shared" si="409"/>
        <v>325.35969777973759</v>
      </c>
      <c r="AW283" s="769">
        <f t="shared" si="409"/>
        <v>482.05050244732666</v>
      </c>
    </row>
    <row r="284" spans="1:49" s="246" customFormat="1">
      <c r="A284" s="245" t="s">
        <v>70</v>
      </c>
      <c r="N284" s="247">
        <v>20</v>
      </c>
      <c r="O284" s="247">
        <v>-2</v>
      </c>
      <c r="P284" s="247">
        <v>-31</v>
      </c>
      <c r="Q284" s="247">
        <v>-4</v>
      </c>
      <c r="R284" s="248">
        <v>12</v>
      </c>
      <c r="S284" s="248">
        <v>0</v>
      </c>
      <c r="T284" s="248">
        <v>0</v>
      </c>
      <c r="U284" s="248">
        <v>49</v>
      </c>
      <c r="V284" s="248">
        <v>6</v>
      </c>
      <c r="W284" s="248">
        <v>-4</v>
      </c>
      <c r="X284" s="248">
        <v>-33</v>
      </c>
      <c r="Y284" s="248">
        <v>5</v>
      </c>
      <c r="Z284" s="248">
        <v>-22</v>
      </c>
      <c r="AA284" s="248">
        <v>24</v>
      </c>
      <c r="AB284" s="248">
        <v>-7</v>
      </c>
      <c r="AC284" s="248">
        <v>98</v>
      </c>
      <c r="AD284" s="248">
        <v>43</v>
      </c>
      <c r="AE284" s="248">
        <v>36</v>
      </c>
      <c r="AF284" s="248">
        <v>51</v>
      </c>
      <c r="AG284" s="249">
        <f t="shared" ref="AG284:AS284" si="410">AG280*(SUM(AG281:AG283))</f>
        <v>63.530567116032628</v>
      </c>
      <c r="AH284" s="249">
        <f t="shared" si="410"/>
        <v>60.206940294333073</v>
      </c>
      <c r="AI284" s="249">
        <f t="shared" si="410"/>
        <v>64.299702982803666</v>
      </c>
      <c r="AJ284" s="249">
        <f t="shared" si="410"/>
        <v>59.906897628892224</v>
      </c>
      <c r="AK284" s="249">
        <f t="shared" si="410"/>
        <v>66.904590937278229</v>
      </c>
      <c r="AL284" s="249">
        <f t="shared" si="410"/>
        <v>63.414086006520073</v>
      </c>
      <c r="AM284" s="249">
        <f t="shared" si="410"/>
        <v>67.740674078882506</v>
      </c>
      <c r="AN284" s="249">
        <f t="shared" si="410"/>
        <v>63.108460531189344</v>
      </c>
      <c r="AO284" s="249">
        <f t="shared" si="410"/>
        <v>70.472709857471571</v>
      </c>
      <c r="AP284" s="249">
        <f t="shared" si="410"/>
        <v>66.802305971456718</v>
      </c>
      <c r="AQ284" s="249">
        <f t="shared" si="410"/>
        <v>71.37213291726755</v>
      </c>
      <c r="AR284" s="249">
        <f t="shared" si="410"/>
        <v>66.481619317707242</v>
      </c>
      <c r="AS284" s="249">
        <f t="shared" si="410"/>
        <v>74.226563003861685</v>
      </c>
      <c r="AT284" s="249">
        <f t="shared" ref="AT284:AW284" si="411">AT280*(SUM(AT281:AT283))</f>
        <v>70.365114785714198</v>
      </c>
      <c r="AU284" s="249">
        <f t="shared" si="411"/>
        <v>75.188441557224607</v>
      </c>
      <c r="AV284" s="249">
        <f t="shared" si="411"/>
        <v>70.024724194870402</v>
      </c>
      <c r="AW284" s="249">
        <f t="shared" si="411"/>
        <v>78.168011287946712</v>
      </c>
    </row>
    <row r="285" spans="1:49" s="762" customFormat="1" ht="16.5" thickBot="1">
      <c r="A285" s="761" t="s">
        <v>5</v>
      </c>
      <c r="N285" s="763">
        <v>1110</v>
      </c>
      <c r="O285" s="763">
        <v>1253</v>
      </c>
      <c r="P285" s="763">
        <v>1077</v>
      </c>
      <c r="Q285" s="763">
        <v>1489</v>
      </c>
      <c r="R285" s="764">
        <v>1175</v>
      </c>
      <c r="S285" s="764">
        <v>1165</v>
      </c>
      <c r="T285" s="764">
        <v>1165</v>
      </c>
      <c r="U285" s="764">
        <v>1437</v>
      </c>
      <c r="V285" s="764">
        <v>1121</v>
      </c>
      <c r="W285" s="764">
        <v>1165</v>
      </c>
      <c r="X285" s="764">
        <v>1093</v>
      </c>
      <c r="Y285" s="764">
        <v>1173</v>
      </c>
      <c r="Z285" s="764">
        <v>1173</v>
      </c>
      <c r="AA285" s="764">
        <v>1145</v>
      </c>
      <c r="AB285" s="764">
        <f>SUM(AB281:AB284)</f>
        <v>1081</v>
      </c>
      <c r="AC285" s="764">
        <f t="shared" ref="AC285:AS285" si="412">SUM(AC281:AC284)</f>
        <v>1299</v>
      </c>
      <c r="AD285" s="764">
        <f t="shared" ref="AD285:AF285" si="413">SUM(AD281:AD284)</f>
        <v>1221</v>
      </c>
      <c r="AE285" s="764">
        <f t="shared" si="413"/>
        <v>1264</v>
      </c>
      <c r="AF285" s="764">
        <f t="shared" si="413"/>
        <v>1262</v>
      </c>
      <c r="AG285" s="765">
        <f t="shared" si="412"/>
        <v>1404.3249126622059</v>
      </c>
      <c r="AH285" s="765">
        <f t="shared" si="412"/>
        <v>1330.8570977506793</v>
      </c>
      <c r="AI285" s="765">
        <f t="shared" si="412"/>
        <v>1421.3264397689272</v>
      </c>
      <c r="AJ285" s="765">
        <f t="shared" si="412"/>
        <v>1324.2247409330457</v>
      </c>
      <c r="AK285" s="765">
        <f t="shared" si="412"/>
        <v>1478.9067387528969</v>
      </c>
      <c r="AL285" s="765">
        <f t="shared" si="412"/>
        <v>1401.7501312401503</v>
      </c>
      <c r="AM285" s="765">
        <f t="shared" si="412"/>
        <v>1497.3881161136139</v>
      </c>
      <c r="AN285" s="765">
        <f t="shared" si="412"/>
        <v>1394.9943680156966</v>
      </c>
      <c r="AO285" s="765">
        <f t="shared" si="412"/>
        <v>1557.7789811778248</v>
      </c>
      <c r="AP285" s="765">
        <f t="shared" si="412"/>
        <v>1476.6457590038638</v>
      </c>
      <c r="AQ285" s="765">
        <f t="shared" si="412"/>
        <v>1577.6604692115689</v>
      </c>
      <c r="AR285" s="765">
        <f t="shared" si="412"/>
        <v>1469.5570727625438</v>
      </c>
      <c r="AS285" s="765">
        <f t="shared" si="412"/>
        <v>1640.7568252496856</v>
      </c>
      <c r="AT285" s="765">
        <f t="shared" ref="AT285:AW285" si="414">SUM(AT281:AT284)</f>
        <v>1555.400623064437</v>
      </c>
      <c r="AU285" s="765">
        <f t="shared" si="414"/>
        <v>1662.0188740045148</v>
      </c>
      <c r="AV285" s="765">
        <f t="shared" si="414"/>
        <v>1547.8763869611341</v>
      </c>
      <c r="AW285" s="765">
        <f t="shared" si="414"/>
        <v>1727.8814058818875</v>
      </c>
    </row>
    <row r="286" spans="1:49" s="759" customFormat="1">
      <c r="A286" s="293" t="s">
        <v>85</v>
      </c>
      <c r="N286" s="760">
        <v>8</v>
      </c>
      <c r="O286" s="760">
        <v>9</v>
      </c>
      <c r="P286" s="760">
        <v>3</v>
      </c>
      <c r="Q286" s="760">
        <v>7</v>
      </c>
      <c r="R286" s="243">
        <v>1</v>
      </c>
      <c r="S286" s="243">
        <v>3</v>
      </c>
      <c r="T286" s="243">
        <v>5</v>
      </c>
      <c r="U286" s="243">
        <v>9</v>
      </c>
      <c r="V286" s="243">
        <v>5</v>
      </c>
      <c r="W286" s="243">
        <v>1</v>
      </c>
      <c r="X286" s="243">
        <v>14</v>
      </c>
      <c r="Y286" s="243">
        <v>17</v>
      </c>
      <c r="Z286" s="243">
        <v>2</v>
      </c>
      <c r="AA286" s="243">
        <v>19</v>
      </c>
      <c r="AB286" s="243">
        <v>14</v>
      </c>
      <c r="AC286" s="243">
        <v>20</v>
      </c>
      <c r="AD286" s="243">
        <v>6</v>
      </c>
      <c r="AE286" s="243">
        <v>12</v>
      </c>
      <c r="AF286" s="243">
        <v>9</v>
      </c>
      <c r="AG286" s="255">
        <f>AVERAGE(Y286:AF286)</f>
        <v>12.375</v>
      </c>
      <c r="AH286" s="255">
        <f t="shared" ref="AH286:AS286" si="415">AG286</f>
        <v>12.375</v>
      </c>
      <c r="AI286" s="255">
        <f>AH286</f>
        <v>12.375</v>
      </c>
      <c r="AJ286" s="255">
        <f t="shared" si="415"/>
        <v>12.375</v>
      </c>
      <c r="AK286" s="255">
        <f t="shared" si="415"/>
        <v>12.375</v>
      </c>
      <c r="AL286" s="255">
        <f t="shared" si="415"/>
        <v>12.375</v>
      </c>
      <c r="AM286" s="255">
        <f t="shared" si="415"/>
        <v>12.375</v>
      </c>
      <c r="AN286" s="255">
        <f t="shared" si="415"/>
        <v>12.375</v>
      </c>
      <c r="AO286" s="255">
        <f t="shared" si="415"/>
        <v>12.375</v>
      </c>
      <c r="AP286" s="255">
        <f t="shared" si="415"/>
        <v>12.375</v>
      </c>
      <c r="AQ286" s="255">
        <f t="shared" si="415"/>
        <v>12.375</v>
      </c>
      <c r="AR286" s="255">
        <f t="shared" si="415"/>
        <v>12.375</v>
      </c>
      <c r="AS286" s="255">
        <f t="shared" si="415"/>
        <v>12.375</v>
      </c>
      <c r="AT286" s="255">
        <f t="shared" ref="AT286:AT287" si="416">AS286</f>
        <v>12.375</v>
      </c>
      <c r="AU286" s="255">
        <f t="shared" ref="AU286:AU287" si="417">AT286</f>
        <v>12.375</v>
      </c>
      <c r="AV286" s="255">
        <f t="shared" ref="AV286:AV287" si="418">AU286</f>
        <v>12.375</v>
      </c>
      <c r="AW286" s="255">
        <f t="shared" ref="AW286:AW287" si="419">AV286</f>
        <v>12.375</v>
      </c>
    </row>
    <row r="287" spans="1:49" s="246" customFormat="1">
      <c r="A287" s="245" t="s">
        <v>86</v>
      </c>
      <c r="N287" s="247">
        <v>-3</v>
      </c>
      <c r="O287" s="247">
        <v>-4</v>
      </c>
      <c r="P287" s="247">
        <v>-9</v>
      </c>
      <c r="Q287" s="247">
        <v>-3</v>
      </c>
      <c r="R287" s="248">
        <v>-1</v>
      </c>
      <c r="S287" s="248">
        <v>-1</v>
      </c>
      <c r="T287" s="248">
        <v>-2</v>
      </c>
      <c r="U287" s="248">
        <v>-2</v>
      </c>
      <c r="V287" s="248">
        <v>-3</v>
      </c>
      <c r="W287" s="248">
        <v>-2</v>
      </c>
      <c r="X287" s="248">
        <v>-3</v>
      </c>
      <c r="Y287" s="248">
        <v>-24</v>
      </c>
      <c r="Z287" s="248">
        <v>-4</v>
      </c>
      <c r="AA287" s="248">
        <v>-3</v>
      </c>
      <c r="AB287" s="248">
        <v>-14</v>
      </c>
      <c r="AC287" s="248">
        <v>-14</v>
      </c>
      <c r="AD287" s="248">
        <v>-4</v>
      </c>
      <c r="AE287" s="248">
        <v>-4</v>
      </c>
      <c r="AF287" s="248">
        <v>-6</v>
      </c>
      <c r="AG287" s="256">
        <f>SUM(N287:AF287)/SUM(N286:AF286)*AG286</f>
        <v>-7.9984756097560981</v>
      </c>
      <c r="AH287" s="256">
        <f t="shared" ref="AH287:AS287" si="420">AG287</f>
        <v>-7.9984756097560981</v>
      </c>
      <c r="AI287" s="256">
        <f t="shared" si="420"/>
        <v>-7.9984756097560981</v>
      </c>
      <c r="AJ287" s="256">
        <f t="shared" si="420"/>
        <v>-7.9984756097560981</v>
      </c>
      <c r="AK287" s="256">
        <f t="shared" si="420"/>
        <v>-7.9984756097560981</v>
      </c>
      <c r="AL287" s="256">
        <f t="shared" si="420"/>
        <v>-7.9984756097560981</v>
      </c>
      <c r="AM287" s="256">
        <f t="shared" si="420"/>
        <v>-7.9984756097560981</v>
      </c>
      <c r="AN287" s="256">
        <f t="shared" si="420"/>
        <v>-7.9984756097560981</v>
      </c>
      <c r="AO287" s="256">
        <f t="shared" si="420"/>
        <v>-7.9984756097560981</v>
      </c>
      <c r="AP287" s="256">
        <f t="shared" si="420"/>
        <v>-7.9984756097560981</v>
      </c>
      <c r="AQ287" s="256">
        <f t="shared" si="420"/>
        <v>-7.9984756097560981</v>
      </c>
      <c r="AR287" s="256">
        <f t="shared" si="420"/>
        <v>-7.9984756097560981</v>
      </c>
      <c r="AS287" s="256">
        <f t="shared" si="420"/>
        <v>-7.9984756097560981</v>
      </c>
      <c r="AT287" s="256">
        <f t="shared" si="416"/>
        <v>-7.9984756097560981</v>
      </c>
      <c r="AU287" s="256">
        <f t="shared" si="417"/>
        <v>-7.9984756097560981</v>
      </c>
      <c r="AV287" s="256">
        <f t="shared" si="418"/>
        <v>-7.9984756097560981</v>
      </c>
      <c r="AW287" s="256">
        <f t="shared" si="419"/>
        <v>-7.9984756097560981</v>
      </c>
    </row>
    <row r="288" spans="1:49" s="251" customFormat="1" ht="16.5" thickBot="1">
      <c r="A288" s="250" t="s">
        <v>6</v>
      </c>
      <c r="N288" s="257">
        <v>5</v>
      </c>
      <c r="O288" s="257">
        <v>5</v>
      </c>
      <c r="P288" s="257">
        <v>-6</v>
      </c>
      <c r="Q288" s="257">
        <v>4</v>
      </c>
      <c r="R288" s="253">
        <v>0</v>
      </c>
      <c r="S288" s="253">
        <v>2</v>
      </c>
      <c r="T288" s="253">
        <v>3</v>
      </c>
      <c r="U288" s="253">
        <v>7</v>
      </c>
      <c r="V288" s="253">
        <v>2</v>
      </c>
      <c r="W288" s="253">
        <v>-1</v>
      </c>
      <c r="X288" s="253">
        <v>11</v>
      </c>
      <c r="Y288" s="253">
        <v>-7</v>
      </c>
      <c r="Z288" s="253">
        <v>-2</v>
      </c>
      <c r="AA288" s="253">
        <v>16</v>
      </c>
      <c r="AB288" s="253">
        <f t="shared" ref="AB288:AS288" si="421">AB286+AB287</f>
        <v>0</v>
      </c>
      <c r="AC288" s="253">
        <f t="shared" si="421"/>
        <v>6</v>
      </c>
      <c r="AD288" s="253">
        <f t="shared" ref="AD288:AF288" si="422">AD286+AD287</f>
        <v>2</v>
      </c>
      <c r="AE288" s="253">
        <f t="shared" si="422"/>
        <v>8</v>
      </c>
      <c r="AF288" s="253">
        <f t="shared" si="422"/>
        <v>3</v>
      </c>
      <c r="AG288" s="258">
        <f t="shared" si="421"/>
        <v>4.3765243902439019</v>
      </c>
      <c r="AH288" s="258">
        <f t="shared" si="421"/>
        <v>4.3765243902439019</v>
      </c>
      <c r="AI288" s="258">
        <f t="shared" si="421"/>
        <v>4.3765243902439019</v>
      </c>
      <c r="AJ288" s="258">
        <f t="shared" si="421"/>
        <v>4.3765243902439019</v>
      </c>
      <c r="AK288" s="258">
        <f t="shared" si="421"/>
        <v>4.3765243902439019</v>
      </c>
      <c r="AL288" s="258">
        <f t="shared" si="421"/>
        <v>4.3765243902439019</v>
      </c>
      <c r="AM288" s="258">
        <f t="shared" si="421"/>
        <v>4.3765243902439019</v>
      </c>
      <c r="AN288" s="258">
        <f t="shared" si="421"/>
        <v>4.3765243902439019</v>
      </c>
      <c r="AO288" s="258">
        <f t="shared" si="421"/>
        <v>4.3765243902439019</v>
      </c>
      <c r="AP288" s="258">
        <f t="shared" si="421"/>
        <v>4.3765243902439019</v>
      </c>
      <c r="AQ288" s="258">
        <f t="shared" si="421"/>
        <v>4.3765243902439019</v>
      </c>
      <c r="AR288" s="258">
        <f t="shared" si="421"/>
        <v>4.3765243902439019</v>
      </c>
      <c r="AS288" s="258">
        <f t="shared" si="421"/>
        <v>4.3765243902439019</v>
      </c>
      <c r="AT288" s="258">
        <f t="shared" ref="AT288:AW288" si="423">AT286+AT287</f>
        <v>4.3765243902439019</v>
      </c>
      <c r="AU288" s="258">
        <f t="shared" si="423"/>
        <v>4.3765243902439019</v>
      </c>
      <c r="AV288" s="258">
        <f t="shared" si="423"/>
        <v>4.3765243902439019</v>
      </c>
      <c r="AW288" s="258">
        <f t="shared" si="423"/>
        <v>4.3765243902439019</v>
      </c>
    </row>
    <row r="289" spans="1:49" s="235" customFormat="1">
      <c r="A289" s="268" t="s">
        <v>7</v>
      </c>
      <c r="N289" s="766">
        <v>556</v>
      </c>
      <c r="O289" s="766">
        <v>590</v>
      </c>
      <c r="P289" s="766">
        <v>500</v>
      </c>
      <c r="Q289" s="766">
        <v>503</v>
      </c>
      <c r="R289" s="767">
        <v>568</v>
      </c>
      <c r="S289" s="767">
        <v>562</v>
      </c>
      <c r="T289" s="767">
        <v>512</v>
      </c>
      <c r="U289" s="767">
        <v>565</v>
      </c>
      <c r="V289" s="767">
        <v>529</v>
      </c>
      <c r="W289" s="767">
        <v>557</v>
      </c>
      <c r="X289" s="767">
        <v>489</v>
      </c>
      <c r="Y289" s="767">
        <v>540</v>
      </c>
      <c r="Z289" s="767">
        <v>501</v>
      </c>
      <c r="AA289" s="767">
        <v>540</v>
      </c>
      <c r="AB289" s="767">
        <v>513</v>
      </c>
      <c r="AC289" s="767">
        <v>565</v>
      </c>
      <c r="AD289" s="767">
        <v>556</v>
      </c>
      <c r="AE289" s="767">
        <v>556</v>
      </c>
      <c r="AF289" s="767">
        <v>543</v>
      </c>
      <c r="AG289" s="259"/>
      <c r="AH289" s="259"/>
      <c r="AI289" s="259"/>
      <c r="AJ289" s="259"/>
      <c r="AK289" s="259"/>
      <c r="AL289" s="259"/>
      <c r="AM289" s="259"/>
      <c r="AN289" s="259"/>
      <c r="AO289" s="259"/>
      <c r="AP289" s="259"/>
      <c r="AQ289" s="259"/>
      <c r="AR289" s="259"/>
      <c r="AS289" s="259"/>
      <c r="AT289" s="259"/>
      <c r="AU289" s="259"/>
      <c r="AV289" s="259"/>
      <c r="AW289" s="259"/>
    </row>
    <row r="290" spans="1:49" s="759" customFormat="1">
      <c r="A290" s="293" t="s">
        <v>8</v>
      </c>
      <c r="N290" s="760">
        <v>278</v>
      </c>
      <c r="O290" s="760">
        <v>287</v>
      </c>
      <c r="P290" s="760">
        <v>290</v>
      </c>
      <c r="Q290" s="760">
        <v>359</v>
      </c>
      <c r="R290" s="243">
        <v>268</v>
      </c>
      <c r="S290" s="243">
        <v>265</v>
      </c>
      <c r="T290" s="243">
        <v>314</v>
      </c>
      <c r="U290" s="243">
        <v>319</v>
      </c>
      <c r="V290" s="243">
        <v>250</v>
      </c>
      <c r="W290" s="243">
        <v>276</v>
      </c>
      <c r="X290" s="243">
        <v>335</v>
      </c>
      <c r="Y290" s="243">
        <v>568</v>
      </c>
      <c r="Z290" s="243">
        <v>305</v>
      </c>
      <c r="AA290" s="243">
        <v>266</v>
      </c>
      <c r="AB290" s="243">
        <v>256</v>
      </c>
      <c r="AC290" s="243">
        <v>318</v>
      </c>
      <c r="AD290" s="243">
        <v>282</v>
      </c>
      <c r="AE290" s="243">
        <v>265</v>
      </c>
      <c r="AF290" s="243">
        <v>285</v>
      </c>
      <c r="AG290" s="768"/>
      <c r="AH290" s="768"/>
      <c r="AI290" s="768"/>
      <c r="AJ290" s="768"/>
      <c r="AK290" s="768"/>
      <c r="AL290" s="768"/>
      <c r="AM290" s="768"/>
      <c r="AN290" s="768"/>
      <c r="AO290" s="768"/>
      <c r="AP290" s="768"/>
      <c r="AQ290" s="768"/>
      <c r="AR290" s="768"/>
      <c r="AS290" s="768"/>
      <c r="AT290" s="768"/>
      <c r="AU290" s="768"/>
      <c r="AV290" s="768"/>
      <c r="AW290" s="768"/>
    </row>
    <row r="291" spans="1:49" s="759" customFormat="1">
      <c r="A291" s="293" t="s">
        <v>9</v>
      </c>
      <c r="N291" s="760">
        <v>74</v>
      </c>
      <c r="O291" s="760">
        <v>91</v>
      </c>
      <c r="P291" s="760">
        <v>84</v>
      </c>
      <c r="Q291" s="760">
        <v>92</v>
      </c>
      <c r="R291" s="243">
        <v>76</v>
      </c>
      <c r="S291" s="243">
        <v>75</v>
      </c>
      <c r="T291" s="243">
        <v>72</v>
      </c>
      <c r="U291" s="243">
        <v>74</v>
      </c>
      <c r="V291" s="243">
        <v>62</v>
      </c>
      <c r="W291" s="243">
        <v>61</v>
      </c>
      <c r="X291" s="243">
        <v>61</v>
      </c>
      <c r="Y291" s="243">
        <v>60</v>
      </c>
      <c r="Z291" s="243">
        <v>61</v>
      </c>
      <c r="AA291" s="243">
        <v>63</v>
      </c>
      <c r="AB291" s="243">
        <v>52</v>
      </c>
      <c r="AC291" s="243">
        <v>63</v>
      </c>
      <c r="AD291" s="243">
        <v>54</v>
      </c>
      <c r="AE291" s="243">
        <v>63</v>
      </c>
      <c r="AF291" s="243">
        <v>60</v>
      </c>
      <c r="AG291" s="768"/>
      <c r="AH291" s="768"/>
      <c r="AI291" s="768"/>
      <c r="AJ291" s="768"/>
      <c r="AK291" s="768"/>
      <c r="AL291" s="768"/>
      <c r="AM291" s="768"/>
      <c r="AN291" s="768"/>
      <c r="AO291" s="768"/>
      <c r="AP291" s="768"/>
      <c r="AQ291" s="768"/>
      <c r="AR291" s="768"/>
      <c r="AS291" s="768"/>
      <c r="AT291" s="768"/>
      <c r="AU291" s="768"/>
      <c r="AV291" s="768"/>
      <c r="AW291" s="768"/>
    </row>
    <row r="292" spans="1:49" s="246" customFormat="1">
      <c r="A292" s="245" t="s">
        <v>10</v>
      </c>
      <c r="N292" s="247">
        <v>0</v>
      </c>
      <c r="O292" s="247">
        <v>0</v>
      </c>
      <c r="P292" s="247">
        <v>0</v>
      </c>
      <c r="Q292" s="247">
        <v>0</v>
      </c>
      <c r="R292" s="260">
        <v>0</v>
      </c>
      <c r="S292" s="260">
        <v>0</v>
      </c>
      <c r="T292" s="260">
        <v>0</v>
      </c>
      <c r="U292" s="260">
        <v>0</v>
      </c>
      <c r="V292" s="260">
        <v>0</v>
      </c>
      <c r="W292" s="260">
        <v>0</v>
      </c>
      <c r="X292" s="260">
        <v>0</v>
      </c>
      <c r="Y292" s="260">
        <v>36</v>
      </c>
      <c r="Z292" s="260">
        <v>8</v>
      </c>
      <c r="AA292" s="260">
        <v>15</v>
      </c>
      <c r="AB292" s="260">
        <v>15</v>
      </c>
      <c r="AC292" s="260">
        <v>16</v>
      </c>
      <c r="AD292" s="260">
        <v>36</v>
      </c>
      <c r="AE292" s="260">
        <v>7</v>
      </c>
      <c r="AF292" s="260">
        <v>16</v>
      </c>
      <c r="AG292" s="261"/>
      <c r="AH292" s="261"/>
      <c r="AI292" s="261"/>
      <c r="AJ292" s="261"/>
      <c r="AK292" s="261"/>
      <c r="AL292" s="261"/>
      <c r="AM292" s="261"/>
      <c r="AN292" s="261"/>
      <c r="AO292" s="261"/>
      <c r="AP292" s="261"/>
      <c r="AQ292" s="261"/>
      <c r="AR292" s="261"/>
      <c r="AS292" s="261"/>
      <c r="AT292" s="261"/>
      <c r="AU292" s="261"/>
      <c r="AV292" s="261"/>
      <c r="AW292" s="261"/>
    </row>
    <row r="293" spans="1:49" s="246" customFormat="1">
      <c r="A293" s="245" t="s">
        <v>11</v>
      </c>
      <c r="N293" s="247">
        <v>352</v>
      </c>
      <c r="O293" s="247">
        <v>378</v>
      </c>
      <c r="P293" s="247">
        <v>374</v>
      </c>
      <c r="Q293" s="247">
        <v>451</v>
      </c>
      <c r="R293" s="248">
        <v>344</v>
      </c>
      <c r="S293" s="248">
        <v>340</v>
      </c>
      <c r="T293" s="248">
        <v>386</v>
      </c>
      <c r="U293" s="248">
        <v>393</v>
      </c>
      <c r="V293" s="248">
        <v>312</v>
      </c>
      <c r="W293" s="248">
        <v>337</v>
      </c>
      <c r="X293" s="248">
        <v>396</v>
      </c>
      <c r="Y293" s="248">
        <v>664</v>
      </c>
      <c r="Z293" s="248">
        <v>374</v>
      </c>
      <c r="AA293" s="248">
        <v>344</v>
      </c>
      <c r="AB293" s="248">
        <v>323</v>
      </c>
      <c r="AC293" s="248">
        <v>397</v>
      </c>
      <c r="AD293" s="248">
        <v>372</v>
      </c>
      <c r="AE293" s="248">
        <v>335</v>
      </c>
      <c r="AF293" s="248">
        <v>361</v>
      </c>
      <c r="AG293" s="262"/>
      <c r="AH293" s="262"/>
      <c r="AI293" s="262"/>
      <c r="AJ293" s="262"/>
      <c r="AK293" s="262"/>
      <c r="AL293" s="262"/>
      <c r="AM293" s="262"/>
      <c r="AN293" s="262"/>
      <c r="AO293" s="262"/>
      <c r="AP293" s="262"/>
      <c r="AQ293" s="262"/>
      <c r="AR293" s="262"/>
      <c r="AS293" s="262"/>
      <c r="AT293" s="262"/>
      <c r="AU293" s="262"/>
      <c r="AV293" s="262"/>
      <c r="AW293" s="262"/>
    </row>
    <row r="294" spans="1:49" s="251" customFormat="1" ht="16.5" thickBot="1">
      <c r="A294" s="250" t="s">
        <v>12</v>
      </c>
      <c r="N294" s="252">
        <v>908</v>
      </c>
      <c r="O294" s="252">
        <v>968</v>
      </c>
      <c r="P294" s="252">
        <v>874</v>
      </c>
      <c r="Q294" s="252">
        <v>954</v>
      </c>
      <c r="R294" s="253">
        <v>912</v>
      </c>
      <c r="S294" s="253">
        <v>902</v>
      </c>
      <c r="T294" s="253">
        <v>898</v>
      </c>
      <c r="U294" s="253">
        <v>958</v>
      </c>
      <c r="V294" s="253">
        <v>841</v>
      </c>
      <c r="W294" s="253">
        <v>894</v>
      </c>
      <c r="X294" s="253">
        <v>885</v>
      </c>
      <c r="Y294" s="253">
        <v>1204</v>
      </c>
      <c r="Z294" s="253">
        <v>875</v>
      </c>
      <c r="AA294" s="253">
        <v>884</v>
      </c>
      <c r="AB294" s="253">
        <f>SUM(AB289:AB292)</f>
        <v>836</v>
      </c>
      <c r="AC294" s="253">
        <f>AC299*AC285</f>
        <v>962.55899999999997</v>
      </c>
      <c r="AD294" s="253">
        <f t="shared" ref="AD294:AF294" si="424">AD299*AD285</f>
        <v>927.96</v>
      </c>
      <c r="AE294" s="253">
        <f t="shared" si="424"/>
        <v>891.12</v>
      </c>
      <c r="AF294" s="253">
        <f t="shared" si="424"/>
        <v>903.59199999999998</v>
      </c>
      <c r="AG294" s="254">
        <f t="shared" ref="AG294:AS294" si="425">AG299*AG285</f>
        <v>1009.2361949002424</v>
      </c>
      <c r="AH294" s="254">
        <f t="shared" si="425"/>
        <v>949.38702795542326</v>
      </c>
      <c r="AI294" s="254">
        <f t="shared" si="425"/>
        <v>1006.4503477083034</v>
      </c>
      <c r="AJ294" s="254">
        <f t="shared" si="425"/>
        <v>930.77962526828981</v>
      </c>
      <c r="AK294" s="254">
        <f t="shared" si="425"/>
        <v>1031.8405930802635</v>
      </c>
      <c r="AL294" s="254">
        <f t="shared" si="425"/>
        <v>970.79845801500232</v>
      </c>
      <c r="AM294" s="254">
        <f t="shared" si="425"/>
        <v>1029.3889583347941</v>
      </c>
      <c r="AN294" s="254">
        <f t="shared" si="425"/>
        <v>951.9282792105372</v>
      </c>
      <c r="AO294" s="254">
        <f t="shared" si="425"/>
        <v>1055.1744464700432</v>
      </c>
      <c r="AP294" s="254">
        <f t="shared" si="425"/>
        <v>992.84487641837427</v>
      </c>
      <c r="AQ294" s="254">
        <f t="shared" si="425"/>
        <v>1052.9439930394217</v>
      </c>
      <c r="AR294" s="254">
        <f t="shared" si="425"/>
        <v>973.56473875395648</v>
      </c>
      <c r="AS294" s="254">
        <f t="shared" si="425"/>
        <v>1078.9697008177186</v>
      </c>
      <c r="AT294" s="254">
        <f t="shared" ref="AT294:AW294" si="426">AT299*AT285</f>
        <v>1015.298978603424</v>
      </c>
      <c r="AU294" s="254">
        <f t="shared" si="426"/>
        <v>1076.8972875629488</v>
      </c>
      <c r="AV294" s="254">
        <f t="shared" si="426"/>
        <v>995.54583057315074</v>
      </c>
      <c r="AW294" s="254">
        <f t="shared" si="426"/>
        <v>1103.1271281704207</v>
      </c>
    </row>
    <row r="295" spans="1:49" s="251" customFormat="1" ht="16.5" thickBot="1">
      <c r="A295" s="263" t="s">
        <v>87</v>
      </c>
      <c r="N295" s="569">
        <v>197</v>
      </c>
      <c r="O295" s="569">
        <v>280</v>
      </c>
      <c r="P295" s="569">
        <v>209</v>
      </c>
      <c r="Q295" s="569">
        <v>531</v>
      </c>
      <c r="R295" s="570">
        <v>263</v>
      </c>
      <c r="S295" s="570">
        <v>261</v>
      </c>
      <c r="T295" s="570">
        <v>264</v>
      </c>
      <c r="U295" s="570">
        <v>472</v>
      </c>
      <c r="V295" s="570">
        <v>278</v>
      </c>
      <c r="W295" s="570">
        <v>272</v>
      </c>
      <c r="X295" s="570">
        <v>197</v>
      </c>
      <c r="Y295" s="570">
        <v>-24</v>
      </c>
      <c r="Z295" s="570">
        <v>300</v>
      </c>
      <c r="AA295" s="570">
        <v>245</v>
      </c>
      <c r="AB295" s="570">
        <f>AB285-AB288-AB294</f>
        <v>245</v>
      </c>
      <c r="AC295" s="570">
        <f t="shared" ref="AC295:AI295" si="427">AC285-AC288-AC294</f>
        <v>330.44100000000003</v>
      </c>
      <c r="AD295" s="570">
        <f t="shared" ref="AD295:AF295" si="428">AD285-AD288-AD294</f>
        <v>291.03999999999996</v>
      </c>
      <c r="AE295" s="570">
        <f t="shared" si="428"/>
        <v>364.88</v>
      </c>
      <c r="AF295" s="570">
        <f t="shared" si="428"/>
        <v>355.40800000000002</v>
      </c>
      <c r="AG295" s="254">
        <f t="shared" si="427"/>
        <v>390.71219337171954</v>
      </c>
      <c r="AH295" s="254">
        <f t="shared" si="427"/>
        <v>377.09354540501204</v>
      </c>
      <c r="AI295" s="254">
        <f t="shared" si="427"/>
        <v>410.49956767037986</v>
      </c>
      <c r="AJ295" s="254">
        <f t="shared" ref="AJ295:AS295" si="429">AJ285-AJ288-AJ294</f>
        <v>389.06859127451196</v>
      </c>
      <c r="AK295" s="899">
        <f t="shared" si="429"/>
        <v>442.68962128238945</v>
      </c>
      <c r="AL295" s="254">
        <f t="shared" si="429"/>
        <v>426.57514883490398</v>
      </c>
      <c r="AM295" s="254">
        <f t="shared" si="429"/>
        <v>463.62263338857588</v>
      </c>
      <c r="AN295" s="254">
        <f t="shared" si="429"/>
        <v>438.68956441491548</v>
      </c>
      <c r="AO295" s="254">
        <f t="shared" si="429"/>
        <v>498.22801031753761</v>
      </c>
      <c r="AP295" s="254">
        <f t="shared" si="429"/>
        <v>479.42435819524553</v>
      </c>
      <c r="AQ295" s="254">
        <f t="shared" si="429"/>
        <v>520.33995178190321</v>
      </c>
      <c r="AR295" s="254">
        <f t="shared" si="429"/>
        <v>491.61580961834341</v>
      </c>
      <c r="AS295" s="254">
        <f t="shared" si="429"/>
        <v>557.410600041723</v>
      </c>
      <c r="AT295" s="254">
        <f t="shared" ref="AT295:AW295" si="430">AT285-AT288-AT294</f>
        <v>535.72512007076909</v>
      </c>
      <c r="AU295" s="254">
        <f t="shared" si="430"/>
        <v>580.74506205132207</v>
      </c>
      <c r="AV295" s="254">
        <f t="shared" si="430"/>
        <v>547.95403199773943</v>
      </c>
      <c r="AW295" s="254">
        <f t="shared" si="430"/>
        <v>620.37775332122283</v>
      </c>
    </row>
    <row r="296" spans="1:49" s="235" customFormat="1">
      <c r="A296" s="264"/>
      <c r="N296" s="265"/>
      <c r="O296" s="265"/>
      <c r="P296" s="265"/>
      <c r="Q296" s="265"/>
      <c r="R296" s="266"/>
      <c r="S296" s="266"/>
      <c r="T296" s="266"/>
      <c r="U296" s="266"/>
      <c r="V296" s="266"/>
      <c r="W296" s="266"/>
      <c r="X296" s="266"/>
      <c r="Y296" s="266"/>
      <c r="Z296" s="266"/>
      <c r="AA296" s="267"/>
      <c r="AB296" s="267"/>
      <c r="AC296" s="267"/>
      <c r="AD296" s="267"/>
      <c r="AE296" s="267"/>
      <c r="AF296" s="267"/>
      <c r="AG296" s="237"/>
      <c r="AH296" s="237"/>
      <c r="AI296" s="237"/>
      <c r="AJ296" s="237"/>
      <c r="AK296" s="237"/>
      <c r="AL296" s="237"/>
      <c r="AM296" s="237"/>
      <c r="AN296" s="237"/>
      <c r="AO296" s="237"/>
      <c r="AP296" s="237"/>
      <c r="AQ296" s="237"/>
      <c r="AR296" s="237"/>
      <c r="AS296" s="237"/>
      <c r="AT296" s="237"/>
      <c r="AU296" s="237"/>
      <c r="AV296" s="237"/>
      <c r="AW296" s="237"/>
    </row>
    <row r="297" spans="1:49" s="235" customFormat="1">
      <c r="A297" s="234" t="s">
        <v>88</v>
      </c>
      <c r="N297" s="265"/>
      <c r="O297" s="265"/>
      <c r="P297" s="265"/>
      <c r="Q297" s="265"/>
      <c r="R297" s="266"/>
      <c r="S297" s="266"/>
      <c r="T297" s="266"/>
      <c r="U297" s="266"/>
      <c r="V297" s="266"/>
      <c r="W297" s="266"/>
      <c r="X297" s="266"/>
      <c r="Y297" s="266"/>
      <c r="Z297" s="266"/>
      <c r="AA297" s="266"/>
      <c r="AB297" s="266"/>
      <c r="AC297" s="266"/>
      <c r="AD297" s="266"/>
      <c r="AE297" s="266"/>
      <c r="AF297" s="266"/>
      <c r="AG297" s="237"/>
      <c r="AH297" s="237"/>
      <c r="AI297" s="237"/>
      <c r="AJ297" s="237"/>
      <c r="AK297" s="237"/>
      <c r="AL297" s="237"/>
      <c r="AM297" s="237"/>
      <c r="AN297" s="237"/>
      <c r="AO297" s="237"/>
      <c r="AP297" s="237"/>
      <c r="AQ297" s="237"/>
      <c r="AR297" s="237"/>
      <c r="AS297" s="237"/>
      <c r="AT297" s="237"/>
      <c r="AU297" s="237"/>
      <c r="AV297" s="237"/>
      <c r="AW297" s="237"/>
    </row>
    <row r="298" spans="1:49" s="235" customFormat="1">
      <c r="A298" s="268" t="s">
        <v>89</v>
      </c>
      <c r="N298" s="269"/>
      <c r="O298" s="269"/>
      <c r="P298" s="269"/>
      <c r="Q298" s="269"/>
      <c r="R298" s="270"/>
      <c r="S298" s="270"/>
      <c r="T298" s="270"/>
      <c r="U298" s="271">
        <v>41.4</v>
      </c>
      <c r="V298" s="271">
        <v>24.3</v>
      </c>
      <c r="W298" s="271">
        <v>23.3</v>
      </c>
      <c r="X298" s="271">
        <v>17</v>
      </c>
      <c r="Y298" s="272">
        <v>0</v>
      </c>
      <c r="Z298" s="271">
        <v>24.9</v>
      </c>
      <c r="AA298" s="271">
        <v>20.6</v>
      </c>
      <c r="AB298" s="271">
        <v>20.5</v>
      </c>
      <c r="AC298" s="271">
        <v>27</v>
      </c>
      <c r="AD298" s="271">
        <v>23</v>
      </c>
      <c r="AE298" s="271">
        <v>28.3</v>
      </c>
      <c r="AF298" s="271">
        <v>26.9</v>
      </c>
      <c r="AG298" s="237"/>
      <c r="AH298" s="237"/>
      <c r="AI298" s="237"/>
      <c r="AJ298" s="237"/>
      <c r="AK298" s="237"/>
      <c r="AL298" s="237"/>
      <c r="AM298" s="237"/>
      <c r="AN298" s="237"/>
      <c r="AO298" s="237"/>
      <c r="AP298" s="237"/>
      <c r="AQ298" s="237"/>
      <c r="AR298" s="237"/>
      <c r="AS298" s="237"/>
      <c r="AT298" s="237"/>
      <c r="AU298" s="237"/>
      <c r="AV298" s="237"/>
      <c r="AW298" s="237"/>
    </row>
    <row r="299" spans="1:49" s="274" customFormat="1" ht="16.5" thickBot="1">
      <c r="A299" s="273" t="s">
        <v>90</v>
      </c>
      <c r="N299" s="275">
        <v>0.81799999999999995</v>
      </c>
      <c r="O299" s="275">
        <v>0.77300000000000002</v>
      </c>
      <c r="P299" s="275">
        <v>0.81200000000000006</v>
      </c>
      <c r="Q299" s="275">
        <v>0.6409999999999999</v>
      </c>
      <c r="R299" s="275">
        <v>0.77617021276595755</v>
      </c>
      <c r="S299" s="275">
        <v>0.77424892703862658</v>
      </c>
      <c r="T299" s="275">
        <v>0.77081545064377688</v>
      </c>
      <c r="U299" s="275">
        <v>0.66666666666666652</v>
      </c>
      <c r="V299" s="275">
        <v>0.7502230151650312</v>
      </c>
      <c r="W299" s="275">
        <v>0.76700000000000002</v>
      </c>
      <c r="X299" s="275">
        <v>0.80969807868252519</v>
      </c>
      <c r="Y299" s="275">
        <v>1.0264279624893435</v>
      </c>
      <c r="Z299" s="275">
        <v>0.74595055413469735</v>
      </c>
      <c r="AA299" s="275">
        <v>0.77205240174672485</v>
      </c>
      <c r="AB299" s="275">
        <f>AB294/AB285</f>
        <v>0.77335800185013881</v>
      </c>
      <c r="AC299" s="275">
        <v>0.74099999999999999</v>
      </c>
      <c r="AD299" s="275">
        <v>0.76</v>
      </c>
      <c r="AE299" s="275">
        <v>0.70499999999999996</v>
      </c>
      <c r="AF299" s="275">
        <v>0.71599999999999997</v>
      </c>
      <c r="AG299" s="276">
        <f>Assumptions!AG14</f>
        <v>0.71866288620274765</v>
      </c>
      <c r="AH299" s="276">
        <f>Assumptions!AH14</f>
        <v>0.71336511602936947</v>
      </c>
      <c r="AI299" s="276">
        <f>Assumptions!AI14</f>
        <v>0.70810639945031029</v>
      </c>
      <c r="AJ299" s="276">
        <f>Assumptions!AJ14</f>
        <v>0.70288644857402727</v>
      </c>
      <c r="AK299" s="276">
        <f>Assumptions!AK14</f>
        <v>0.69770497763122874</v>
      </c>
      <c r="AL299" s="276">
        <f>Assumptions!AL14</f>
        <v>0.69256170295922981</v>
      </c>
      <c r="AM299" s="276">
        <f>Assumptions!AM14</f>
        <v>0.68745634298642289</v>
      </c>
      <c r="AN299" s="276">
        <f>Assumptions!AN14</f>
        <v>0.68238861821686292</v>
      </c>
      <c r="AO299" s="276">
        <f>Assumptions!AO14</f>
        <v>0.67735825121496629</v>
      </c>
      <c r="AP299" s="276">
        <f>Assumptions!AP14</f>
        <v>0.67236496659032252</v>
      </c>
      <c r="AQ299" s="276">
        <f>Assumptions!AQ14</f>
        <v>0.66740849098261767</v>
      </c>
      <c r="AR299" s="276">
        <f>Assumptions!AR14</f>
        <v>0.6624885530466692</v>
      </c>
      <c r="AS299" s="276">
        <f>Assumptions!AS14</f>
        <v>0.65760488343757106</v>
      </c>
      <c r="AT299" s="276">
        <f>Assumptions!AT14</f>
        <v>0.65275721479594795</v>
      </c>
      <c r="AU299" s="276">
        <f>Assumptions!AU14</f>
        <v>0.64794528173331889</v>
      </c>
      <c r="AV299" s="276">
        <f>Assumptions!AV14</f>
        <v>0.64316882081756832</v>
      </c>
      <c r="AW299" s="276">
        <f>Assumptions!AW14</f>
        <v>0.63842757055852417</v>
      </c>
    </row>
    <row r="300" spans="1:49" s="235" customFormat="1">
      <c r="A300" s="277"/>
      <c r="N300" s="267"/>
      <c r="O300" s="267"/>
      <c r="P300" s="267"/>
      <c r="Q300" s="267"/>
      <c r="R300" s="267"/>
      <c r="S300" s="267"/>
      <c r="T300" s="267"/>
      <c r="U300" s="267"/>
      <c r="V300" s="267"/>
      <c r="W300" s="267"/>
      <c r="X300" s="267"/>
      <c r="Y300" s="267"/>
      <c r="Z300" s="267"/>
      <c r="AA300" s="267"/>
      <c r="AB300" s="267"/>
      <c r="AC300" s="267"/>
      <c r="AD300" s="267"/>
      <c r="AE300" s="267"/>
      <c r="AF300" s="267"/>
      <c r="AG300" s="237"/>
      <c r="AH300" s="237"/>
      <c r="AI300" s="237"/>
      <c r="AJ300" s="237"/>
      <c r="AK300" s="237"/>
      <c r="AL300" s="237"/>
      <c r="AM300" s="237"/>
      <c r="AN300" s="237"/>
      <c r="AO300" s="237"/>
      <c r="AP300" s="237"/>
      <c r="AQ300" s="237"/>
      <c r="AR300" s="237"/>
      <c r="AS300" s="237"/>
      <c r="AT300" s="237"/>
      <c r="AU300" s="237"/>
      <c r="AV300" s="237"/>
      <c r="AW300" s="237"/>
    </row>
    <row r="301" spans="1:49" s="235" customFormat="1">
      <c r="A301" s="234" t="s">
        <v>91</v>
      </c>
      <c r="N301" s="1279"/>
      <c r="O301" s="278"/>
      <c r="P301" s="278"/>
      <c r="Q301" s="278"/>
      <c r="R301" s="267"/>
      <c r="S301" s="267"/>
      <c r="T301" s="267"/>
      <c r="U301" s="267"/>
      <c r="V301" s="267"/>
      <c r="W301" s="267"/>
      <c r="X301" s="267"/>
      <c r="Y301" s="267"/>
      <c r="Z301" s="267"/>
      <c r="AA301" s="267"/>
      <c r="AB301" s="267"/>
      <c r="AC301" s="267"/>
      <c r="AD301" s="267"/>
      <c r="AE301" s="267"/>
      <c r="AF301" s="267"/>
      <c r="AG301" s="237"/>
      <c r="AH301" s="237"/>
      <c r="AI301" s="237"/>
      <c r="AJ301" s="237"/>
      <c r="AK301" s="237"/>
      <c r="AL301" s="237"/>
      <c r="AM301" s="237"/>
      <c r="AN301" s="237"/>
      <c r="AO301" s="237"/>
      <c r="AP301" s="237"/>
      <c r="AQ301" s="237"/>
      <c r="AR301" s="237"/>
      <c r="AS301" s="237"/>
      <c r="AT301" s="237"/>
      <c r="AU301" s="237"/>
      <c r="AV301" s="237"/>
      <c r="AW301" s="237"/>
    </row>
    <row r="302" spans="1:49" s="235" customFormat="1">
      <c r="A302" s="268" t="s">
        <v>36</v>
      </c>
      <c r="N302" s="648">
        <v>74572</v>
      </c>
      <c r="O302" s="648">
        <v>70313</v>
      </c>
      <c r="P302" s="648">
        <v>69099</v>
      </c>
      <c r="Q302" s="648">
        <v>80336</v>
      </c>
      <c r="R302" s="649">
        <v>75914</v>
      </c>
      <c r="S302" s="649">
        <v>87201</v>
      </c>
      <c r="T302" s="649">
        <v>90998</v>
      </c>
      <c r="U302" s="649">
        <v>94267</v>
      </c>
      <c r="V302" s="649">
        <v>96771</v>
      </c>
      <c r="W302" s="649">
        <v>90999</v>
      </c>
      <c r="X302" s="649">
        <v>88592</v>
      </c>
      <c r="Y302" s="649">
        <v>96085</v>
      </c>
      <c r="Z302" s="649">
        <v>85766</v>
      </c>
      <c r="AA302" s="649">
        <v>90156</v>
      </c>
      <c r="AB302" s="649">
        <v>86457</v>
      </c>
      <c r="AC302" s="649">
        <v>91083</v>
      </c>
      <c r="AD302" s="649">
        <v>89927</v>
      </c>
      <c r="AE302" s="649">
        <v>89163</v>
      </c>
      <c r="AF302" s="649">
        <v>88692</v>
      </c>
      <c r="AG302" s="237"/>
      <c r="AH302" s="237"/>
      <c r="AI302" s="237"/>
      <c r="AJ302" s="237"/>
      <c r="AK302" s="237"/>
      <c r="AL302" s="237"/>
      <c r="AM302" s="237"/>
      <c r="AN302" s="237"/>
      <c r="AO302" s="237"/>
      <c r="AP302" s="237"/>
      <c r="AQ302" s="237"/>
      <c r="AR302" s="237"/>
      <c r="AS302" s="237"/>
      <c r="AT302" s="237"/>
      <c r="AU302" s="237"/>
      <c r="AV302" s="237"/>
      <c r="AW302" s="237"/>
    </row>
    <row r="303" spans="1:49" s="638" customFormat="1">
      <c r="A303" s="650" t="s">
        <v>29</v>
      </c>
      <c r="N303" s="651"/>
      <c r="O303" s="651"/>
      <c r="P303" s="651"/>
      <c r="Q303" s="651"/>
      <c r="R303" s="652"/>
      <c r="S303" s="652"/>
      <c r="T303" s="652"/>
      <c r="U303" s="652"/>
      <c r="V303" s="639">
        <v>38226</v>
      </c>
      <c r="W303" s="639">
        <v>38852</v>
      </c>
      <c r="X303" s="639">
        <v>41000</v>
      </c>
      <c r="Y303" s="639">
        <v>40084</v>
      </c>
      <c r="Z303" s="639">
        <v>40171</v>
      </c>
      <c r="AA303" s="639">
        <v>43059</v>
      </c>
      <c r="AB303" s="639">
        <v>42942</v>
      </c>
      <c r="AC303" s="639">
        <v>44965</v>
      </c>
      <c r="AD303" s="639">
        <v>46097</v>
      </c>
      <c r="AE303" s="639">
        <v>46263</v>
      </c>
      <c r="AF303" s="639">
        <v>47531</v>
      </c>
      <c r="AG303" s="1336">
        <f>AF303*(1+Assumptions!AG15)</f>
        <v>48163.370071906735</v>
      </c>
      <c r="AH303" s="1336">
        <f>AG303*(1+Assumptions!AH15)</f>
        <v>48835.90337473547</v>
      </c>
      <c r="AI303" s="1336">
        <f>AH303*(1+Assumptions!AI15)</f>
        <v>49517.827653377113</v>
      </c>
      <c r="AJ303" s="1336">
        <f>AI303*(1+Assumptions!AJ15)</f>
        <v>50209.274039518903</v>
      </c>
      <c r="AK303" s="1336">
        <f>AJ303*(1+Assumptions!AK15)</f>
        <v>50910.375495916509</v>
      </c>
      <c r="AL303" s="1336">
        <f>AK303*(1+Assumptions!AL15)</f>
        <v>51631.015647012711</v>
      </c>
      <c r="AM303" s="1336">
        <f>AL303*(1+Assumptions!AM15)</f>
        <v>52361.856513038103</v>
      </c>
      <c r="AN303" s="1336">
        <f>AM303*(1+Assumptions!AN15)</f>
        <v>53103.042485871083</v>
      </c>
      <c r="AO303" s="1336">
        <f>AN303*(1+Assumptions!AO15)</f>
        <v>53854.72000126783</v>
      </c>
      <c r="AP303" s="1336">
        <f>AO303*(1+Assumptions!AP15)</f>
        <v>54613.641929525962</v>
      </c>
      <c r="AQ303" s="1336">
        <f>AP303*(1+Assumptions!AQ15)</f>
        <v>55383.258602704824</v>
      </c>
      <c r="AR303" s="1336">
        <f>AQ303*(1+Assumptions!AR15)</f>
        <v>56163.720731390924</v>
      </c>
      <c r="AS303" s="1336">
        <f>AR303*(1+Assumptions!AS15)</f>
        <v>56955.181149987751</v>
      </c>
      <c r="AT303" s="1336">
        <f>AS303*(1+Assumptions!AT15)</f>
        <v>57749.17767028512</v>
      </c>
      <c r="AU303" s="1336">
        <f>AT303*(1+Assumptions!AU15)</f>
        <v>58554.243077758605</v>
      </c>
      <c r="AV303" s="1336">
        <f>AU303*(1+Assumptions!AV15)</f>
        <v>59370.53168072088</v>
      </c>
      <c r="AW303" s="1336">
        <f>AV303*(1+Assumptions!AW15)</f>
        <v>60198.199938654376</v>
      </c>
    </row>
    <row r="304" spans="1:49" s="638" customFormat="1">
      <c r="A304" s="650" t="s">
        <v>92</v>
      </c>
      <c r="N304" s="651">
        <v>30668</v>
      </c>
      <c r="O304" s="651">
        <v>30786</v>
      </c>
      <c r="P304" s="651">
        <v>27820</v>
      </c>
      <c r="Q304" s="651">
        <v>26302</v>
      </c>
      <c r="R304" s="639">
        <v>28519</v>
      </c>
      <c r="S304" s="639">
        <v>29634</v>
      </c>
      <c r="T304" s="639">
        <v>31090</v>
      </c>
      <c r="U304" s="639">
        <v>32629</v>
      </c>
      <c r="V304" s="639">
        <v>31464</v>
      </c>
      <c r="W304" s="639">
        <v>31532</v>
      </c>
      <c r="X304" s="639">
        <v>32271</v>
      </c>
      <c r="Y304" s="639">
        <v>32880</v>
      </c>
      <c r="Z304" s="639">
        <v>33028</v>
      </c>
      <c r="AA304" s="639">
        <v>33613</v>
      </c>
      <c r="AB304" s="639">
        <v>33457</v>
      </c>
      <c r="AC304" s="639">
        <v>35252</v>
      </c>
      <c r="AD304" s="639">
        <v>35794</v>
      </c>
      <c r="AE304" s="639">
        <v>36515</v>
      </c>
      <c r="AF304" s="639">
        <v>37217</v>
      </c>
      <c r="AG304" s="1336">
        <f t="shared" ref="AG304:AS304" si="431">AG303*AG306</f>
        <v>37721.274832426774</v>
      </c>
      <c r="AH304" s="1336">
        <f t="shared" si="431"/>
        <v>38247.999052764499</v>
      </c>
      <c r="AI304" s="1336">
        <f t="shared" si="431"/>
        <v>38782.078231425417</v>
      </c>
      <c r="AJ304" s="1336">
        <f t="shared" si="431"/>
        <v>39323.615069993873</v>
      </c>
      <c r="AK304" s="1336">
        <f t="shared" si="431"/>
        <v>39872.713704136477</v>
      </c>
      <c r="AL304" s="1336">
        <f t="shared" si="431"/>
        <v>40437.114931754004</v>
      </c>
      <c r="AM304" s="1336">
        <f t="shared" si="431"/>
        <v>41009.505300720164</v>
      </c>
      <c r="AN304" s="1336">
        <f t="shared" si="431"/>
        <v>41589.99789792487</v>
      </c>
      <c r="AO304" s="1336">
        <f t="shared" si="431"/>
        <v>42178.707411011354</v>
      </c>
      <c r="AP304" s="1336">
        <f t="shared" si="431"/>
        <v>42773.090706645366</v>
      </c>
      <c r="AQ304" s="1336">
        <f t="shared" si="431"/>
        <v>43375.850065080114</v>
      </c>
      <c r="AR304" s="1336">
        <f t="shared" si="431"/>
        <v>43987.1035219814</v>
      </c>
      <c r="AS304" s="1336">
        <f t="shared" si="431"/>
        <v>44606.970776376307</v>
      </c>
      <c r="AT304" s="1336">
        <f t="shared" ref="AT304:AW304" si="432">AT303*AT306</f>
        <v>45228.824291057943</v>
      </c>
      <c r="AU304" s="1336">
        <f t="shared" si="432"/>
        <v>45859.346894605995</v>
      </c>
      <c r="AV304" s="1336">
        <f t="shared" si="432"/>
        <v>46498.659440404736</v>
      </c>
      <c r="AW304" s="1336">
        <f t="shared" si="432"/>
        <v>47146.884466622243</v>
      </c>
    </row>
    <row r="305" spans="1:49" s="238" customFormat="1">
      <c r="A305" s="658" t="s">
        <v>181</v>
      </c>
      <c r="N305" s="659"/>
      <c r="O305" s="659"/>
      <c r="P305" s="659"/>
      <c r="Q305" s="659"/>
      <c r="R305" s="659"/>
      <c r="S305" s="659"/>
      <c r="T305" s="659"/>
      <c r="U305" s="659"/>
      <c r="V305" s="660">
        <f t="shared" ref="V305:AB305" si="433">V304/V302</f>
        <v>0.3251387295780761</v>
      </c>
      <c r="W305" s="660">
        <f t="shared" si="433"/>
        <v>0.3465093023000253</v>
      </c>
      <c r="X305" s="660">
        <f t="shared" si="433"/>
        <v>0.36426539642405636</v>
      </c>
      <c r="Y305" s="660">
        <f t="shared" si="433"/>
        <v>0.34219701306135192</v>
      </c>
      <c r="Z305" s="660">
        <f t="shared" si="433"/>
        <v>0.38509432642305808</v>
      </c>
      <c r="AA305" s="660">
        <f t="shared" si="433"/>
        <v>0.37283153644793471</v>
      </c>
      <c r="AB305" s="660">
        <f t="shared" si="433"/>
        <v>0.38697849798165562</v>
      </c>
      <c r="AC305" s="660">
        <f t="shared" ref="AC305:AF305" si="434">AC304/AC302</f>
        <v>0.3870316085328766</v>
      </c>
      <c r="AD305" s="660">
        <f t="shared" si="434"/>
        <v>0.39803396087937992</v>
      </c>
      <c r="AE305" s="660">
        <f t="shared" si="434"/>
        <v>0.40953085921290222</v>
      </c>
      <c r="AF305" s="660">
        <f t="shared" si="434"/>
        <v>0.41962070987236727</v>
      </c>
      <c r="AG305" s="280"/>
      <c r="AH305" s="280"/>
      <c r="AI305" s="280"/>
      <c r="AJ305" s="280"/>
      <c r="AK305" s="280"/>
      <c r="AL305" s="280"/>
      <c r="AM305" s="280"/>
      <c r="AN305" s="280"/>
      <c r="AO305" s="280"/>
      <c r="AP305" s="280"/>
      <c r="AQ305" s="280"/>
      <c r="AR305" s="280"/>
      <c r="AS305" s="280"/>
      <c r="AT305" s="280"/>
      <c r="AU305" s="280"/>
      <c r="AV305" s="280"/>
      <c r="AW305" s="280"/>
    </row>
    <row r="306" spans="1:49" s="654" customFormat="1">
      <c r="A306" s="653" t="s">
        <v>182</v>
      </c>
      <c r="N306" s="655"/>
      <c r="O306" s="655"/>
      <c r="P306" s="655"/>
      <c r="Q306" s="655"/>
      <c r="R306" s="655"/>
      <c r="S306" s="655"/>
      <c r="T306" s="655"/>
      <c r="U306" s="655"/>
      <c r="V306" s="656">
        <f t="shared" ref="V306:AB306" si="435">V304/V303</f>
        <v>0.82310469314079426</v>
      </c>
      <c r="W306" s="656">
        <f t="shared" si="435"/>
        <v>0.81159271079995887</v>
      </c>
      <c r="X306" s="656">
        <f t="shared" si="435"/>
        <v>0.78709756097560979</v>
      </c>
      <c r="Y306" s="656">
        <f t="shared" si="435"/>
        <v>0.82027741742341087</v>
      </c>
      <c r="Z306" s="656">
        <f t="shared" si="435"/>
        <v>0.8221851584476364</v>
      </c>
      <c r="AA306" s="656">
        <f t="shared" si="435"/>
        <v>0.78062658213149405</v>
      </c>
      <c r="AB306" s="656">
        <f t="shared" si="435"/>
        <v>0.77912067439802524</v>
      </c>
      <c r="AC306" s="656">
        <f t="shared" ref="AC306:AF306" si="436">AC304/AC303</f>
        <v>0.78398754586900921</v>
      </c>
      <c r="AD306" s="656">
        <f t="shared" si="436"/>
        <v>0.77649304726988744</v>
      </c>
      <c r="AE306" s="656">
        <f t="shared" si="436"/>
        <v>0.78929165856083694</v>
      </c>
      <c r="AF306" s="656">
        <f t="shared" si="436"/>
        <v>0.78300477583051065</v>
      </c>
      <c r="AG306" s="657">
        <f>AVERAGE(AC306:AF306)</f>
        <v>0.78319425688256106</v>
      </c>
      <c r="AH306" s="657">
        <f t="shared" ref="AH306:AS306" si="437">AG306</f>
        <v>0.78319425688256106</v>
      </c>
      <c r="AI306" s="657">
        <f t="shared" si="437"/>
        <v>0.78319425688256106</v>
      </c>
      <c r="AJ306" s="657">
        <f t="shared" si="437"/>
        <v>0.78319425688256106</v>
      </c>
      <c r="AK306" s="657">
        <f t="shared" si="437"/>
        <v>0.78319425688256106</v>
      </c>
      <c r="AL306" s="657">
        <f t="shared" si="437"/>
        <v>0.78319425688256106</v>
      </c>
      <c r="AM306" s="657">
        <f t="shared" si="437"/>
        <v>0.78319425688256106</v>
      </c>
      <c r="AN306" s="657">
        <f t="shared" si="437"/>
        <v>0.78319425688256106</v>
      </c>
      <c r="AO306" s="657">
        <f t="shared" si="437"/>
        <v>0.78319425688256106</v>
      </c>
      <c r="AP306" s="657">
        <f t="shared" si="437"/>
        <v>0.78319425688256106</v>
      </c>
      <c r="AQ306" s="657">
        <f t="shared" si="437"/>
        <v>0.78319425688256106</v>
      </c>
      <c r="AR306" s="657">
        <f t="shared" si="437"/>
        <v>0.78319425688256106</v>
      </c>
      <c r="AS306" s="657">
        <f t="shared" si="437"/>
        <v>0.78319425688256106</v>
      </c>
      <c r="AT306" s="657">
        <f t="shared" ref="AT306" si="438">AS306</f>
        <v>0.78319425688256106</v>
      </c>
      <c r="AU306" s="657">
        <f t="shared" ref="AU306" si="439">AT306</f>
        <v>0.78319425688256106</v>
      </c>
      <c r="AV306" s="657">
        <f t="shared" ref="AV306" si="440">AU306</f>
        <v>0.78319425688256106</v>
      </c>
      <c r="AW306" s="657">
        <f t="shared" ref="AW306" si="441">AV306</f>
        <v>0.78319425688256106</v>
      </c>
    </row>
    <row r="307" spans="1:49" s="235" customFormat="1" ht="16.5" thickBot="1">
      <c r="A307" s="281" t="s">
        <v>93</v>
      </c>
      <c r="N307" s="646"/>
      <c r="O307" s="646"/>
      <c r="P307" s="646"/>
      <c r="Q307" s="646"/>
      <c r="R307" s="647"/>
      <c r="S307" s="647"/>
      <c r="T307" s="647"/>
      <c r="U307" s="282">
        <v>87032</v>
      </c>
      <c r="V307" s="282">
        <v>95283</v>
      </c>
      <c r="W307" s="282">
        <v>91601</v>
      </c>
      <c r="X307" s="282">
        <v>93818</v>
      </c>
      <c r="Y307" s="282">
        <v>101628</v>
      </c>
      <c r="Z307" s="282">
        <v>90865</v>
      </c>
      <c r="AA307" s="282">
        <v>95442</v>
      </c>
      <c r="AB307" s="282">
        <v>88899</v>
      </c>
      <c r="AC307" s="282">
        <v>88899</v>
      </c>
      <c r="AD307" s="282">
        <v>88899</v>
      </c>
      <c r="AE307" s="282">
        <v>88899</v>
      </c>
      <c r="AF307" s="282">
        <v>88899</v>
      </c>
      <c r="AG307" s="237"/>
      <c r="AH307" s="237"/>
      <c r="AI307" s="237"/>
      <c r="AJ307" s="237"/>
      <c r="AK307" s="237"/>
      <c r="AL307" s="237"/>
      <c r="AM307" s="237"/>
      <c r="AN307" s="237"/>
      <c r="AO307" s="237"/>
      <c r="AP307" s="237"/>
      <c r="AQ307" s="237"/>
      <c r="AR307" s="237"/>
      <c r="AS307" s="237"/>
      <c r="AT307" s="237"/>
      <c r="AU307" s="237"/>
      <c r="AV307" s="237"/>
      <c r="AW307" s="237"/>
    </row>
    <row r="308" spans="1:49" s="235" customFormat="1">
      <c r="A308" s="277"/>
      <c r="N308" s="571"/>
      <c r="O308" s="571"/>
      <c r="P308" s="571"/>
      <c r="Q308" s="571"/>
      <c r="R308" s="267"/>
      <c r="S308" s="267"/>
      <c r="T308" s="267"/>
      <c r="U308" s="267"/>
      <c r="V308" s="267"/>
      <c r="W308" s="267"/>
      <c r="X308" s="267"/>
      <c r="Y308" s="267"/>
      <c r="Z308" s="267"/>
      <c r="AA308" s="267"/>
      <c r="AB308" s="267"/>
      <c r="AC308" s="267"/>
      <c r="AD308" s="267"/>
      <c r="AE308" s="267"/>
      <c r="AF308" s="267"/>
      <c r="AG308" s="237"/>
      <c r="AH308" s="237"/>
      <c r="AI308" s="237"/>
      <c r="AJ308" s="237"/>
      <c r="AK308" s="237"/>
      <c r="AL308" s="237"/>
      <c r="AM308" s="237"/>
      <c r="AN308" s="237"/>
      <c r="AO308" s="237"/>
      <c r="AP308" s="237"/>
      <c r="AQ308" s="237"/>
      <c r="AR308" s="237"/>
      <c r="AS308" s="237"/>
      <c r="AT308" s="237"/>
      <c r="AU308" s="237"/>
      <c r="AV308" s="237"/>
      <c r="AW308" s="237"/>
    </row>
    <row r="309" spans="1:49" s="235" customFormat="1">
      <c r="A309" s="234" t="s">
        <v>104</v>
      </c>
      <c r="N309" s="265"/>
      <c r="O309" s="265"/>
      <c r="P309" s="265"/>
      <c r="Q309" s="265"/>
      <c r="R309" s="267"/>
      <c r="S309" s="267"/>
      <c r="T309" s="267"/>
      <c r="U309" s="267"/>
      <c r="V309" s="267"/>
      <c r="W309" s="267"/>
      <c r="X309" s="267"/>
      <c r="Y309" s="267"/>
      <c r="Z309" s="267"/>
      <c r="AA309" s="267"/>
      <c r="AB309" s="267"/>
      <c r="AC309" s="267"/>
      <c r="AD309" s="267"/>
      <c r="AE309" s="267"/>
      <c r="AF309" s="267"/>
      <c r="AG309" s="237"/>
      <c r="AH309" s="237"/>
      <c r="AI309" s="237"/>
      <c r="AJ309" s="237"/>
      <c r="AK309" s="237"/>
      <c r="AL309" s="237"/>
      <c r="AM309" s="237"/>
      <c r="AN309" s="237"/>
      <c r="AO309" s="237"/>
      <c r="AP309" s="237"/>
      <c r="AQ309" s="237"/>
      <c r="AR309" s="237"/>
      <c r="AS309" s="237"/>
      <c r="AT309" s="237"/>
      <c r="AU309" s="237"/>
      <c r="AV309" s="237"/>
      <c r="AW309" s="237"/>
    </row>
    <row r="310" spans="1:49" s="235" customFormat="1" ht="16.5" thickBot="1">
      <c r="A310" s="283" t="s">
        <v>105</v>
      </c>
      <c r="N310" s="284">
        <v>4242</v>
      </c>
      <c r="O310" s="284">
        <v>4222</v>
      </c>
      <c r="P310" s="284">
        <v>4105</v>
      </c>
      <c r="Q310" s="284">
        <v>3912</v>
      </c>
      <c r="R310" s="285">
        <v>3014</v>
      </c>
      <c r="S310" s="285">
        <v>2926</v>
      </c>
      <c r="T310" s="285">
        <v>3013</v>
      </c>
      <c r="U310" s="285">
        <v>3188</v>
      </c>
      <c r="V310" s="285">
        <v>3291</v>
      </c>
      <c r="W310" s="285">
        <v>3256</v>
      </c>
      <c r="X310" s="285">
        <v>3196</v>
      </c>
      <c r="Y310" s="285">
        <v>3364</v>
      </c>
      <c r="Z310" s="279">
        <v>3596</v>
      </c>
      <c r="AA310" s="279">
        <v>3751</v>
      </c>
      <c r="AB310" s="279">
        <v>3958</v>
      </c>
      <c r="AC310" s="279">
        <v>3976</v>
      </c>
      <c r="AD310" s="279">
        <v>4129</v>
      </c>
      <c r="AE310" s="279">
        <v>4428</v>
      </c>
      <c r="AF310" s="279">
        <v>4438</v>
      </c>
      <c r="AG310" s="237"/>
      <c r="AH310" s="237"/>
      <c r="AI310" s="237"/>
      <c r="AJ310" s="237"/>
      <c r="AK310" s="237"/>
      <c r="AL310" s="237"/>
      <c r="AM310" s="237"/>
      <c r="AN310" s="237"/>
      <c r="AO310" s="237"/>
      <c r="AP310" s="237"/>
      <c r="AQ310" s="237"/>
      <c r="AR310" s="237"/>
      <c r="AS310" s="237"/>
      <c r="AT310" s="237"/>
      <c r="AU310" s="237"/>
      <c r="AV310" s="237"/>
      <c r="AW310" s="237"/>
    </row>
    <row r="311" spans="1:49" s="235" customFormat="1" ht="16.5" thickBot="1">
      <c r="A311" s="286" t="s">
        <v>106</v>
      </c>
      <c r="N311" s="287">
        <v>19.5</v>
      </c>
      <c r="O311" s="287">
        <v>27.5</v>
      </c>
      <c r="P311" s="287">
        <v>21.3</v>
      </c>
      <c r="Q311" s="287">
        <v>55.2</v>
      </c>
      <c r="R311" s="288">
        <v>36.1</v>
      </c>
      <c r="S311" s="288">
        <v>36.799999999999997</v>
      </c>
      <c r="T311" s="288">
        <v>36.200000000000003</v>
      </c>
      <c r="U311" s="288">
        <v>60.2</v>
      </c>
      <c r="V311" s="288">
        <v>34.6</v>
      </c>
      <c r="W311" s="288">
        <v>34.299999999999997</v>
      </c>
      <c r="X311" s="288">
        <v>25.5</v>
      </c>
      <c r="Y311" s="288">
        <v>-2</v>
      </c>
      <c r="Z311" s="289">
        <v>34.4</v>
      </c>
      <c r="AA311" s="289">
        <v>27.2</v>
      </c>
      <c r="AB311" s="289">
        <v>25.8</v>
      </c>
      <c r="AC311" s="289">
        <v>33.299999999999997</v>
      </c>
      <c r="AD311" s="289">
        <v>28.2</v>
      </c>
      <c r="AE311" s="289">
        <v>33</v>
      </c>
      <c r="AF311" s="289">
        <v>31.9</v>
      </c>
      <c r="AG311" s="237"/>
      <c r="AH311" s="237"/>
      <c r="AI311" s="237"/>
      <c r="AJ311" s="237"/>
      <c r="AK311" s="237"/>
      <c r="AL311" s="237"/>
      <c r="AM311" s="237"/>
      <c r="AN311" s="237"/>
      <c r="AO311" s="237"/>
      <c r="AP311" s="237"/>
      <c r="AQ311" s="237"/>
      <c r="AR311" s="237"/>
      <c r="AS311" s="237"/>
      <c r="AT311" s="237"/>
      <c r="AU311" s="237"/>
      <c r="AV311" s="237"/>
      <c r="AW311" s="237"/>
    </row>
    <row r="312" spans="1:49" s="235" customFormat="1">
      <c r="A312" s="290"/>
      <c r="N312" s="291"/>
      <c r="O312" s="291"/>
      <c r="P312" s="291"/>
      <c r="Q312" s="291"/>
      <c r="R312" s="292"/>
      <c r="S312" s="292"/>
      <c r="T312" s="292"/>
      <c r="U312" s="292"/>
      <c r="V312" s="292"/>
      <c r="W312" s="292"/>
      <c r="X312" s="292"/>
      <c r="Y312" s="292"/>
      <c r="Z312" s="292"/>
      <c r="AA312" s="292"/>
      <c r="AB312" s="292"/>
      <c r="AC312" s="292"/>
      <c r="AD312" s="292"/>
      <c r="AE312" s="292"/>
      <c r="AF312" s="292"/>
      <c r="AG312" s="237"/>
      <c r="AH312" s="237"/>
      <c r="AI312" s="237"/>
      <c r="AJ312" s="237"/>
      <c r="AK312" s="237"/>
      <c r="AL312" s="237"/>
      <c r="AM312" s="237"/>
      <c r="AN312" s="237"/>
      <c r="AO312" s="237"/>
      <c r="AP312" s="237"/>
      <c r="AQ312" s="237"/>
      <c r="AR312" s="237"/>
      <c r="AS312" s="237"/>
      <c r="AT312" s="237"/>
      <c r="AU312" s="237"/>
      <c r="AV312" s="237"/>
      <c r="AW312" s="237"/>
    </row>
    <row r="313" spans="1:49" s="235" customFormat="1">
      <c r="A313" s="290"/>
      <c r="N313" s="291"/>
      <c r="O313" s="291"/>
      <c r="P313" s="291"/>
      <c r="Q313" s="291"/>
      <c r="R313" s="292"/>
      <c r="S313" s="292"/>
      <c r="T313" s="292"/>
      <c r="U313" s="292"/>
      <c r="V313" s="292"/>
      <c r="W313" s="292"/>
      <c r="X313" s="292"/>
      <c r="Y313" s="292"/>
      <c r="Z313" s="292"/>
      <c r="AA313" s="292"/>
      <c r="AB313" s="292"/>
      <c r="AC313" s="292"/>
      <c r="AD313" s="292"/>
      <c r="AE313" s="292"/>
      <c r="AF313" s="292"/>
      <c r="AG313" s="237"/>
      <c r="AH313" s="237"/>
      <c r="AI313" s="237"/>
      <c r="AJ313" s="237"/>
      <c r="AK313" s="237"/>
      <c r="AL313" s="237"/>
      <c r="AM313" s="237"/>
      <c r="AN313" s="237"/>
      <c r="AO313" s="237"/>
      <c r="AP313" s="237"/>
      <c r="AQ313" s="237"/>
      <c r="AR313" s="237"/>
      <c r="AS313" s="237"/>
      <c r="AT313" s="237"/>
      <c r="AU313" s="237"/>
      <c r="AV313" s="237"/>
      <c r="AW313" s="237"/>
    </row>
    <row r="314" spans="1:49" s="638" customFormat="1">
      <c r="A314" s="637" t="s">
        <v>185</v>
      </c>
      <c r="N314" s="639">
        <f t="shared" ref="N314:Z314" si="442">(N348+N376)*1000</f>
        <v>570100</v>
      </c>
      <c r="O314" s="639">
        <f t="shared" si="442"/>
        <v>563600</v>
      </c>
      <c r="P314" s="639">
        <f t="shared" si="442"/>
        <v>561099.99999999988</v>
      </c>
      <c r="Q314" s="639">
        <f t="shared" si="442"/>
        <v>567900.00000000012</v>
      </c>
      <c r="R314" s="639">
        <f t="shared" si="442"/>
        <v>580599.99999999988</v>
      </c>
      <c r="S314" s="639">
        <f t="shared" si="442"/>
        <v>603100</v>
      </c>
      <c r="T314" s="639">
        <f t="shared" si="442"/>
        <v>627400</v>
      </c>
      <c r="U314" s="639">
        <f t="shared" si="442"/>
        <v>628900</v>
      </c>
      <c r="V314" s="639">
        <f t="shared" si="442"/>
        <v>620300</v>
      </c>
      <c r="W314" s="639">
        <f t="shared" si="442"/>
        <v>616400.00000000012</v>
      </c>
      <c r="X314" s="639">
        <f t="shared" si="442"/>
        <v>601100</v>
      </c>
      <c r="Y314" s="639">
        <f t="shared" si="442"/>
        <v>610900.00000000012</v>
      </c>
      <c r="Z314" s="639">
        <f t="shared" si="442"/>
        <v>588300</v>
      </c>
      <c r="AA314" s="639">
        <f>(AA348+AA376)*1000</f>
        <v>613500</v>
      </c>
      <c r="AB314" s="639">
        <v>635700</v>
      </c>
      <c r="AC314" s="639">
        <v>644800</v>
      </c>
      <c r="AD314" s="639">
        <v>703300</v>
      </c>
      <c r="AE314" s="639">
        <v>702400</v>
      </c>
      <c r="AF314" s="639">
        <v>731600</v>
      </c>
      <c r="AG314" s="1336">
        <f>AF314*(1+Assumptions!AG16)</f>
        <v>740868.83994988049</v>
      </c>
      <c r="AH314" s="1336">
        <f>AG314*(1+Assumptions!AH16)</f>
        <v>750255.10936123785</v>
      </c>
      <c r="AI314" s="1336">
        <f>AH314*(1+Assumptions!AI16)</f>
        <v>759760.29597994941</v>
      </c>
      <c r="AJ314" s="1336">
        <f>AI314*(1+Assumptions!AJ16)</f>
        <v>769385.90640055086</v>
      </c>
      <c r="AK314" s="1336">
        <f>AJ314*(1+Assumptions!AK16)</f>
        <v>779133.46630503482</v>
      </c>
      <c r="AL314" s="1336">
        <f>AK314*(1+Assumptions!AL16)</f>
        <v>789004.52070467523</v>
      </c>
      <c r="AM314" s="1336">
        <f>AL314*(1+Assumptions!AM16)</f>
        <v>799000.63418491557</v>
      </c>
      <c r="AN314" s="1336">
        <f>AM314*(1+Assumptions!AN16)</f>
        <v>809123.39115335874</v>
      </c>
      <c r="AO314" s="1336">
        <f>AN314*(1+Assumptions!AO16)</f>
        <v>819374.39609089983</v>
      </c>
      <c r="AP314" s="1336">
        <f>AO314*(1+Assumptions!AP16)</f>
        <v>829755.27380603994</v>
      </c>
      <c r="AQ314" s="1336">
        <f>AP314*(1+Assumptions!AQ16)</f>
        <v>840267.6696924225</v>
      </c>
      <c r="AR314" s="1336">
        <f>AQ314*(1+Assumptions!AR16)</f>
        <v>850913.24998963147</v>
      </c>
      <c r="AS314" s="1336">
        <f>AR314*(1+Assumptions!AS16)</f>
        <v>861693.70204729482</v>
      </c>
      <c r="AT314" s="1336">
        <f>AS314*(1+Assumptions!AT16)</f>
        <v>872610.7345925332</v>
      </c>
      <c r="AU314" s="1336">
        <f>AT314*(1+Assumptions!AU16)</f>
        <v>883666.07800079708</v>
      </c>
      <c r="AV314" s="1336">
        <f>AU314*(1+Assumptions!AV16)</f>
        <v>894861.48457013548</v>
      </c>
      <c r="AW314" s="1336">
        <f>AV314*(1+Assumptions!AW16)</f>
        <v>906198.7287989395</v>
      </c>
    </row>
    <row r="315" spans="1:49" s="638" customFormat="1">
      <c r="A315" s="637" t="s">
        <v>410</v>
      </c>
      <c r="N315" s="639"/>
      <c r="O315" s="639"/>
      <c r="P315" s="639"/>
      <c r="Q315" s="639"/>
      <c r="R315" s="639"/>
      <c r="S315" s="639"/>
      <c r="T315" s="639"/>
      <c r="U315" s="639"/>
      <c r="V315" s="639"/>
      <c r="W315" s="639"/>
      <c r="X315" s="639"/>
      <c r="Y315" s="639"/>
      <c r="Z315" s="639"/>
      <c r="AA315" s="640">
        <f>(AA314/N314)^(1/COUNT(O314:AA314))-1</f>
        <v>5.6596850820547218E-3</v>
      </c>
      <c r="AB315" s="640">
        <f>(AB314/O314)^(1/COUNT(P314:AB314))-1</f>
        <v>9.3031596964703311E-3</v>
      </c>
      <c r="AC315" s="640">
        <f>(('Growth Calculations'!$H$339+1)^(1/4))-1</f>
        <v>1.2669272758174532E-2</v>
      </c>
      <c r="AD315" s="640">
        <f>(('Growth Calculations'!$H$339+1)^(1/4))-1</f>
        <v>1.2669272758174532E-2</v>
      </c>
      <c r="AE315" s="640">
        <f>(('Growth Calculations'!$H$339+1)^(1/4))-1</f>
        <v>1.2669272758174532E-2</v>
      </c>
      <c r="AF315" s="640">
        <f>(('Growth Calculations'!$H$339+1)^(1/4))-1</f>
        <v>1.2669272758174532E-2</v>
      </c>
      <c r="AG315" s="641">
        <f>(('Growth Calculations'!$H$339+1)^(1/4))-1</f>
        <v>1.2669272758174532E-2</v>
      </c>
      <c r="AH315" s="641">
        <f>(('Growth Calculations'!$H$339+1)^(1/4))-1</f>
        <v>1.2669272758174532E-2</v>
      </c>
      <c r="AI315" s="641">
        <f>(('Growth Calculations'!$H$339+1)^(1/4))-1</f>
        <v>1.2669272758174532E-2</v>
      </c>
      <c r="AJ315" s="641">
        <f>(('Growth Calculations'!$H$339+1)^(1/4))-1</f>
        <v>1.2669272758174532E-2</v>
      </c>
      <c r="AK315" s="641">
        <f>(('Growth Calculations'!$H$339+1)^(1/4))-1</f>
        <v>1.2669272758174532E-2</v>
      </c>
      <c r="AL315" s="641">
        <f>(('Growth Calculations'!$H$339+1)^(1/4))-1</f>
        <v>1.2669272758174532E-2</v>
      </c>
      <c r="AM315" s="641">
        <f>(('Growth Calculations'!$H$339+1)^(1/4))-1</f>
        <v>1.2669272758174532E-2</v>
      </c>
      <c r="AN315" s="641">
        <f>(('Growth Calculations'!$H$339+1)^(1/4))-1</f>
        <v>1.2669272758174532E-2</v>
      </c>
      <c r="AO315" s="641">
        <f>(('Growth Calculations'!$H$339+1)^(1/4))-1</f>
        <v>1.2669272758174532E-2</v>
      </c>
      <c r="AP315" s="641">
        <f>(('Growth Calculations'!$H$339+1)^(1/4))-1</f>
        <v>1.2669272758174532E-2</v>
      </c>
      <c r="AQ315" s="641">
        <f>(('Growth Calculations'!$H$339+1)^(1/4))-1</f>
        <v>1.2669272758174532E-2</v>
      </c>
      <c r="AR315" s="641">
        <f>(('Growth Calculations'!$H$339+1)^(1/4))-1</f>
        <v>1.2669272758174532E-2</v>
      </c>
      <c r="AS315" s="641">
        <f>(('Growth Calculations'!$H$339+1)^(1/4))-1</f>
        <v>1.2669272758174532E-2</v>
      </c>
      <c r="AT315" s="641">
        <f>(('Growth Calculations'!$H$339+1)^(1/4))-1</f>
        <v>1.2669272758174532E-2</v>
      </c>
      <c r="AU315" s="641">
        <f>(('Growth Calculations'!$H$339+1)^(1/4))-1</f>
        <v>1.2669272758174532E-2</v>
      </c>
      <c r="AV315" s="641">
        <f>(('Growth Calculations'!$H$339+1)^(1/4))-1</f>
        <v>1.2669272758174532E-2</v>
      </c>
      <c r="AW315" s="641">
        <f>(('Growth Calculations'!$H$339+1)^(1/4))-1</f>
        <v>1.2669272758174532E-2</v>
      </c>
    </row>
    <row r="316" spans="1:49" s="643" customFormat="1" ht="16.5" thickBot="1">
      <c r="A316" s="642" t="s">
        <v>186</v>
      </c>
      <c r="N316" s="644">
        <f t="shared" ref="N316:Z316" si="443">(N349+N377)*1000</f>
        <v>9300</v>
      </c>
      <c r="O316" s="644">
        <f t="shared" si="443"/>
        <v>7800.0000000000009</v>
      </c>
      <c r="P316" s="644">
        <f t="shared" si="443"/>
        <v>6200</v>
      </c>
      <c r="Q316" s="644">
        <f t="shared" si="443"/>
        <v>2900</v>
      </c>
      <c r="R316" s="644">
        <f t="shared" si="443"/>
        <v>8600</v>
      </c>
      <c r="S316" s="644">
        <f t="shared" si="443"/>
        <v>6700</v>
      </c>
      <c r="T316" s="644">
        <f t="shared" si="443"/>
        <v>5100</v>
      </c>
      <c r="U316" s="644">
        <f t="shared" si="443"/>
        <v>-6600</v>
      </c>
      <c r="V316" s="644">
        <f t="shared" si="443"/>
        <v>8500</v>
      </c>
      <c r="W316" s="644">
        <f t="shared" si="443"/>
        <v>8299.9999999999982</v>
      </c>
      <c r="X316" s="644">
        <f t="shared" si="443"/>
        <v>7300</v>
      </c>
      <c r="Y316" s="644">
        <f t="shared" si="443"/>
        <v>-600.00000000000011</v>
      </c>
      <c r="Z316" s="644">
        <f t="shared" si="443"/>
        <v>6900</v>
      </c>
      <c r="AA316" s="644">
        <f>(AA349+AA377)*1000</f>
        <v>8900</v>
      </c>
      <c r="AB316" s="644">
        <v>9400</v>
      </c>
      <c r="AC316" s="644">
        <v>-4000</v>
      </c>
      <c r="AD316" s="644">
        <v>19700</v>
      </c>
      <c r="AE316" s="644">
        <v>7399.9999999999991</v>
      </c>
      <c r="AF316" s="644">
        <v>4700</v>
      </c>
      <c r="AG316" s="645"/>
      <c r="AH316" s="645"/>
      <c r="AI316" s="645"/>
      <c r="AJ316" s="645"/>
      <c r="AK316" s="645"/>
      <c r="AL316" s="645"/>
      <c r="AM316" s="645"/>
      <c r="AN316" s="645"/>
      <c r="AO316" s="645"/>
      <c r="AP316" s="645"/>
      <c r="AQ316" s="645"/>
      <c r="AR316" s="645"/>
      <c r="AS316" s="645"/>
      <c r="AT316" s="645"/>
      <c r="AU316" s="645"/>
      <c r="AV316" s="645"/>
      <c r="AW316" s="645"/>
    </row>
    <row r="317" spans="1:49" s="235" customFormat="1">
      <c r="A317" s="293"/>
      <c r="N317" s="572"/>
      <c r="O317" s="572"/>
      <c r="P317" s="572"/>
      <c r="Q317" s="572"/>
      <c r="R317" s="243"/>
      <c r="S317" s="243"/>
      <c r="T317" s="243"/>
      <c r="U317" s="243"/>
      <c r="V317" s="243"/>
      <c r="W317" s="243"/>
      <c r="X317" s="243"/>
      <c r="Y317" s="243"/>
      <c r="Z317" s="243"/>
      <c r="AA317" s="243"/>
      <c r="AB317" s="237"/>
      <c r="AC317" s="237"/>
      <c r="AD317" s="237"/>
      <c r="AE317" s="237"/>
      <c r="AF317" s="237"/>
      <c r="AG317" s="237"/>
      <c r="AH317" s="237"/>
      <c r="AI317" s="237"/>
      <c r="AJ317" s="237"/>
      <c r="AK317" s="237"/>
      <c r="AL317" s="237"/>
      <c r="AM317" s="237"/>
      <c r="AN317" s="237"/>
      <c r="AO317" s="237"/>
      <c r="AP317" s="237"/>
      <c r="AQ317" s="237"/>
      <c r="AR317" s="237"/>
      <c r="AS317" s="237"/>
      <c r="AT317" s="237"/>
      <c r="AU317" s="237"/>
      <c r="AV317" s="237"/>
      <c r="AW317" s="237"/>
    </row>
    <row r="318" spans="1:49" hidden="1" outlineLevel="1">
      <c r="A318" s="61"/>
      <c r="N318" s="80"/>
      <c r="O318" s="80"/>
      <c r="P318" s="80"/>
      <c r="Q318" s="80"/>
      <c r="R318" s="66"/>
      <c r="S318" s="66"/>
      <c r="T318" s="66"/>
      <c r="U318" s="66"/>
      <c r="V318" s="66"/>
      <c r="W318" s="66"/>
      <c r="X318" s="66"/>
      <c r="Y318" s="66"/>
      <c r="Z318" s="66"/>
      <c r="AA318" s="66"/>
      <c r="AT318" s="18"/>
      <c r="AU318" s="18"/>
      <c r="AV318" s="18"/>
      <c r="AW318" s="18"/>
    </row>
    <row r="319" spans="1:49" hidden="1" outlineLevel="1">
      <c r="A319" s="58" t="s">
        <v>94</v>
      </c>
      <c r="N319" s="563"/>
      <c r="O319" s="563"/>
      <c r="P319" s="563"/>
      <c r="Q319" s="563"/>
      <c r="R319" s="48"/>
      <c r="S319" s="48"/>
      <c r="T319" s="48"/>
      <c r="U319" s="48"/>
      <c r="V319" s="48"/>
      <c r="W319" s="48"/>
      <c r="X319" s="48"/>
      <c r="Y319" s="48"/>
      <c r="Z319" s="48"/>
      <c r="AA319" s="48"/>
      <c r="AT319" s="18"/>
      <c r="AU319" s="18"/>
      <c r="AV319" s="18"/>
      <c r="AW319" s="18"/>
    </row>
    <row r="320" spans="1:49" hidden="1" outlineLevel="1">
      <c r="A320" s="25" t="s">
        <v>67</v>
      </c>
      <c r="N320" s="69">
        <v>222</v>
      </c>
      <c r="O320" s="69">
        <v>249</v>
      </c>
      <c r="P320" s="69">
        <v>243</v>
      </c>
      <c r="Q320" s="69">
        <v>246</v>
      </c>
      <c r="R320" s="48"/>
      <c r="S320" s="48"/>
      <c r="T320" s="48"/>
      <c r="U320" s="48"/>
      <c r="V320" s="48"/>
      <c r="W320" s="48"/>
      <c r="X320" s="48"/>
      <c r="Y320" s="48"/>
      <c r="Z320" s="48"/>
      <c r="AA320" s="48"/>
      <c r="AT320" s="18"/>
      <c r="AU320" s="18"/>
      <c r="AV320" s="18"/>
      <c r="AW320" s="18"/>
    </row>
    <row r="321" spans="1:49" hidden="1" outlineLevel="1">
      <c r="A321" s="26" t="s">
        <v>83</v>
      </c>
      <c r="N321" s="70">
        <v>319</v>
      </c>
      <c r="O321" s="70">
        <v>339</v>
      </c>
      <c r="P321" s="70">
        <v>333</v>
      </c>
      <c r="Q321" s="70">
        <v>331</v>
      </c>
      <c r="R321" s="48"/>
      <c r="S321" s="48"/>
      <c r="T321" s="48"/>
      <c r="U321" s="48"/>
      <c r="V321" s="48"/>
      <c r="W321" s="48"/>
      <c r="X321" s="48"/>
      <c r="Y321" s="48"/>
      <c r="Z321" s="48"/>
      <c r="AA321" s="48"/>
      <c r="AT321" s="18"/>
      <c r="AU321" s="18"/>
      <c r="AV321" s="18"/>
      <c r="AW321" s="18"/>
    </row>
    <row r="322" spans="1:49" hidden="1" outlineLevel="1">
      <c r="A322" s="26" t="s">
        <v>84</v>
      </c>
      <c r="N322" s="70">
        <v>211</v>
      </c>
      <c r="O322" s="70">
        <v>251</v>
      </c>
      <c r="P322" s="70">
        <v>193</v>
      </c>
      <c r="Q322" s="70">
        <v>194</v>
      </c>
      <c r="R322" s="48"/>
      <c r="S322" s="48"/>
      <c r="T322" s="48"/>
      <c r="U322" s="48"/>
      <c r="V322" s="48"/>
      <c r="W322" s="48"/>
      <c r="X322" s="48"/>
      <c r="Y322" s="48"/>
      <c r="Z322" s="48"/>
      <c r="AA322" s="48"/>
      <c r="AT322" s="18"/>
      <c r="AU322" s="18"/>
      <c r="AV322" s="18"/>
      <c r="AW322" s="18"/>
    </row>
    <row r="323" spans="1:49" hidden="1" outlineLevel="1">
      <c r="A323" s="27" t="s">
        <v>70</v>
      </c>
      <c r="N323" s="82">
        <v>0</v>
      </c>
      <c r="O323" s="83">
        <v>-1</v>
      </c>
      <c r="P323" s="83">
        <v>-1</v>
      </c>
      <c r="Q323" s="82">
        <v>0</v>
      </c>
      <c r="R323" s="48"/>
      <c r="S323" s="48"/>
      <c r="T323" s="48"/>
      <c r="U323" s="48"/>
      <c r="V323" s="48"/>
      <c r="W323" s="48"/>
      <c r="X323" s="48"/>
      <c r="Y323" s="48"/>
      <c r="Z323" s="48"/>
      <c r="AA323" s="48"/>
      <c r="AT323" s="18"/>
      <c r="AU323" s="18"/>
      <c r="AV323" s="18"/>
      <c r="AW323" s="18"/>
    </row>
    <row r="324" spans="1:49" hidden="1" outlineLevel="1">
      <c r="A324" s="36" t="s">
        <v>5</v>
      </c>
      <c r="N324" s="77">
        <v>752</v>
      </c>
      <c r="O324" s="77">
        <v>838</v>
      </c>
      <c r="P324" s="77">
        <v>768</v>
      </c>
      <c r="Q324" s="77">
        <v>771</v>
      </c>
      <c r="R324" s="51">
        <v>773</v>
      </c>
      <c r="S324" s="51">
        <v>779</v>
      </c>
      <c r="T324" s="51">
        <v>812</v>
      </c>
      <c r="U324" s="51">
        <v>954</v>
      </c>
      <c r="V324" s="51">
        <v>801</v>
      </c>
      <c r="W324" s="51">
        <v>830</v>
      </c>
      <c r="X324" s="51">
        <v>785</v>
      </c>
      <c r="Y324" s="51">
        <v>808</v>
      </c>
      <c r="Z324" s="51">
        <v>853</v>
      </c>
      <c r="AA324" s="51">
        <v>811</v>
      </c>
      <c r="AB324"/>
      <c r="AC324"/>
      <c r="AD324"/>
      <c r="AE324"/>
      <c r="AF324"/>
      <c r="AG324"/>
      <c r="AH324"/>
      <c r="AI324"/>
      <c r="AJ324"/>
      <c r="AK324"/>
      <c r="AL324"/>
      <c r="AM324"/>
      <c r="AN324"/>
      <c r="AO324"/>
      <c r="AP324"/>
      <c r="AQ324"/>
      <c r="AR324"/>
      <c r="AS324"/>
      <c r="AT324" s="851"/>
      <c r="AU324" s="851"/>
      <c r="AV324" s="851"/>
      <c r="AW324" s="851"/>
    </row>
    <row r="325" spans="1:49" hidden="1" outlineLevel="1">
      <c r="A325" s="36" t="s">
        <v>6</v>
      </c>
      <c r="N325" s="84">
        <v>5</v>
      </c>
      <c r="O325" s="84">
        <v>5</v>
      </c>
      <c r="P325" s="84">
        <v>-6</v>
      </c>
      <c r="Q325" s="84">
        <v>4</v>
      </c>
      <c r="R325" s="67">
        <v>0</v>
      </c>
      <c r="S325" s="67">
        <v>2</v>
      </c>
      <c r="T325" s="67">
        <v>3</v>
      </c>
      <c r="U325" s="67">
        <v>7</v>
      </c>
      <c r="V325" s="67">
        <v>2</v>
      </c>
      <c r="W325" s="67">
        <v>-1</v>
      </c>
      <c r="X325" s="67">
        <v>11</v>
      </c>
      <c r="Y325" s="67">
        <v>-7</v>
      </c>
      <c r="Z325" s="67">
        <v>-2</v>
      </c>
      <c r="AA325" s="67">
        <v>16</v>
      </c>
      <c r="AB325"/>
      <c r="AC325"/>
      <c r="AD325"/>
      <c r="AE325"/>
      <c r="AF325"/>
      <c r="AG325"/>
      <c r="AH325"/>
      <c r="AI325"/>
      <c r="AJ325"/>
      <c r="AK325"/>
      <c r="AL325"/>
      <c r="AM325"/>
      <c r="AN325"/>
      <c r="AO325"/>
      <c r="AP325"/>
      <c r="AQ325"/>
      <c r="AR325"/>
      <c r="AS325"/>
      <c r="AT325" s="851"/>
      <c r="AU325" s="851"/>
      <c r="AV325" s="851"/>
      <c r="AW325" s="851"/>
    </row>
    <row r="326" spans="1:49" hidden="1" outlineLevel="1">
      <c r="A326" s="28" t="s">
        <v>7</v>
      </c>
      <c r="N326" s="72">
        <v>350</v>
      </c>
      <c r="O326" s="72">
        <v>391</v>
      </c>
      <c r="P326" s="72">
        <v>323</v>
      </c>
      <c r="Q326" s="72">
        <v>321</v>
      </c>
      <c r="R326" s="46">
        <v>377</v>
      </c>
      <c r="S326" s="46">
        <v>355</v>
      </c>
      <c r="T326" s="46">
        <v>334</v>
      </c>
      <c r="U326" s="46">
        <v>375</v>
      </c>
      <c r="V326" s="46">
        <v>355</v>
      </c>
      <c r="W326" s="46">
        <v>385</v>
      </c>
      <c r="X326" s="46">
        <v>332</v>
      </c>
      <c r="Y326" s="46">
        <v>341</v>
      </c>
      <c r="Z326" s="46">
        <v>349</v>
      </c>
      <c r="AA326" s="46">
        <v>363</v>
      </c>
      <c r="AB326"/>
      <c r="AC326"/>
      <c r="AD326"/>
      <c r="AE326"/>
      <c r="AF326"/>
      <c r="AG326"/>
      <c r="AH326"/>
      <c r="AI326"/>
      <c r="AJ326"/>
      <c r="AK326"/>
      <c r="AL326"/>
      <c r="AM326"/>
      <c r="AN326"/>
      <c r="AO326"/>
      <c r="AP326"/>
      <c r="AQ326"/>
      <c r="AR326"/>
      <c r="AS326"/>
      <c r="AT326" s="851"/>
      <c r="AU326" s="851"/>
      <c r="AV326" s="851"/>
      <c r="AW326" s="851"/>
    </row>
    <row r="327" spans="1:49" hidden="1" outlineLevel="1">
      <c r="A327" s="25" t="s">
        <v>8</v>
      </c>
      <c r="N327" s="73">
        <v>189</v>
      </c>
      <c r="O327" s="73">
        <v>205</v>
      </c>
      <c r="P327" s="73">
        <v>211</v>
      </c>
      <c r="Q327" s="73">
        <v>252</v>
      </c>
      <c r="R327" s="43">
        <v>188</v>
      </c>
      <c r="S327" s="43">
        <v>182</v>
      </c>
      <c r="T327" s="43">
        <v>224</v>
      </c>
      <c r="U327" s="43">
        <v>221</v>
      </c>
      <c r="V327" s="43">
        <v>166</v>
      </c>
      <c r="W327" s="43">
        <v>188</v>
      </c>
      <c r="X327" s="43">
        <v>241</v>
      </c>
      <c r="Y327" s="43">
        <v>458</v>
      </c>
      <c r="Z327" s="43">
        <v>221</v>
      </c>
      <c r="AA327" s="43">
        <v>191</v>
      </c>
      <c r="AB327"/>
      <c r="AC327"/>
      <c r="AD327"/>
      <c r="AE327"/>
      <c r="AF327"/>
      <c r="AG327"/>
      <c r="AH327"/>
      <c r="AI327"/>
      <c r="AJ327"/>
      <c r="AK327"/>
      <c r="AL327"/>
      <c r="AM327"/>
      <c r="AN327"/>
      <c r="AO327"/>
      <c r="AP327"/>
      <c r="AQ327"/>
      <c r="AR327"/>
      <c r="AS327"/>
      <c r="AT327" s="851"/>
      <c r="AU327" s="851"/>
      <c r="AV327" s="851"/>
      <c r="AW327" s="851"/>
    </row>
    <row r="328" spans="1:49" hidden="1" outlineLevel="1">
      <c r="A328" s="26" t="s">
        <v>9</v>
      </c>
      <c r="N328" s="70">
        <v>45</v>
      </c>
      <c r="O328" s="70">
        <v>52</v>
      </c>
      <c r="P328" s="70">
        <v>52</v>
      </c>
      <c r="Q328" s="70">
        <v>56</v>
      </c>
      <c r="R328" s="44">
        <v>52</v>
      </c>
      <c r="S328" s="44">
        <v>51</v>
      </c>
      <c r="T328" s="44">
        <v>52</v>
      </c>
      <c r="U328" s="44">
        <v>52</v>
      </c>
      <c r="V328" s="44">
        <v>46</v>
      </c>
      <c r="W328" s="44">
        <v>46</v>
      </c>
      <c r="X328" s="44">
        <v>45</v>
      </c>
      <c r="Y328" s="44">
        <v>43</v>
      </c>
      <c r="Z328" s="44">
        <v>42</v>
      </c>
      <c r="AA328" s="44">
        <v>44</v>
      </c>
      <c r="AB328"/>
      <c r="AC328"/>
      <c r="AD328"/>
      <c r="AE328"/>
      <c r="AF328"/>
      <c r="AG328"/>
      <c r="AH328"/>
      <c r="AI328"/>
      <c r="AJ328"/>
      <c r="AK328"/>
      <c r="AL328"/>
      <c r="AM328"/>
      <c r="AN328"/>
      <c r="AO328"/>
      <c r="AP328"/>
      <c r="AQ328"/>
      <c r="AR328"/>
      <c r="AS328"/>
      <c r="AT328" s="851"/>
      <c r="AU328" s="851"/>
      <c r="AV328" s="851"/>
      <c r="AW328" s="851"/>
    </row>
    <row r="329" spans="1:49" hidden="1" outlineLevel="1">
      <c r="A329" s="27" t="s">
        <v>10</v>
      </c>
      <c r="N329" s="74">
        <v>0</v>
      </c>
      <c r="O329" s="74">
        <v>0</v>
      </c>
      <c r="P329" s="74">
        <v>0</v>
      </c>
      <c r="Q329" s="74">
        <v>0</v>
      </c>
      <c r="R329" s="47">
        <v>0</v>
      </c>
      <c r="S329" s="47">
        <v>0</v>
      </c>
      <c r="T329" s="47">
        <v>0</v>
      </c>
      <c r="U329" s="47">
        <v>0</v>
      </c>
      <c r="V329" s="47">
        <v>0</v>
      </c>
      <c r="W329" s="47">
        <v>0</v>
      </c>
      <c r="X329" s="47">
        <v>0</v>
      </c>
      <c r="Y329" s="47">
        <v>32</v>
      </c>
      <c r="Z329" s="47">
        <v>10</v>
      </c>
      <c r="AA329" s="47">
        <v>13</v>
      </c>
      <c r="AB329"/>
      <c r="AC329"/>
      <c r="AD329"/>
      <c r="AE329"/>
      <c r="AF329"/>
      <c r="AG329"/>
      <c r="AH329"/>
      <c r="AI329"/>
      <c r="AJ329"/>
      <c r="AK329"/>
      <c r="AL329"/>
      <c r="AM329"/>
      <c r="AN329"/>
      <c r="AO329"/>
      <c r="AP329"/>
      <c r="AQ329"/>
      <c r="AR329"/>
      <c r="AS329"/>
      <c r="AT329" s="851"/>
      <c r="AU329" s="851"/>
      <c r="AV329" s="851"/>
      <c r="AW329" s="851"/>
    </row>
    <row r="330" spans="1:49" hidden="1" outlineLevel="1">
      <c r="A330" s="28" t="s">
        <v>11</v>
      </c>
      <c r="N330" s="76">
        <v>234</v>
      </c>
      <c r="O330" s="76">
        <v>257</v>
      </c>
      <c r="P330" s="76">
        <v>263</v>
      </c>
      <c r="Q330" s="76">
        <v>308</v>
      </c>
      <c r="R330" s="49">
        <v>240</v>
      </c>
      <c r="S330" s="49">
        <v>233</v>
      </c>
      <c r="T330" s="49">
        <v>276</v>
      </c>
      <c r="U330" s="49">
        <v>273</v>
      </c>
      <c r="V330" s="49">
        <v>212</v>
      </c>
      <c r="W330" s="49">
        <v>234</v>
      </c>
      <c r="X330" s="49">
        <v>286</v>
      </c>
      <c r="Y330" s="49">
        <v>533</v>
      </c>
      <c r="Z330" s="49">
        <v>273</v>
      </c>
      <c r="AA330" s="49">
        <v>248</v>
      </c>
      <c r="AB330"/>
      <c r="AC330"/>
      <c r="AD330"/>
      <c r="AE330"/>
      <c r="AF330"/>
      <c r="AG330"/>
      <c r="AH330"/>
      <c r="AI330"/>
      <c r="AJ330"/>
      <c r="AK330"/>
      <c r="AL330"/>
      <c r="AM330"/>
      <c r="AN330"/>
      <c r="AO330"/>
      <c r="AP330"/>
      <c r="AQ330"/>
      <c r="AR330"/>
      <c r="AS330"/>
      <c r="AT330" s="851"/>
      <c r="AU330" s="851"/>
      <c r="AV330" s="851"/>
      <c r="AW330" s="851"/>
    </row>
    <row r="331" spans="1:49" hidden="1" outlineLevel="1">
      <c r="A331" s="36" t="s">
        <v>12</v>
      </c>
      <c r="N331" s="77">
        <v>584</v>
      </c>
      <c r="O331" s="77">
        <v>648</v>
      </c>
      <c r="P331" s="77">
        <v>586</v>
      </c>
      <c r="Q331" s="77">
        <v>629</v>
      </c>
      <c r="R331" s="51">
        <v>617</v>
      </c>
      <c r="S331" s="51">
        <v>588</v>
      </c>
      <c r="T331" s="51">
        <v>610</v>
      </c>
      <c r="U331" s="51">
        <v>648</v>
      </c>
      <c r="V331" s="51">
        <v>567</v>
      </c>
      <c r="W331" s="51">
        <v>619</v>
      </c>
      <c r="X331" s="51">
        <v>618</v>
      </c>
      <c r="Y331" s="51">
        <v>874</v>
      </c>
      <c r="Z331" s="51">
        <v>622</v>
      </c>
      <c r="AA331" s="51">
        <v>611</v>
      </c>
      <c r="AB331"/>
      <c r="AC331"/>
      <c r="AD331"/>
      <c r="AE331"/>
      <c r="AF331"/>
      <c r="AG331"/>
      <c r="AH331"/>
      <c r="AI331"/>
      <c r="AJ331"/>
      <c r="AK331"/>
      <c r="AL331"/>
      <c r="AM331"/>
      <c r="AN331"/>
      <c r="AO331"/>
      <c r="AP331"/>
      <c r="AQ331"/>
      <c r="AR331"/>
      <c r="AS331"/>
      <c r="AT331" s="851"/>
      <c r="AU331" s="851"/>
      <c r="AV331" s="851"/>
      <c r="AW331" s="851"/>
    </row>
    <row r="332" spans="1:49" ht="16.5" hidden="1" outlineLevel="1" thickBot="1">
      <c r="A332" s="62" t="s">
        <v>87</v>
      </c>
      <c r="N332" s="564">
        <v>163</v>
      </c>
      <c r="O332" s="564">
        <v>185</v>
      </c>
      <c r="P332" s="564">
        <v>188</v>
      </c>
      <c r="Q332" s="564">
        <v>138</v>
      </c>
      <c r="R332" s="565">
        <v>156</v>
      </c>
      <c r="S332" s="565">
        <v>189</v>
      </c>
      <c r="T332" s="565">
        <v>199</v>
      </c>
      <c r="U332" s="565">
        <v>299</v>
      </c>
      <c r="V332" s="565">
        <v>232</v>
      </c>
      <c r="W332" s="565">
        <v>212</v>
      </c>
      <c r="X332" s="565">
        <v>156</v>
      </c>
      <c r="Y332" s="565">
        <v>-59</v>
      </c>
      <c r="Z332" s="565">
        <v>233</v>
      </c>
      <c r="AA332" s="565">
        <v>184</v>
      </c>
      <c r="AB332"/>
      <c r="AC332"/>
      <c r="AD332"/>
      <c r="AE332"/>
      <c r="AF332"/>
      <c r="AG332"/>
      <c r="AH332"/>
      <c r="AI332"/>
      <c r="AJ332"/>
      <c r="AK332"/>
      <c r="AL332"/>
      <c r="AM332"/>
      <c r="AN332"/>
      <c r="AO332"/>
      <c r="AP332"/>
      <c r="AQ332"/>
      <c r="AR332"/>
      <c r="AS332"/>
      <c r="AT332" s="851"/>
      <c r="AU332" s="851"/>
      <c r="AV332" s="851"/>
      <c r="AW332" s="851"/>
    </row>
    <row r="333" spans="1:49" ht="16.5" hidden="1" outlineLevel="1" thickBot="1">
      <c r="A333" s="37"/>
      <c r="N333" s="81"/>
      <c r="O333" s="81"/>
      <c r="P333" s="81"/>
      <c r="Q333" s="81"/>
      <c r="R333" s="52"/>
      <c r="S333" s="52"/>
      <c r="T333" s="52"/>
      <c r="U333" s="52"/>
      <c r="V333" s="52"/>
      <c r="W333" s="52"/>
      <c r="X333" s="52"/>
      <c r="Y333" s="52"/>
      <c r="Z333" s="52"/>
      <c r="AA333" s="52"/>
      <c r="AB333"/>
      <c r="AC333"/>
      <c r="AD333"/>
      <c r="AE333"/>
      <c r="AF333"/>
      <c r="AG333"/>
      <c r="AH333"/>
      <c r="AI333"/>
      <c r="AJ333"/>
      <c r="AK333"/>
      <c r="AL333"/>
      <c r="AM333"/>
      <c r="AN333"/>
      <c r="AO333"/>
      <c r="AP333"/>
      <c r="AQ333"/>
      <c r="AR333"/>
      <c r="AS333"/>
      <c r="AT333" s="851"/>
      <c r="AU333" s="851"/>
      <c r="AV333" s="851"/>
      <c r="AW333" s="851"/>
    </row>
    <row r="334" spans="1:49" ht="16.5" hidden="1" outlineLevel="1" thickBot="1">
      <c r="A334" s="33" t="s">
        <v>90</v>
      </c>
      <c r="N334" s="86"/>
      <c r="O334" s="86"/>
      <c r="P334" s="86"/>
      <c r="Q334" s="86"/>
      <c r="R334" s="566">
        <v>79.818887451487711</v>
      </c>
      <c r="S334" s="566">
        <v>75.481386392811302</v>
      </c>
      <c r="T334" s="566">
        <v>75.123152709359601</v>
      </c>
      <c r="U334" s="566">
        <v>67.924528301886795</v>
      </c>
      <c r="V334" s="566">
        <v>70.786516853932582</v>
      </c>
      <c r="W334" s="566">
        <v>74.578313253012055</v>
      </c>
      <c r="X334" s="566">
        <v>78.726114649681534</v>
      </c>
      <c r="Y334" s="566">
        <v>108.16831683168317</v>
      </c>
      <c r="Z334" s="566">
        <v>72.919109026963653</v>
      </c>
      <c r="AA334" s="566">
        <v>75.339087546239213</v>
      </c>
      <c r="AB334"/>
      <c r="AC334"/>
      <c r="AD334"/>
      <c r="AE334"/>
      <c r="AF334"/>
      <c r="AG334"/>
      <c r="AH334"/>
      <c r="AI334"/>
      <c r="AJ334"/>
      <c r="AK334"/>
      <c r="AL334"/>
      <c r="AM334"/>
      <c r="AN334"/>
      <c r="AO334"/>
      <c r="AP334"/>
      <c r="AQ334"/>
      <c r="AR334"/>
      <c r="AS334"/>
      <c r="AT334" s="851"/>
      <c r="AU334" s="851"/>
      <c r="AV334" s="851"/>
      <c r="AW334" s="851"/>
    </row>
    <row r="335" spans="1:49" hidden="1" outlineLevel="1">
      <c r="A335" s="35"/>
      <c r="N335" s="86"/>
      <c r="O335" s="86"/>
      <c r="P335" s="86"/>
      <c r="Q335" s="86"/>
      <c r="R335" s="567"/>
      <c r="S335" s="567"/>
      <c r="T335" s="567"/>
      <c r="U335" s="567"/>
      <c r="V335" s="567"/>
      <c r="W335" s="567"/>
      <c r="X335" s="567"/>
      <c r="Y335" s="567"/>
      <c r="Z335" s="567"/>
      <c r="AA335" s="567"/>
      <c r="AB335"/>
      <c r="AC335"/>
      <c r="AD335"/>
      <c r="AE335"/>
      <c r="AF335"/>
      <c r="AG335"/>
      <c r="AH335"/>
      <c r="AI335"/>
      <c r="AJ335"/>
      <c r="AK335"/>
      <c r="AL335"/>
      <c r="AM335"/>
      <c r="AN335"/>
      <c r="AO335"/>
      <c r="AP335"/>
      <c r="AQ335"/>
      <c r="AR335"/>
      <c r="AS335"/>
      <c r="AT335" s="851"/>
      <c r="AU335" s="851"/>
      <c r="AV335" s="851"/>
      <c r="AW335" s="851"/>
    </row>
    <row r="336" spans="1:49" hidden="1" outlineLevel="1">
      <c r="A336" s="58" t="s">
        <v>102</v>
      </c>
      <c r="N336" s="86"/>
      <c r="O336" s="86"/>
      <c r="P336" s="86"/>
      <c r="Q336" s="86"/>
      <c r="R336" s="57"/>
      <c r="S336" s="57"/>
      <c r="T336" s="57"/>
      <c r="U336" s="57"/>
      <c r="V336" s="57"/>
      <c r="W336" s="57"/>
      <c r="X336" s="57"/>
      <c r="Y336" s="57"/>
      <c r="Z336" s="57"/>
      <c r="AA336" s="57"/>
      <c r="AB336"/>
      <c r="AC336"/>
      <c r="AD336"/>
      <c r="AE336"/>
      <c r="AF336"/>
      <c r="AG336"/>
      <c r="AH336"/>
      <c r="AI336"/>
      <c r="AJ336"/>
      <c r="AK336"/>
      <c r="AL336"/>
      <c r="AM336"/>
      <c r="AN336"/>
      <c r="AO336"/>
      <c r="AP336"/>
      <c r="AQ336"/>
      <c r="AR336"/>
      <c r="AS336"/>
      <c r="AT336" s="851"/>
      <c r="AU336" s="851"/>
      <c r="AV336" s="851"/>
      <c r="AW336" s="851"/>
    </row>
    <row r="337" spans="1:49" hidden="1" outlineLevel="1">
      <c r="A337" s="25" t="s">
        <v>67</v>
      </c>
      <c r="N337" s="86"/>
      <c r="O337" s="86"/>
      <c r="P337" s="86"/>
      <c r="Q337" s="86"/>
      <c r="R337" s="42">
        <v>217</v>
      </c>
      <c r="S337" s="42">
        <v>228</v>
      </c>
      <c r="T337" s="42">
        <v>222</v>
      </c>
      <c r="U337" s="42">
        <v>237</v>
      </c>
      <c r="V337" s="42">
        <v>220</v>
      </c>
      <c r="W337" s="42">
        <v>252</v>
      </c>
      <c r="X337" s="42">
        <v>259</v>
      </c>
      <c r="Y337" s="43">
        <v>275</v>
      </c>
      <c r="Z337" s="42">
        <v>325</v>
      </c>
      <c r="AA337" s="42">
        <v>304</v>
      </c>
      <c r="AB337"/>
      <c r="AC337"/>
      <c r="AD337"/>
      <c r="AE337"/>
      <c r="AF337"/>
      <c r="AG337"/>
      <c r="AH337"/>
      <c r="AI337"/>
      <c r="AJ337"/>
      <c r="AK337"/>
      <c r="AL337"/>
      <c r="AM337"/>
      <c r="AN337"/>
      <c r="AO337"/>
      <c r="AP337"/>
      <c r="AQ337"/>
      <c r="AR337"/>
      <c r="AS337"/>
      <c r="AT337" s="851"/>
      <c r="AU337" s="851"/>
      <c r="AV337" s="851"/>
      <c r="AW337" s="851"/>
    </row>
    <row r="338" spans="1:49" hidden="1" outlineLevel="1">
      <c r="A338" s="26" t="s">
        <v>83</v>
      </c>
      <c r="N338" s="86"/>
      <c r="O338" s="86"/>
      <c r="P338" s="86"/>
      <c r="Q338" s="86"/>
      <c r="R338" s="44">
        <v>310</v>
      </c>
      <c r="S338" s="44">
        <v>311</v>
      </c>
      <c r="T338" s="44">
        <v>321</v>
      </c>
      <c r="U338" s="44">
        <v>334</v>
      </c>
      <c r="V338" s="44">
        <v>287</v>
      </c>
      <c r="W338" s="44">
        <v>299</v>
      </c>
      <c r="X338" s="44">
        <v>292</v>
      </c>
      <c r="Y338" s="44">
        <v>283</v>
      </c>
      <c r="Z338" s="44">
        <v>276</v>
      </c>
      <c r="AA338" s="44">
        <v>273</v>
      </c>
      <c r="AB338"/>
      <c r="AC338"/>
      <c r="AD338"/>
      <c r="AE338"/>
      <c r="AF338"/>
      <c r="AG338"/>
      <c r="AH338"/>
      <c r="AI338"/>
      <c r="AJ338"/>
      <c r="AK338"/>
      <c r="AL338"/>
      <c r="AM338"/>
      <c r="AN338"/>
      <c r="AO338"/>
      <c r="AP338"/>
      <c r="AQ338"/>
      <c r="AR338"/>
      <c r="AS338"/>
      <c r="AT338" s="851"/>
      <c r="AU338" s="851"/>
      <c r="AV338" s="851"/>
      <c r="AW338" s="851"/>
    </row>
    <row r="339" spans="1:49" hidden="1" outlineLevel="1">
      <c r="A339" s="26" t="s">
        <v>103</v>
      </c>
      <c r="N339" s="86"/>
      <c r="O339" s="86"/>
      <c r="P339" s="86"/>
      <c r="Q339" s="86"/>
      <c r="R339" s="44">
        <v>246</v>
      </c>
      <c r="S339" s="44">
        <v>240</v>
      </c>
      <c r="T339" s="44">
        <v>270</v>
      </c>
      <c r="U339" s="44">
        <v>306</v>
      </c>
      <c r="V339" s="44">
        <v>294</v>
      </c>
      <c r="W339" s="44">
        <v>280</v>
      </c>
      <c r="X339" s="44">
        <v>235</v>
      </c>
      <c r="Y339" s="44">
        <v>240</v>
      </c>
      <c r="Z339" s="44">
        <v>254</v>
      </c>
      <c r="AA339" s="44">
        <v>236</v>
      </c>
      <c r="AB339"/>
      <c r="AC339"/>
      <c r="AD339"/>
      <c r="AE339"/>
      <c r="AF339"/>
      <c r="AG339"/>
      <c r="AH339"/>
      <c r="AI339"/>
      <c r="AJ339"/>
      <c r="AK339"/>
      <c r="AL339"/>
      <c r="AM339"/>
      <c r="AN339"/>
      <c r="AO339"/>
      <c r="AP339"/>
      <c r="AQ339"/>
      <c r="AR339"/>
      <c r="AS339"/>
      <c r="AT339" s="851"/>
      <c r="AU339" s="851"/>
      <c r="AV339" s="851"/>
      <c r="AW339" s="851"/>
    </row>
    <row r="340" spans="1:49" hidden="1" outlineLevel="1">
      <c r="A340" s="27" t="s">
        <v>70</v>
      </c>
      <c r="N340" s="86"/>
      <c r="O340" s="86"/>
      <c r="P340" s="86"/>
      <c r="Q340" s="86"/>
      <c r="R340" s="45">
        <v>0</v>
      </c>
      <c r="S340" s="45">
        <v>0</v>
      </c>
      <c r="T340" s="45">
        <v>-1</v>
      </c>
      <c r="U340" s="45">
        <v>77</v>
      </c>
      <c r="V340" s="45">
        <v>0</v>
      </c>
      <c r="W340" s="45">
        <v>-1</v>
      </c>
      <c r="X340" s="45">
        <v>-1</v>
      </c>
      <c r="Y340" s="45">
        <v>10</v>
      </c>
      <c r="Z340" s="45">
        <v>-2</v>
      </c>
      <c r="AA340" s="45">
        <v>-2</v>
      </c>
      <c r="AB340"/>
      <c r="AC340"/>
      <c r="AD340"/>
      <c r="AE340"/>
      <c r="AF340"/>
      <c r="AG340"/>
      <c r="AH340"/>
      <c r="AI340"/>
      <c r="AJ340"/>
      <c r="AK340"/>
      <c r="AL340"/>
      <c r="AM340"/>
      <c r="AN340"/>
      <c r="AO340"/>
      <c r="AP340"/>
      <c r="AQ340"/>
      <c r="AR340"/>
      <c r="AS340"/>
      <c r="AT340" s="851"/>
      <c r="AU340" s="851"/>
      <c r="AV340" s="851"/>
      <c r="AW340" s="851"/>
    </row>
    <row r="341" spans="1:49" ht="16.5" hidden="1" outlineLevel="1" thickBot="1">
      <c r="A341" s="60" t="s">
        <v>5</v>
      </c>
      <c r="N341" s="86"/>
      <c r="O341" s="86"/>
      <c r="P341" s="86"/>
      <c r="Q341" s="86"/>
      <c r="R341" s="565">
        <v>773</v>
      </c>
      <c r="S341" s="565">
        <v>779</v>
      </c>
      <c r="T341" s="565">
        <v>812</v>
      </c>
      <c r="U341" s="565">
        <v>954</v>
      </c>
      <c r="V341" s="565">
        <v>801</v>
      </c>
      <c r="W341" s="565">
        <v>830</v>
      </c>
      <c r="X341" s="565">
        <v>785</v>
      </c>
      <c r="Y341" s="565">
        <v>808</v>
      </c>
      <c r="Z341" s="565">
        <v>853</v>
      </c>
      <c r="AA341" s="565">
        <v>811</v>
      </c>
      <c r="AB341"/>
      <c r="AC341"/>
      <c r="AD341"/>
      <c r="AE341"/>
      <c r="AF341"/>
      <c r="AG341"/>
      <c r="AH341"/>
      <c r="AI341"/>
      <c r="AJ341"/>
      <c r="AK341"/>
      <c r="AL341"/>
      <c r="AM341"/>
      <c r="AN341"/>
      <c r="AO341"/>
      <c r="AP341"/>
      <c r="AQ341"/>
      <c r="AR341"/>
      <c r="AS341"/>
      <c r="AT341" s="851"/>
      <c r="AU341" s="851"/>
      <c r="AV341" s="851"/>
      <c r="AW341" s="851"/>
    </row>
    <row r="342" spans="1:49" hidden="1" outlineLevel="1">
      <c r="A342" s="38"/>
      <c r="N342" s="86"/>
      <c r="O342" s="86"/>
      <c r="P342" s="86"/>
      <c r="Q342" s="86"/>
      <c r="R342" s="568"/>
      <c r="S342" s="568"/>
      <c r="T342" s="568"/>
      <c r="U342" s="568"/>
      <c r="V342" s="568"/>
      <c r="W342" s="568"/>
      <c r="X342" s="568"/>
      <c r="Y342" s="568"/>
      <c r="Z342" s="568"/>
      <c r="AA342" s="568"/>
      <c r="AB342"/>
      <c r="AC342"/>
      <c r="AD342"/>
      <c r="AE342"/>
      <c r="AF342"/>
      <c r="AG342"/>
      <c r="AH342"/>
      <c r="AI342"/>
      <c r="AJ342"/>
      <c r="AK342"/>
      <c r="AL342"/>
      <c r="AM342"/>
      <c r="AN342"/>
      <c r="AO342"/>
      <c r="AP342"/>
      <c r="AQ342"/>
      <c r="AR342"/>
      <c r="AS342"/>
      <c r="AT342" s="851"/>
      <c r="AU342" s="851"/>
      <c r="AV342" s="851"/>
      <c r="AW342" s="851"/>
    </row>
    <row r="343" spans="1:49" hidden="1" outlineLevel="1">
      <c r="A343" s="39" t="s">
        <v>95</v>
      </c>
      <c r="N343" s="86"/>
      <c r="O343" s="86"/>
      <c r="P343" s="86"/>
      <c r="Q343" s="86"/>
      <c r="R343" s="53">
        <v>104</v>
      </c>
      <c r="S343" s="53">
        <v>102</v>
      </c>
      <c r="T343" s="53">
        <v>103</v>
      </c>
      <c r="U343" s="53">
        <v>119</v>
      </c>
      <c r="V343" s="53">
        <v>104</v>
      </c>
      <c r="W343" s="53">
        <v>108</v>
      </c>
      <c r="X343" s="53">
        <v>106</v>
      </c>
      <c r="Y343" s="53">
        <v>110</v>
      </c>
      <c r="Z343" s="53">
        <v>119</v>
      </c>
      <c r="AA343" s="53">
        <v>110</v>
      </c>
      <c r="AB343"/>
      <c r="AC343"/>
      <c r="AD343"/>
      <c r="AE343"/>
      <c r="AF343"/>
      <c r="AG343"/>
      <c r="AH343"/>
      <c r="AI343"/>
      <c r="AJ343"/>
      <c r="AK343"/>
      <c r="AL343"/>
      <c r="AM343"/>
      <c r="AN343"/>
      <c r="AO343"/>
      <c r="AP343"/>
      <c r="AQ343"/>
      <c r="AR343"/>
      <c r="AS343"/>
      <c r="AT343" s="851"/>
      <c r="AU343" s="851"/>
      <c r="AV343" s="851"/>
      <c r="AW343" s="851"/>
    </row>
    <row r="344" spans="1:49" ht="16.5" hidden="1" outlineLevel="1" thickBot="1">
      <c r="A344" s="34" t="s">
        <v>96</v>
      </c>
      <c r="N344" s="86"/>
      <c r="O344" s="86"/>
      <c r="P344" s="86"/>
      <c r="Q344" s="86"/>
      <c r="R344" s="53">
        <v>21</v>
      </c>
      <c r="S344" s="53">
        <v>25</v>
      </c>
      <c r="T344" s="53">
        <v>25</v>
      </c>
      <c r="U344" s="53">
        <v>37</v>
      </c>
      <c r="V344" s="53">
        <v>30</v>
      </c>
      <c r="W344" s="53">
        <v>28</v>
      </c>
      <c r="X344" s="53">
        <v>21</v>
      </c>
      <c r="Y344" s="53">
        <v>-8</v>
      </c>
      <c r="Z344" s="53">
        <v>32</v>
      </c>
      <c r="AA344" s="53">
        <v>25</v>
      </c>
      <c r="AB344"/>
      <c r="AC344"/>
      <c r="AD344"/>
      <c r="AE344"/>
      <c r="AF344"/>
      <c r="AG344"/>
      <c r="AH344"/>
      <c r="AI344"/>
      <c r="AJ344"/>
      <c r="AK344"/>
      <c r="AL344"/>
      <c r="AM344"/>
      <c r="AN344"/>
      <c r="AO344"/>
      <c r="AP344"/>
      <c r="AQ344"/>
      <c r="AR344"/>
      <c r="AS344"/>
      <c r="AT344" s="851"/>
      <c r="AU344" s="851"/>
      <c r="AV344" s="851"/>
      <c r="AW344" s="851"/>
    </row>
    <row r="345" spans="1:49" hidden="1" outlineLevel="1">
      <c r="A345" s="38"/>
      <c r="N345" s="86"/>
      <c r="O345" s="86"/>
      <c r="P345" s="86"/>
      <c r="Q345" s="86"/>
      <c r="R345" s="568"/>
      <c r="S345" s="568"/>
      <c r="T345" s="568"/>
      <c r="U345" s="568"/>
      <c r="V345" s="568"/>
      <c r="W345" s="568"/>
      <c r="X345" s="568"/>
      <c r="Y345" s="568"/>
      <c r="Z345" s="568"/>
      <c r="AA345" s="568"/>
      <c r="AB345"/>
      <c r="AC345"/>
      <c r="AD345"/>
      <c r="AE345"/>
      <c r="AF345"/>
      <c r="AG345"/>
      <c r="AH345"/>
      <c r="AI345"/>
      <c r="AJ345"/>
      <c r="AK345"/>
      <c r="AL345"/>
      <c r="AM345"/>
      <c r="AN345"/>
      <c r="AO345"/>
      <c r="AP345"/>
      <c r="AQ345"/>
      <c r="AR345"/>
      <c r="AS345"/>
      <c r="AT345" s="851"/>
      <c r="AU345" s="851"/>
      <c r="AV345" s="851"/>
      <c r="AW345" s="851"/>
    </row>
    <row r="346" spans="1:49" ht="16.5" hidden="1" outlineLevel="1" thickBot="1">
      <c r="A346" s="34" t="s">
        <v>97</v>
      </c>
      <c r="N346" s="86"/>
      <c r="O346" s="86"/>
      <c r="P346" s="86"/>
      <c r="Q346" s="86"/>
      <c r="R346" s="50">
        <v>1240</v>
      </c>
      <c r="S346" s="50">
        <v>1200</v>
      </c>
      <c r="T346" s="50">
        <v>1190</v>
      </c>
      <c r="U346" s="50">
        <v>1180</v>
      </c>
      <c r="V346" s="50">
        <v>1200</v>
      </c>
      <c r="W346" s="50">
        <v>1180</v>
      </c>
      <c r="X346" s="50">
        <v>1190</v>
      </c>
      <c r="Y346" s="50">
        <v>1180</v>
      </c>
      <c r="Z346" s="50">
        <v>1170</v>
      </c>
      <c r="AA346" s="50">
        <v>1170</v>
      </c>
      <c r="AB346"/>
      <c r="AC346"/>
      <c r="AD346"/>
      <c r="AE346"/>
      <c r="AF346"/>
      <c r="AG346"/>
      <c r="AH346"/>
      <c r="AI346"/>
      <c r="AJ346"/>
      <c r="AK346"/>
      <c r="AL346"/>
      <c r="AM346"/>
      <c r="AN346"/>
      <c r="AO346"/>
      <c r="AP346"/>
      <c r="AQ346"/>
      <c r="AR346"/>
      <c r="AS346"/>
      <c r="AT346" s="851"/>
      <c r="AU346" s="851"/>
      <c r="AV346" s="851"/>
      <c r="AW346" s="851"/>
    </row>
    <row r="347" spans="1:49" ht="16.5" hidden="1" outlineLevel="1" thickBot="1">
      <c r="A347" s="38"/>
      <c r="N347" s="86"/>
      <c r="O347" s="86"/>
      <c r="P347" s="86"/>
      <c r="Q347" s="86"/>
      <c r="R347" s="568"/>
      <c r="S347" s="568"/>
      <c r="T347" s="568"/>
      <c r="U347" s="568"/>
      <c r="V347" s="568"/>
      <c r="W347" s="568"/>
      <c r="X347" s="568"/>
      <c r="Y347" s="568"/>
      <c r="Z347" s="568"/>
      <c r="AA347" s="568"/>
      <c r="AB347"/>
      <c r="AC347"/>
      <c r="AD347"/>
      <c r="AE347"/>
      <c r="AF347"/>
      <c r="AG347"/>
      <c r="AH347"/>
      <c r="AI347"/>
      <c r="AJ347"/>
      <c r="AK347"/>
      <c r="AL347"/>
      <c r="AM347"/>
      <c r="AN347"/>
      <c r="AO347"/>
      <c r="AP347"/>
      <c r="AQ347"/>
      <c r="AR347"/>
      <c r="AS347"/>
      <c r="AT347" s="851"/>
      <c r="AU347" s="851"/>
      <c r="AV347" s="851"/>
      <c r="AW347" s="851"/>
    </row>
    <row r="348" spans="1:49" hidden="1" outlineLevel="1">
      <c r="A348" s="39" t="s">
        <v>98</v>
      </c>
      <c r="N348" s="78">
        <v>309.5</v>
      </c>
      <c r="O348" s="78">
        <v>303</v>
      </c>
      <c r="P348" s="78">
        <v>297.2</v>
      </c>
      <c r="Q348" s="78">
        <v>297.8</v>
      </c>
      <c r="R348" s="55">
        <v>298.2</v>
      </c>
      <c r="S348" s="55">
        <v>308.60000000000002</v>
      </c>
      <c r="T348" s="55">
        <v>320.7</v>
      </c>
      <c r="U348" s="55">
        <v>323.7</v>
      </c>
      <c r="V348" s="55">
        <v>310.39999999999998</v>
      </c>
      <c r="W348" s="55">
        <v>303.3</v>
      </c>
      <c r="X348" s="55">
        <v>286.5</v>
      </c>
      <c r="Y348" s="55">
        <v>289.60000000000002</v>
      </c>
      <c r="Z348" s="55">
        <v>287</v>
      </c>
      <c r="AA348" s="55">
        <v>298.60000000000002</v>
      </c>
      <c r="AB348"/>
      <c r="AC348"/>
      <c r="AD348"/>
      <c r="AE348"/>
      <c r="AF348"/>
      <c r="AG348"/>
      <c r="AH348"/>
      <c r="AI348"/>
      <c r="AJ348"/>
      <c r="AK348"/>
      <c r="AL348"/>
      <c r="AM348"/>
      <c r="AN348"/>
      <c r="AO348"/>
      <c r="AP348"/>
      <c r="AQ348"/>
      <c r="AR348"/>
      <c r="AS348"/>
      <c r="AT348" s="851"/>
      <c r="AU348" s="851"/>
      <c r="AV348" s="851"/>
      <c r="AW348" s="851"/>
    </row>
    <row r="349" spans="1:49" ht="16.5" hidden="1" outlineLevel="1" thickBot="1">
      <c r="A349" s="34" t="s">
        <v>99</v>
      </c>
      <c r="N349" s="79">
        <v>2.6</v>
      </c>
      <c r="O349" s="79">
        <v>5.9</v>
      </c>
      <c r="P349" s="79">
        <v>1.2</v>
      </c>
      <c r="Q349" s="79">
        <v>0.6</v>
      </c>
      <c r="R349" s="56">
        <v>1.7</v>
      </c>
      <c r="S349" s="56">
        <v>1.8</v>
      </c>
      <c r="T349" s="56">
        <v>1.8</v>
      </c>
      <c r="U349" s="56">
        <v>2</v>
      </c>
      <c r="V349" s="56">
        <v>-0.7</v>
      </c>
      <c r="W349" s="56">
        <v>0.2</v>
      </c>
      <c r="X349" s="56">
        <v>1.7</v>
      </c>
      <c r="Y349" s="56">
        <v>-4.2</v>
      </c>
      <c r="Z349" s="56">
        <v>5.4</v>
      </c>
      <c r="AA349" s="56">
        <v>5.4</v>
      </c>
      <c r="AB349"/>
      <c r="AC349"/>
      <c r="AD349"/>
      <c r="AE349"/>
      <c r="AF349"/>
      <c r="AG349"/>
      <c r="AH349"/>
      <c r="AI349"/>
      <c r="AJ349"/>
      <c r="AK349"/>
      <c r="AL349"/>
      <c r="AM349"/>
      <c r="AN349"/>
      <c r="AO349"/>
      <c r="AP349"/>
      <c r="AQ349"/>
      <c r="AR349"/>
      <c r="AS349"/>
      <c r="AT349" s="851"/>
      <c r="AU349" s="851"/>
      <c r="AV349" s="851"/>
      <c r="AW349" s="851"/>
    </row>
    <row r="350" spans="1:49" hidden="1" outlineLevel="1">
      <c r="A350" s="40"/>
      <c r="N350" s="75"/>
      <c r="O350" s="75"/>
      <c r="P350" s="75"/>
      <c r="Q350" s="75"/>
      <c r="R350" s="57"/>
      <c r="S350" s="57"/>
      <c r="T350" s="57"/>
      <c r="U350" s="57"/>
      <c r="V350" s="57"/>
      <c r="W350" s="57"/>
      <c r="X350" s="57"/>
      <c r="Y350" s="57"/>
      <c r="Z350" s="57"/>
      <c r="AA350" s="57"/>
      <c r="AB350"/>
      <c r="AC350"/>
      <c r="AD350"/>
      <c r="AE350"/>
      <c r="AF350"/>
      <c r="AG350"/>
      <c r="AH350"/>
      <c r="AI350"/>
      <c r="AJ350"/>
      <c r="AK350"/>
      <c r="AL350"/>
      <c r="AM350"/>
      <c r="AN350"/>
      <c r="AO350"/>
      <c r="AP350"/>
      <c r="AQ350"/>
      <c r="AR350"/>
      <c r="AS350"/>
      <c r="AT350" s="851"/>
      <c r="AU350" s="851"/>
      <c r="AV350" s="851"/>
      <c r="AW350" s="851"/>
    </row>
    <row r="351" spans="1:49" hidden="1" outlineLevel="1">
      <c r="A351" s="58" t="s">
        <v>109</v>
      </c>
      <c r="N351" s="75"/>
      <c r="O351" s="75"/>
      <c r="P351" s="75"/>
      <c r="Q351" s="75"/>
      <c r="R351" s="57"/>
      <c r="S351" s="57"/>
      <c r="T351" s="57"/>
      <c r="U351" s="57"/>
      <c r="V351" s="57"/>
      <c r="W351" s="57"/>
      <c r="X351" s="57"/>
      <c r="Y351" s="57"/>
      <c r="Z351" s="57"/>
      <c r="AA351" s="57"/>
      <c r="AB351"/>
      <c r="AC351"/>
      <c r="AD351"/>
      <c r="AE351"/>
      <c r="AF351"/>
      <c r="AG351"/>
      <c r="AH351"/>
      <c r="AI351"/>
      <c r="AJ351"/>
      <c r="AK351"/>
      <c r="AL351"/>
      <c r="AM351"/>
      <c r="AN351"/>
      <c r="AO351"/>
      <c r="AP351"/>
      <c r="AQ351"/>
      <c r="AR351"/>
      <c r="AS351"/>
      <c r="AT351" s="851"/>
      <c r="AU351" s="851"/>
      <c r="AV351" s="851"/>
      <c r="AW351" s="851"/>
    </row>
    <row r="352" spans="1:49" hidden="1" outlineLevel="1">
      <c r="A352" s="26" t="s">
        <v>83</v>
      </c>
      <c r="N352" s="69">
        <v>211</v>
      </c>
      <c r="O352" s="69">
        <v>225</v>
      </c>
      <c r="P352" s="69">
        <v>221</v>
      </c>
      <c r="Q352" s="69">
        <v>243</v>
      </c>
      <c r="R352" s="69">
        <v>232</v>
      </c>
      <c r="S352" s="69">
        <v>241</v>
      </c>
      <c r="T352" s="69">
        <v>237</v>
      </c>
      <c r="U352" s="69">
        <v>246</v>
      </c>
      <c r="V352" s="69">
        <v>191</v>
      </c>
      <c r="W352" s="69">
        <v>198</v>
      </c>
      <c r="X352" s="69">
        <v>204</v>
      </c>
      <c r="Y352" s="69">
        <v>211</v>
      </c>
      <c r="Z352" s="57"/>
      <c r="AA352" s="57"/>
      <c r="AB352"/>
      <c r="AC352"/>
      <c r="AD352"/>
      <c r="AE352"/>
      <c r="AF352"/>
      <c r="AG352"/>
      <c r="AH352"/>
      <c r="AI352"/>
      <c r="AJ352"/>
      <c r="AK352"/>
      <c r="AL352"/>
      <c r="AM352"/>
      <c r="AN352"/>
      <c r="AO352"/>
      <c r="AP352"/>
      <c r="AQ352"/>
      <c r="AR352"/>
      <c r="AS352"/>
      <c r="AT352" s="851"/>
      <c r="AU352" s="851"/>
      <c r="AV352" s="851"/>
      <c r="AW352" s="851"/>
    </row>
    <row r="353" spans="1:49" hidden="1" outlineLevel="1">
      <c r="A353" s="26" t="s">
        <v>84</v>
      </c>
      <c r="N353" s="70">
        <v>127</v>
      </c>
      <c r="O353" s="70">
        <v>191</v>
      </c>
      <c r="P353" s="70">
        <v>118</v>
      </c>
      <c r="Q353" s="70">
        <v>479</v>
      </c>
      <c r="R353" s="70">
        <v>158</v>
      </c>
      <c r="S353" s="70">
        <v>145</v>
      </c>
      <c r="T353" s="70">
        <v>115</v>
      </c>
      <c r="U353" s="70">
        <v>265</v>
      </c>
      <c r="V353" s="70">
        <v>124</v>
      </c>
      <c r="W353" s="70">
        <v>140</v>
      </c>
      <c r="X353" s="70">
        <v>136</v>
      </c>
      <c r="Y353" s="70">
        <v>158</v>
      </c>
      <c r="Z353" s="57"/>
      <c r="AA353" s="57"/>
      <c r="AB353"/>
      <c r="AC353"/>
      <c r="AD353"/>
      <c r="AE353"/>
      <c r="AF353"/>
      <c r="AG353"/>
      <c r="AH353"/>
      <c r="AI353"/>
      <c r="AJ353"/>
      <c r="AK353"/>
      <c r="AL353"/>
      <c r="AM353"/>
      <c r="AN353"/>
      <c r="AO353"/>
      <c r="AP353"/>
      <c r="AQ353"/>
      <c r="AR353"/>
      <c r="AS353"/>
      <c r="AT353" s="851"/>
      <c r="AU353" s="851"/>
      <c r="AV353" s="851"/>
      <c r="AW353" s="851"/>
    </row>
    <row r="354" spans="1:49" hidden="1" outlineLevel="1">
      <c r="A354" s="27" t="s">
        <v>70</v>
      </c>
      <c r="N354" s="71">
        <v>20</v>
      </c>
      <c r="O354" s="71">
        <v>-1</v>
      </c>
      <c r="P354" s="71">
        <v>-30</v>
      </c>
      <c r="Q354" s="71">
        <v>-4</v>
      </c>
      <c r="R354" s="71">
        <v>12</v>
      </c>
      <c r="S354" s="87">
        <v>0</v>
      </c>
      <c r="T354" s="71">
        <v>1</v>
      </c>
      <c r="U354" s="71">
        <v>-28</v>
      </c>
      <c r="V354" s="71">
        <v>6</v>
      </c>
      <c r="W354" s="71">
        <v>-3</v>
      </c>
      <c r="X354" s="71">
        <v>-32</v>
      </c>
      <c r="Y354" s="71">
        <v>-5</v>
      </c>
      <c r="Z354" s="57"/>
      <c r="AA354" s="57"/>
      <c r="AB354"/>
      <c r="AC354"/>
      <c r="AD354"/>
      <c r="AE354"/>
      <c r="AF354"/>
      <c r="AG354"/>
      <c r="AH354"/>
      <c r="AI354"/>
      <c r="AJ354"/>
      <c r="AK354"/>
      <c r="AL354"/>
      <c r="AM354"/>
      <c r="AN354"/>
      <c r="AO354"/>
      <c r="AP354"/>
      <c r="AQ354"/>
      <c r="AR354"/>
      <c r="AS354"/>
      <c r="AT354" s="851"/>
      <c r="AU354" s="851"/>
      <c r="AV354" s="851"/>
      <c r="AW354" s="851"/>
    </row>
    <row r="355" spans="1:49" hidden="1" outlineLevel="1">
      <c r="A355" s="36" t="s">
        <v>5</v>
      </c>
      <c r="N355" s="77">
        <v>358</v>
      </c>
      <c r="O355" s="77">
        <v>415</v>
      </c>
      <c r="P355" s="77">
        <v>309</v>
      </c>
      <c r="Q355" s="77">
        <v>718</v>
      </c>
      <c r="R355" s="51">
        <v>402</v>
      </c>
      <c r="S355" s="51">
        <v>386</v>
      </c>
      <c r="T355" s="51">
        <v>353</v>
      </c>
      <c r="U355" s="51">
        <v>483</v>
      </c>
      <c r="V355" s="51">
        <v>320</v>
      </c>
      <c r="W355" s="51">
        <v>335</v>
      </c>
      <c r="X355" s="51">
        <v>308</v>
      </c>
      <c r="Y355" s="51">
        <v>365</v>
      </c>
      <c r="Z355" s="51">
        <v>320</v>
      </c>
      <c r="AA355" s="51">
        <v>334</v>
      </c>
      <c r="AB355"/>
      <c r="AC355"/>
      <c r="AD355"/>
      <c r="AE355"/>
      <c r="AF355"/>
      <c r="AG355"/>
      <c r="AH355"/>
      <c r="AI355"/>
      <c r="AJ355"/>
      <c r="AK355"/>
      <c r="AL355"/>
      <c r="AM355"/>
      <c r="AN355"/>
      <c r="AO355"/>
      <c r="AP355"/>
      <c r="AQ355"/>
      <c r="AR355"/>
      <c r="AS355"/>
      <c r="AT355" s="851"/>
      <c r="AU355" s="851"/>
      <c r="AV355" s="851"/>
      <c r="AW355" s="851"/>
    </row>
    <row r="356" spans="1:49" hidden="1" outlineLevel="1">
      <c r="A356" s="36" t="s">
        <v>6</v>
      </c>
      <c r="N356" s="85">
        <v>0</v>
      </c>
      <c r="O356" s="85">
        <v>0</v>
      </c>
      <c r="P356" s="85">
        <v>0</v>
      </c>
      <c r="Q356" s="85">
        <v>0</v>
      </c>
      <c r="R356" s="51">
        <v>0</v>
      </c>
      <c r="S356" s="51">
        <v>0</v>
      </c>
      <c r="T356" s="51">
        <v>0</v>
      </c>
      <c r="U356" s="51">
        <v>0</v>
      </c>
      <c r="V356" s="51">
        <v>0</v>
      </c>
      <c r="W356" s="51">
        <v>0</v>
      </c>
      <c r="X356" s="51">
        <v>0</v>
      </c>
      <c r="Y356" s="51">
        <v>0</v>
      </c>
      <c r="Z356" s="51">
        <v>0</v>
      </c>
      <c r="AA356" s="51">
        <v>0</v>
      </c>
      <c r="AB356"/>
      <c r="AC356"/>
      <c r="AD356"/>
      <c r="AE356"/>
      <c r="AF356"/>
      <c r="AG356"/>
      <c r="AH356"/>
      <c r="AI356"/>
      <c r="AJ356"/>
      <c r="AK356"/>
      <c r="AL356"/>
      <c r="AM356"/>
      <c r="AN356"/>
      <c r="AO356"/>
      <c r="AP356"/>
      <c r="AQ356"/>
      <c r="AR356"/>
      <c r="AS356"/>
      <c r="AT356" s="851"/>
      <c r="AU356" s="851"/>
      <c r="AV356" s="851"/>
      <c r="AW356" s="851"/>
    </row>
    <row r="357" spans="1:49" hidden="1" outlineLevel="1">
      <c r="A357" s="28" t="s">
        <v>7</v>
      </c>
      <c r="N357" s="72">
        <v>206</v>
      </c>
      <c r="O357" s="72">
        <v>199</v>
      </c>
      <c r="P357" s="72">
        <v>177</v>
      </c>
      <c r="Q357" s="72">
        <v>182</v>
      </c>
      <c r="R357" s="46">
        <v>191</v>
      </c>
      <c r="S357" s="46">
        <v>207</v>
      </c>
      <c r="T357" s="46">
        <v>178</v>
      </c>
      <c r="U357" s="46">
        <v>190</v>
      </c>
      <c r="V357" s="46">
        <v>174</v>
      </c>
      <c r="W357" s="46">
        <v>172</v>
      </c>
      <c r="X357" s="46">
        <v>157</v>
      </c>
      <c r="Y357" s="46">
        <v>199</v>
      </c>
      <c r="Z357" s="46">
        <v>152</v>
      </c>
      <c r="AA357" s="46">
        <v>177</v>
      </c>
      <c r="AB357"/>
      <c r="AC357"/>
      <c r="AD357"/>
      <c r="AE357"/>
      <c r="AF357"/>
      <c r="AG357"/>
      <c r="AH357"/>
      <c r="AI357"/>
      <c r="AJ357"/>
      <c r="AK357"/>
      <c r="AL357"/>
      <c r="AM357"/>
      <c r="AN357"/>
      <c r="AO357"/>
      <c r="AP357"/>
      <c r="AQ357"/>
      <c r="AR357"/>
      <c r="AS357"/>
      <c r="AT357" s="851"/>
      <c r="AU357" s="851"/>
      <c r="AV357" s="851"/>
      <c r="AW357" s="851"/>
    </row>
    <row r="358" spans="1:49" hidden="1" outlineLevel="1">
      <c r="A358" s="25" t="s">
        <v>8</v>
      </c>
      <c r="N358" s="73">
        <v>89</v>
      </c>
      <c r="O358" s="73">
        <v>82</v>
      </c>
      <c r="P358" s="73">
        <v>79</v>
      </c>
      <c r="Q358" s="73">
        <v>107</v>
      </c>
      <c r="R358" s="43">
        <v>80</v>
      </c>
      <c r="S358" s="43">
        <v>83</v>
      </c>
      <c r="T358" s="43">
        <v>90</v>
      </c>
      <c r="U358" s="43">
        <v>98</v>
      </c>
      <c r="V358" s="43">
        <v>84</v>
      </c>
      <c r="W358" s="43">
        <v>88</v>
      </c>
      <c r="X358" s="43">
        <v>94</v>
      </c>
      <c r="Y358" s="43">
        <v>110</v>
      </c>
      <c r="Z358" s="43">
        <v>84</v>
      </c>
      <c r="AA358" s="43">
        <v>75</v>
      </c>
      <c r="AB358"/>
      <c r="AC358"/>
      <c r="AD358"/>
      <c r="AE358"/>
      <c r="AF358"/>
      <c r="AG358"/>
      <c r="AH358"/>
      <c r="AI358"/>
      <c r="AJ358"/>
      <c r="AK358"/>
      <c r="AL358"/>
      <c r="AM358"/>
      <c r="AN358"/>
      <c r="AO358"/>
      <c r="AP358"/>
      <c r="AQ358"/>
      <c r="AR358"/>
      <c r="AS358"/>
      <c r="AT358" s="851"/>
      <c r="AU358" s="851"/>
      <c r="AV358" s="851"/>
      <c r="AW358" s="851"/>
    </row>
    <row r="359" spans="1:49" hidden="1" outlineLevel="1">
      <c r="A359" s="26" t="s">
        <v>9</v>
      </c>
      <c r="N359" s="70">
        <v>29</v>
      </c>
      <c r="O359" s="70">
        <v>39</v>
      </c>
      <c r="P359" s="70">
        <v>32</v>
      </c>
      <c r="Q359" s="70">
        <v>36</v>
      </c>
      <c r="R359" s="44">
        <v>24</v>
      </c>
      <c r="S359" s="44">
        <v>24</v>
      </c>
      <c r="T359" s="44">
        <v>20</v>
      </c>
      <c r="U359" s="44">
        <v>22</v>
      </c>
      <c r="V359" s="44">
        <v>16</v>
      </c>
      <c r="W359" s="44">
        <v>15</v>
      </c>
      <c r="X359" s="44">
        <v>16</v>
      </c>
      <c r="Y359" s="44">
        <v>17</v>
      </c>
      <c r="Z359" s="44">
        <v>19</v>
      </c>
      <c r="AA359" s="44">
        <v>19</v>
      </c>
      <c r="AB359"/>
      <c r="AC359"/>
      <c r="AD359"/>
      <c r="AE359"/>
      <c r="AF359"/>
      <c r="AG359"/>
      <c r="AH359"/>
      <c r="AI359"/>
      <c r="AJ359"/>
      <c r="AK359"/>
      <c r="AL359"/>
      <c r="AM359"/>
      <c r="AN359"/>
      <c r="AO359"/>
      <c r="AP359"/>
      <c r="AQ359"/>
      <c r="AR359"/>
      <c r="AS359"/>
      <c r="AT359" s="851"/>
      <c r="AU359" s="851"/>
      <c r="AV359" s="851"/>
      <c r="AW359" s="851"/>
    </row>
    <row r="360" spans="1:49" hidden="1" outlineLevel="1">
      <c r="A360" s="27" t="s">
        <v>10</v>
      </c>
      <c r="N360" s="74">
        <v>0</v>
      </c>
      <c r="O360" s="74">
        <v>0</v>
      </c>
      <c r="P360" s="74">
        <v>0</v>
      </c>
      <c r="Q360" s="74">
        <v>0</v>
      </c>
      <c r="R360" s="47">
        <v>0</v>
      </c>
      <c r="S360" s="47">
        <v>0</v>
      </c>
      <c r="T360" s="47">
        <v>0</v>
      </c>
      <c r="U360" s="47">
        <v>0</v>
      </c>
      <c r="V360" s="47">
        <v>0</v>
      </c>
      <c r="W360" s="47">
        <v>0</v>
      </c>
      <c r="X360" s="47">
        <v>0</v>
      </c>
      <c r="Y360" s="47">
        <v>4</v>
      </c>
      <c r="Z360" s="47">
        <v>-2</v>
      </c>
      <c r="AA360" s="47">
        <v>2</v>
      </c>
      <c r="AB360"/>
      <c r="AC360"/>
      <c r="AD360"/>
      <c r="AE360"/>
      <c r="AF360"/>
      <c r="AG360"/>
      <c r="AH360"/>
      <c r="AI360"/>
      <c r="AJ360"/>
      <c r="AK360"/>
      <c r="AL360"/>
      <c r="AM360"/>
      <c r="AN360"/>
      <c r="AO360"/>
      <c r="AP360"/>
      <c r="AQ360"/>
      <c r="AR360"/>
      <c r="AS360"/>
      <c r="AT360" s="851"/>
      <c r="AU360" s="851"/>
      <c r="AV360" s="851"/>
      <c r="AW360" s="851"/>
    </row>
    <row r="361" spans="1:49" hidden="1" outlineLevel="1">
      <c r="A361" s="28" t="s">
        <v>11</v>
      </c>
      <c r="N361" s="76">
        <v>118</v>
      </c>
      <c r="O361" s="76">
        <v>121</v>
      </c>
      <c r="P361" s="76">
        <v>111</v>
      </c>
      <c r="Q361" s="76">
        <v>143</v>
      </c>
      <c r="R361" s="49">
        <v>104</v>
      </c>
      <c r="S361" s="49">
        <v>107</v>
      </c>
      <c r="T361" s="49">
        <v>110</v>
      </c>
      <c r="U361" s="49">
        <v>120</v>
      </c>
      <c r="V361" s="49">
        <v>100</v>
      </c>
      <c r="W361" s="49">
        <v>103</v>
      </c>
      <c r="X361" s="49">
        <v>110</v>
      </c>
      <c r="Y361" s="49">
        <v>131</v>
      </c>
      <c r="Z361" s="49">
        <v>101</v>
      </c>
      <c r="AA361" s="49">
        <v>96</v>
      </c>
      <c r="AB361"/>
      <c r="AC361"/>
      <c r="AD361"/>
      <c r="AE361"/>
      <c r="AF361"/>
      <c r="AG361"/>
      <c r="AH361"/>
      <c r="AI361"/>
      <c r="AJ361"/>
      <c r="AK361"/>
      <c r="AL361"/>
      <c r="AM361"/>
      <c r="AN361"/>
      <c r="AO361"/>
      <c r="AP361"/>
      <c r="AQ361"/>
      <c r="AR361"/>
      <c r="AS361"/>
      <c r="AT361" s="851"/>
      <c r="AU361" s="851"/>
      <c r="AV361" s="851"/>
      <c r="AW361" s="851"/>
    </row>
    <row r="362" spans="1:49" hidden="1" outlineLevel="1">
      <c r="A362" s="36" t="s">
        <v>12</v>
      </c>
      <c r="N362" s="77">
        <v>324</v>
      </c>
      <c r="O362" s="77">
        <v>320</v>
      </c>
      <c r="P362" s="77">
        <v>288</v>
      </c>
      <c r="Q362" s="77">
        <v>325</v>
      </c>
      <c r="R362" s="51">
        <v>295</v>
      </c>
      <c r="S362" s="51">
        <v>314</v>
      </c>
      <c r="T362" s="51">
        <v>288</v>
      </c>
      <c r="U362" s="51">
        <v>310</v>
      </c>
      <c r="V362" s="51">
        <v>274</v>
      </c>
      <c r="W362" s="51">
        <v>275</v>
      </c>
      <c r="X362" s="51">
        <v>267</v>
      </c>
      <c r="Y362" s="51">
        <v>330</v>
      </c>
      <c r="Z362" s="51">
        <v>253</v>
      </c>
      <c r="AA362" s="51">
        <v>273</v>
      </c>
      <c r="AB362"/>
      <c r="AC362"/>
      <c r="AD362"/>
      <c r="AE362"/>
      <c r="AF362"/>
      <c r="AG362"/>
      <c r="AH362"/>
      <c r="AI362"/>
      <c r="AJ362"/>
      <c r="AK362"/>
      <c r="AL362"/>
      <c r="AM362"/>
      <c r="AN362"/>
      <c r="AO362"/>
      <c r="AP362"/>
      <c r="AQ362"/>
      <c r="AR362"/>
      <c r="AS362"/>
      <c r="AT362" s="851"/>
      <c r="AU362" s="851"/>
      <c r="AV362" s="851"/>
      <c r="AW362" s="851"/>
    </row>
    <row r="363" spans="1:49" ht="16.5" hidden="1" outlineLevel="1" thickBot="1">
      <c r="A363" s="59" t="s">
        <v>87</v>
      </c>
      <c r="N363" s="564">
        <v>34</v>
      </c>
      <c r="O363" s="564">
        <v>95</v>
      </c>
      <c r="P363" s="564">
        <v>21</v>
      </c>
      <c r="Q363" s="564">
        <v>393</v>
      </c>
      <c r="R363" s="565">
        <v>107</v>
      </c>
      <c r="S363" s="565">
        <v>72</v>
      </c>
      <c r="T363" s="565">
        <v>65</v>
      </c>
      <c r="U363" s="565">
        <v>173</v>
      </c>
      <c r="V363" s="565">
        <v>46</v>
      </c>
      <c r="W363" s="565">
        <v>60</v>
      </c>
      <c r="X363" s="565">
        <v>41</v>
      </c>
      <c r="Y363" s="565">
        <v>35</v>
      </c>
      <c r="Z363" s="565">
        <v>67</v>
      </c>
      <c r="AA363" s="565">
        <v>61</v>
      </c>
      <c r="AB363"/>
      <c r="AC363"/>
      <c r="AD363"/>
      <c r="AE363"/>
      <c r="AF363"/>
      <c r="AG363"/>
      <c r="AH363"/>
      <c r="AI363"/>
      <c r="AJ363"/>
      <c r="AK363"/>
      <c r="AL363"/>
      <c r="AM363"/>
      <c r="AN363"/>
      <c r="AO363"/>
      <c r="AP363"/>
      <c r="AQ363"/>
      <c r="AR363"/>
      <c r="AS363"/>
      <c r="AT363" s="851"/>
      <c r="AU363" s="851"/>
      <c r="AV363" s="851"/>
      <c r="AW363" s="851"/>
    </row>
    <row r="364" spans="1:49" ht="16.5" hidden="1" outlineLevel="1" thickBot="1">
      <c r="A364" s="37"/>
      <c r="N364" s="81"/>
      <c r="O364" s="81"/>
      <c r="P364" s="81"/>
      <c r="Q364" s="81"/>
      <c r="R364" s="52"/>
      <c r="S364" s="52"/>
      <c r="T364" s="52"/>
      <c r="U364" s="52"/>
      <c r="V364" s="52"/>
      <c r="W364" s="52"/>
      <c r="X364" s="52"/>
      <c r="Y364" s="52"/>
      <c r="Z364" s="52"/>
      <c r="AA364" s="52"/>
      <c r="AB364"/>
      <c r="AC364"/>
      <c r="AD364"/>
      <c r="AE364"/>
      <c r="AF364"/>
      <c r="AG364"/>
      <c r="AH364"/>
      <c r="AI364"/>
      <c r="AJ364"/>
      <c r="AK364"/>
      <c r="AL364"/>
      <c r="AM364"/>
      <c r="AN364"/>
      <c r="AO364"/>
      <c r="AP364"/>
      <c r="AQ364"/>
      <c r="AR364"/>
      <c r="AS364"/>
      <c r="AT364" s="851"/>
      <c r="AU364" s="851"/>
      <c r="AV364" s="851"/>
      <c r="AW364" s="851"/>
    </row>
    <row r="365" spans="1:49" ht="16.5" hidden="1" outlineLevel="1" thickBot="1">
      <c r="A365" s="33" t="s">
        <v>90</v>
      </c>
      <c r="N365" s="86"/>
      <c r="O365" s="86"/>
      <c r="P365" s="86"/>
      <c r="Q365" s="86"/>
      <c r="R365" s="566">
        <v>73.383084577114431</v>
      </c>
      <c r="S365" s="566">
        <v>81.347150259067362</v>
      </c>
      <c r="T365" s="566">
        <v>81.586402266288943</v>
      </c>
      <c r="U365" s="566">
        <v>64.182194616977227</v>
      </c>
      <c r="V365" s="566">
        <v>85.625</v>
      </c>
      <c r="W365" s="566">
        <v>82.089552238805979</v>
      </c>
      <c r="X365" s="566">
        <v>86.688311688311686</v>
      </c>
      <c r="Y365" s="566">
        <v>90.410958904109577</v>
      </c>
      <c r="Z365" s="566">
        <v>79.0625</v>
      </c>
      <c r="AA365" s="566">
        <v>81.736526946107773</v>
      </c>
      <c r="AB365"/>
      <c r="AC365"/>
      <c r="AD365"/>
      <c r="AE365"/>
      <c r="AF365"/>
      <c r="AG365"/>
      <c r="AH365"/>
      <c r="AI365"/>
      <c r="AJ365"/>
      <c r="AK365"/>
      <c r="AL365"/>
      <c r="AM365"/>
      <c r="AN365"/>
      <c r="AO365"/>
      <c r="AP365"/>
      <c r="AQ365"/>
      <c r="AR365"/>
      <c r="AS365"/>
      <c r="AT365" s="851"/>
      <c r="AU365" s="851"/>
      <c r="AV365" s="851"/>
      <c r="AW365" s="851"/>
    </row>
    <row r="366" spans="1:49" hidden="1" outlineLevel="1">
      <c r="A366" s="35"/>
      <c r="N366" s="86"/>
      <c r="O366" s="86"/>
      <c r="P366" s="86"/>
      <c r="Q366" s="86"/>
      <c r="R366" s="567"/>
      <c r="S366" s="567"/>
      <c r="T366" s="567"/>
      <c r="U366" s="567"/>
      <c r="V366" s="567"/>
      <c r="W366" s="567"/>
      <c r="X366" s="567"/>
      <c r="Y366" s="567"/>
      <c r="Z366" s="567"/>
      <c r="AA366" s="567"/>
      <c r="AB366"/>
      <c r="AC366"/>
      <c r="AD366"/>
      <c r="AE366"/>
      <c r="AF366"/>
      <c r="AG366"/>
      <c r="AH366"/>
      <c r="AI366"/>
      <c r="AJ366"/>
      <c r="AK366"/>
      <c r="AL366"/>
      <c r="AM366"/>
      <c r="AN366"/>
      <c r="AO366"/>
      <c r="AP366"/>
      <c r="AQ366"/>
      <c r="AR366"/>
      <c r="AS366"/>
      <c r="AT366" s="851"/>
      <c r="AU366" s="851"/>
      <c r="AV366" s="851"/>
      <c r="AW366" s="851"/>
    </row>
    <row r="367" spans="1:49" hidden="1" outlineLevel="1">
      <c r="A367" s="58" t="s">
        <v>102</v>
      </c>
      <c r="N367" s="86"/>
      <c r="O367" s="86"/>
      <c r="P367" s="86"/>
      <c r="Q367" s="86"/>
      <c r="R367" s="57"/>
      <c r="S367" s="57"/>
      <c r="T367" s="57"/>
      <c r="U367" s="57"/>
      <c r="V367" s="57"/>
      <c r="W367" s="57"/>
      <c r="X367" s="57"/>
      <c r="Y367" s="57"/>
      <c r="Z367" s="57"/>
      <c r="AA367" s="57"/>
      <c r="AB367"/>
      <c r="AC367"/>
      <c r="AD367"/>
      <c r="AE367"/>
      <c r="AF367"/>
      <c r="AG367"/>
      <c r="AH367"/>
      <c r="AI367"/>
      <c r="AJ367"/>
      <c r="AK367"/>
      <c r="AL367"/>
      <c r="AM367"/>
      <c r="AN367"/>
      <c r="AO367"/>
      <c r="AP367"/>
      <c r="AQ367"/>
      <c r="AR367"/>
      <c r="AS367"/>
      <c r="AT367" s="851"/>
      <c r="AU367" s="851"/>
      <c r="AV367" s="851"/>
      <c r="AW367" s="851"/>
    </row>
    <row r="368" spans="1:49" hidden="1" outlineLevel="1">
      <c r="A368" s="25" t="s">
        <v>110</v>
      </c>
      <c r="N368" s="86"/>
      <c r="O368" s="86"/>
      <c r="P368" s="86"/>
      <c r="Q368" s="86"/>
      <c r="R368" s="42">
        <v>213</v>
      </c>
      <c r="S368" s="42">
        <v>210</v>
      </c>
      <c r="T368" s="42">
        <v>214</v>
      </c>
      <c r="U368" s="42">
        <v>222</v>
      </c>
      <c r="V368" s="42">
        <v>206</v>
      </c>
      <c r="W368" s="42">
        <v>218</v>
      </c>
      <c r="X368" s="42">
        <v>224</v>
      </c>
      <c r="Y368" s="43">
        <v>225</v>
      </c>
      <c r="Z368" s="42">
        <v>225</v>
      </c>
      <c r="AA368" s="42">
        <v>220</v>
      </c>
      <c r="AB368"/>
      <c r="AC368"/>
      <c r="AD368"/>
      <c r="AE368"/>
      <c r="AF368"/>
      <c r="AG368"/>
      <c r="AH368"/>
      <c r="AI368"/>
      <c r="AJ368"/>
      <c r="AK368"/>
      <c r="AL368"/>
      <c r="AM368"/>
      <c r="AN368"/>
      <c r="AO368"/>
      <c r="AP368"/>
      <c r="AQ368"/>
      <c r="AR368"/>
      <c r="AS368"/>
      <c r="AT368" s="851"/>
      <c r="AU368" s="851"/>
      <c r="AV368" s="851"/>
      <c r="AW368" s="851"/>
    </row>
    <row r="369" spans="1:49" hidden="1" outlineLevel="1">
      <c r="A369" s="26" t="s">
        <v>111</v>
      </c>
      <c r="N369" s="86"/>
      <c r="O369" s="86"/>
      <c r="P369" s="86"/>
      <c r="Q369" s="86"/>
      <c r="R369" s="44">
        <v>47</v>
      </c>
      <c r="S369" s="44">
        <v>70</v>
      </c>
      <c r="T369" s="44">
        <v>48</v>
      </c>
      <c r="U369" s="44">
        <v>97</v>
      </c>
      <c r="V369" s="44">
        <v>35</v>
      </c>
      <c r="W369" s="44">
        <v>38</v>
      </c>
      <c r="X369" s="44">
        <v>35</v>
      </c>
      <c r="Y369" s="44">
        <v>56</v>
      </c>
      <c r="Z369" s="44">
        <v>17</v>
      </c>
      <c r="AA369" s="44">
        <v>42</v>
      </c>
      <c r="AB369"/>
      <c r="AC369"/>
      <c r="AD369"/>
      <c r="AE369"/>
      <c r="AF369"/>
      <c r="AG369"/>
      <c r="AH369"/>
      <c r="AI369"/>
      <c r="AJ369"/>
      <c r="AK369"/>
      <c r="AL369"/>
      <c r="AM369"/>
      <c r="AN369"/>
      <c r="AO369"/>
      <c r="AP369"/>
      <c r="AQ369"/>
      <c r="AR369"/>
      <c r="AS369"/>
      <c r="AT369" s="851"/>
      <c r="AU369" s="851"/>
      <c r="AV369" s="851"/>
      <c r="AW369" s="851"/>
    </row>
    <row r="370" spans="1:49" hidden="1" outlineLevel="1">
      <c r="A370" s="27" t="s">
        <v>112</v>
      </c>
      <c r="N370" s="86"/>
      <c r="O370" s="86"/>
      <c r="P370" s="86"/>
      <c r="Q370" s="86"/>
      <c r="R370" s="45">
        <v>142</v>
      </c>
      <c r="S370" s="45">
        <v>106</v>
      </c>
      <c r="T370" s="45">
        <v>91</v>
      </c>
      <c r="U370" s="45">
        <v>164</v>
      </c>
      <c r="V370" s="45">
        <v>79</v>
      </c>
      <c r="W370" s="45">
        <v>79</v>
      </c>
      <c r="X370" s="45">
        <v>49</v>
      </c>
      <c r="Y370" s="45">
        <v>84</v>
      </c>
      <c r="Z370" s="45">
        <v>78</v>
      </c>
      <c r="AA370" s="45">
        <v>72</v>
      </c>
      <c r="AB370"/>
      <c r="AC370"/>
      <c r="AD370"/>
      <c r="AE370"/>
      <c r="AF370"/>
      <c r="AG370"/>
      <c r="AH370"/>
      <c r="AI370"/>
      <c r="AJ370"/>
      <c r="AK370"/>
      <c r="AL370"/>
      <c r="AM370"/>
      <c r="AN370"/>
      <c r="AO370"/>
      <c r="AP370"/>
      <c r="AQ370"/>
      <c r="AR370"/>
      <c r="AS370"/>
      <c r="AT370" s="851"/>
      <c r="AU370" s="851"/>
      <c r="AV370" s="851"/>
      <c r="AW370" s="851"/>
    </row>
    <row r="371" spans="1:49" ht="16.5" hidden="1" outlineLevel="1" thickBot="1">
      <c r="A371" s="60" t="s">
        <v>5</v>
      </c>
      <c r="N371" s="86"/>
      <c r="O371" s="86"/>
      <c r="P371" s="86"/>
      <c r="Q371" s="86"/>
      <c r="R371" s="565">
        <v>402</v>
      </c>
      <c r="S371" s="565">
        <v>386</v>
      </c>
      <c r="T371" s="565">
        <v>353</v>
      </c>
      <c r="U371" s="565">
        <v>483</v>
      </c>
      <c r="V371" s="565">
        <v>320</v>
      </c>
      <c r="W371" s="565">
        <v>335</v>
      </c>
      <c r="X371" s="565">
        <v>308</v>
      </c>
      <c r="Y371" s="565">
        <v>365</v>
      </c>
      <c r="Z371" s="565">
        <v>320</v>
      </c>
      <c r="AA371" s="565">
        <v>334</v>
      </c>
      <c r="AB371"/>
      <c r="AC371"/>
      <c r="AD371"/>
      <c r="AE371"/>
      <c r="AF371"/>
      <c r="AG371"/>
      <c r="AH371"/>
      <c r="AI371"/>
      <c r="AJ371"/>
      <c r="AK371"/>
      <c r="AL371"/>
      <c r="AM371"/>
      <c r="AN371"/>
      <c r="AO371"/>
      <c r="AP371"/>
      <c r="AQ371"/>
      <c r="AR371"/>
      <c r="AS371"/>
      <c r="AT371" s="851"/>
      <c r="AU371" s="851"/>
      <c r="AV371" s="851"/>
      <c r="AW371" s="851"/>
    </row>
    <row r="372" spans="1:49" hidden="1" outlineLevel="1">
      <c r="A372" s="63" t="s">
        <v>113</v>
      </c>
      <c r="N372" s="86"/>
      <c r="O372" s="86"/>
      <c r="P372" s="86"/>
      <c r="Q372" s="86"/>
      <c r="R372" s="42">
        <v>232</v>
      </c>
      <c r="S372" s="42">
        <v>241</v>
      </c>
      <c r="T372" s="42">
        <v>237</v>
      </c>
      <c r="U372" s="42">
        <v>246</v>
      </c>
      <c r="V372" s="42">
        <v>191</v>
      </c>
      <c r="W372" s="42">
        <v>198</v>
      </c>
      <c r="X372" s="42">
        <v>204</v>
      </c>
      <c r="Y372" s="43">
        <v>211</v>
      </c>
      <c r="Z372" s="42">
        <v>201</v>
      </c>
      <c r="AA372" s="42">
        <v>204</v>
      </c>
      <c r="AT372" s="18"/>
      <c r="AU372" s="18"/>
      <c r="AV372" s="18"/>
      <c r="AW372" s="18"/>
    </row>
    <row r="373" spans="1:49" hidden="1" outlineLevel="1">
      <c r="A373" s="64" t="s">
        <v>114</v>
      </c>
      <c r="N373" s="86"/>
      <c r="O373" s="86"/>
      <c r="P373" s="86"/>
      <c r="Q373" s="86"/>
      <c r="R373" s="44">
        <v>158</v>
      </c>
      <c r="S373" s="44">
        <v>145</v>
      </c>
      <c r="T373" s="44">
        <v>115</v>
      </c>
      <c r="U373" s="44">
        <v>265</v>
      </c>
      <c r="V373" s="44">
        <v>123</v>
      </c>
      <c r="W373" s="44">
        <v>140</v>
      </c>
      <c r="X373" s="44">
        <v>136</v>
      </c>
      <c r="Y373" s="44">
        <v>159</v>
      </c>
      <c r="Z373" s="44">
        <v>139</v>
      </c>
      <c r="AA373" s="44">
        <v>104</v>
      </c>
      <c r="AT373" s="18"/>
      <c r="AU373" s="18"/>
      <c r="AV373" s="18"/>
      <c r="AW373" s="18"/>
    </row>
    <row r="374" spans="1:49" ht="16.5" hidden="1" outlineLevel="1" thickBot="1">
      <c r="A374" s="65" t="s">
        <v>115</v>
      </c>
      <c r="N374" s="86"/>
      <c r="O374" s="86"/>
      <c r="P374" s="86"/>
      <c r="Q374" s="86"/>
      <c r="R374" s="45">
        <v>12</v>
      </c>
      <c r="S374" s="45">
        <v>0</v>
      </c>
      <c r="T374" s="45">
        <v>1</v>
      </c>
      <c r="U374" s="45">
        <v>-28</v>
      </c>
      <c r="V374" s="45">
        <v>6</v>
      </c>
      <c r="W374" s="45">
        <v>-3</v>
      </c>
      <c r="X374" s="45">
        <v>-32</v>
      </c>
      <c r="Y374" s="45">
        <v>-5</v>
      </c>
      <c r="Z374" s="45">
        <v>-20</v>
      </c>
      <c r="AA374" s="45">
        <v>26</v>
      </c>
      <c r="AT374" s="18"/>
      <c r="AU374" s="18"/>
      <c r="AV374" s="18"/>
      <c r="AW374" s="18"/>
    </row>
    <row r="375" spans="1:49" ht="16.5" hidden="1" outlineLevel="1" thickBot="1">
      <c r="A375" s="38"/>
      <c r="N375" s="86"/>
      <c r="O375" s="86"/>
      <c r="P375" s="86"/>
      <c r="Q375" s="86"/>
      <c r="R375" s="568"/>
      <c r="S375" s="568"/>
      <c r="T375" s="568"/>
      <c r="U375" s="568"/>
      <c r="V375" s="568"/>
      <c r="W375" s="568"/>
      <c r="X375" s="568"/>
      <c r="Y375" s="568"/>
      <c r="Z375" s="568"/>
      <c r="AA375" s="568"/>
      <c r="AT375" s="18"/>
      <c r="AU375" s="18"/>
      <c r="AV375" s="18"/>
      <c r="AW375" s="18"/>
    </row>
    <row r="376" spans="1:49" hidden="1" outlineLevel="1">
      <c r="A376" s="39" t="s">
        <v>98</v>
      </c>
      <c r="N376" s="78">
        <v>260.60000000000002</v>
      </c>
      <c r="O376" s="78">
        <v>260.60000000000002</v>
      </c>
      <c r="P376" s="78">
        <v>263.89999999999998</v>
      </c>
      <c r="Q376" s="78">
        <v>270.10000000000002</v>
      </c>
      <c r="R376" s="55">
        <v>282.39999999999998</v>
      </c>
      <c r="S376" s="55">
        <v>294.5</v>
      </c>
      <c r="T376" s="55">
        <v>306.7</v>
      </c>
      <c r="U376" s="55">
        <v>305.2</v>
      </c>
      <c r="V376" s="55">
        <v>309.89999999999998</v>
      </c>
      <c r="W376" s="55">
        <v>313.10000000000002</v>
      </c>
      <c r="X376" s="55">
        <v>314.60000000000002</v>
      </c>
      <c r="Y376" s="55">
        <v>321.3</v>
      </c>
      <c r="Z376" s="55">
        <v>301.3</v>
      </c>
      <c r="AA376" s="55">
        <v>314.89999999999998</v>
      </c>
      <c r="AT376" s="18"/>
      <c r="AU376" s="18"/>
      <c r="AV376" s="18"/>
      <c r="AW376" s="18"/>
    </row>
    <row r="377" spans="1:49" ht="16.5" hidden="1" outlineLevel="1" thickBot="1">
      <c r="A377" s="34" t="s">
        <v>99</v>
      </c>
      <c r="N377" s="79">
        <v>6.7</v>
      </c>
      <c r="O377" s="79">
        <v>1.9</v>
      </c>
      <c r="P377" s="79">
        <v>5</v>
      </c>
      <c r="Q377" s="79">
        <v>2.2999999999999998</v>
      </c>
      <c r="R377" s="56">
        <v>6.9</v>
      </c>
      <c r="S377" s="56">
        <v>4.9000000000000004</v>
      </c>
      <c r="T377" s="56">
        <v>3.3</v>
      </c>
      <c r="U377" s="56">
        <v>-8.6</v>
      </c>
      <c r="V377" s="56">
        <v>9.1999999999999993</v>
      </c>
      <c r="W377" s="56">
        <v>8.1</v>
      </c>
      <c r="X377" s="56">
        <v>5.6</v>
      </c>
      <c r="Y377" s="56">
        <v>3.6</v>
      </c>
      <c r="Z377" s="56">
        <v>1.5</v>
      </c>
      <c r="AA377" s="56">
        <v>3.5</v>
      </c>
      <c r="AT377" s="18"/>
      <c r="AU377" s="18"/>
      <c r="AV377" s="18"/>
      <c r="AW377" s="18"/>
    </row>
    <row r="378" spans="1:49" hidden="1" outlineLevel="1">
      <c r="A378" s="35"/>
      <c r="N378" s="563"/>
      <c r="O378" s="563"/>
      <c r="P378" s="563"/>
      <c r="Q378" s="563"/>
      <c r="R378" s="573"/>
      <c r="S378" s="573"/>
      <c r="T378" s="573"/>
      <c r="U378" s="573"/>
      <c r="V378" s="573"/>
      <c r="W378" s="573"/>
      <c r="X378" s="573"/>
      <c r="Y378" s="573"/>
      <c r="Z378" s="573"/>
      <c r="AA378" s="573"/>
      <c r="AT378" s="18"/>
      <c r="AU378" s="18"/>
      <c r="AV378" s="18"/>
      <c r="AW378" s="18"/>
    </row>
    <row r="379" spans="1:49" s="822" customFormat="1" ht="21.75" collapsed="1" thickBot="1">
      <c r="A379" s="821" t="s">
        <v>116</v>
      </c>
      <c r="N379" s="823"/>
      <c r="O379" s="823"/>
      <c r="P379" s="823"/>
      <c r="Q379" s="823"/>
      <c r="R379" s="823"/>
      <c r="S379" s="823"/>
      <c r="T379" s="823"/>
      <c r="U379" s="823"/>
      <c r="V379" s="823"/>
      <c r="W379" s="823"/>
      <c r="X379" s="823"/>
      <c r="Y379" s="823"/>
      <c r="Z379" s="823"/>
      <c r="AA379" s="823"/>
      <c r="AB379" s="824"/>
      <c r="AC379" s="824"/>
      <c r="AD379" s="824"/>
      <c r="AE379" s="824"/>
      <c r="AF379" s="824"/>
      <c r="AG379" s="824"/>
      <c r="AH379" s="824"/>
      <c r="AI379" s="824"/>
      <c r="AJ379" s="824"/>
      <c r="AK379" s="824"/>
      <c r="AL379" s="824"/>
      <c r="AM379" s="824"/>
      <c r="AN379" s="824"/>
      <c r="AO379" s="824"/>
      <c r="AP379" s="824"/>
      <c r="AQ379" s="824"/>
      <c r="AR379" s="824"/>
      <c r="AS379" s="824"/>
      <c r="AT379" s="824"/>
      <c r="AU379" s="824"/>
      <c r="AV379" s="824"/>
      <c r="AW379" s="824"/>
    </row>
    <row r="380" spans="1:49" s="295" customFormat="1">
      <c r="A380" s="294" t="s">
        <v>82</v>
      </c>
      <c r="N380" s="574"/>
      <c r="O380" s="296"/>
      <c r="P380" s="296"/>
      <c r="Q380" s="296"/>
      <c r="R380" s="296"/>
      <c r="S380" s="296"/>
      <c r="T380" s="296"/>
      <c r="U380" s="296"/>
      <c r="V380" s="296"/>
      <c r="W380" s="296"/>
      <c r="X380" s="296"/>
      <c r="Y380" s="296"/>
      <c r="Z380" s="296"/>
      <c r="AA380" s="296"/>
      <c r="AB380" s="297"/>
      <c r="AC380" s="297"/>
      <c r="AD380" s="297"/>
      <c r="AE380" s="297"/>
      <c r="AF380" s="297"/>
      <c r="AG380" s="297"/>
      <c r="AH380" s="297"/>
      <c r="AI380" s="297"/>
      <c r="AJ380" s="297"/>
      <c r="AK380" s="297"/>
      <c r="AL380" s="297"/>
      <c r="AM380" s="297"/>
      <c r="AN380" s="297"/>
      <c r="AO380" s="297"/>
      <c r="AP380" s="297"/>
      <c r="AQ380" s="297"/>
      <c r="AR380" s="297"/>
      <c r="AS380" s="297"/>
      <c r="AT380" s="297"/>
      <c r="AU380" s="297"/>
      <c r="AV380" s="297"/>
      <c r="AW380" s="297"/>
    </row>
    <row r="381" spans="1:49" s="298" customFormat="1">
      <c r="A381" s="805" t="s">
        <v>67</v>
      </c>
      <c r="N381" s="299" t="e">
        <f t="shared" ref="N381:AA381" si="444">N385/N413</f>
        <v>#DIV/0!</v>
      </c>
      <c r="O381" s="299" t="e">
        <f t="shared" si="444"/>
        <v>#DIV/0!</v>
      </c>
      <c r="P381" s="299" t="e">
        <f t="shared" si="444"/>
        <v>#DIV/0!</v>
      </c>
      <c r="Q381" s="299" t="e">
        <f t="shared" si="444"/>
        <v>#DIV/0!</v>
      </c>
      <c r="R381" s="299" t="e">
        <f t="shared" si="444"/>
        <v>#DIV/0!</v>
      </c>
      <c r="S381" s="299" t="e">
        <f t="shared" si="444"/>
        <v>#DIV/0!</v>
      </c>
      <c r="T381" s="299" t="e">
        <f t="shared" si="444"/>
        <v>#DIV/0!</v>
      </c>
      <c r="U381" s="299" t="e">
        <f t="shared" si="444"/>
        <v>#DIV/0!</v>
      </c>
      <c r="V381" s="299">
        <f t="shared" si="444"/>
        <v>2.899163470540271E-3</v>
      </c>
      <c r="W381" s="299">
        <f t="shared" si="444"/>
        <v>3.0731952365473832E-3</v>
      </c>
      <c r="X381" s="299">
        <f t="shared" si="444"/>
        <v>3.3061686145993445E-3</v>
      </c>
      <c r="Y381" s="299">
        <f t="shared" si="444"/>
        <v>3.648516919649074E-3</v>
      </c>
      <c r="Z381" s="299">
        <f t="shared" si="444"/>
        <v>3.7870223829979651E-3</v>
      </c>
      <c r="AA381" s="299">
        <f t="shared" si="444"/>
        <v>3.7817681749662815E-3</v>
      </c>
      <c r="AB381" s="299">
        <f t="shared" ref="AB381" si="445">AB385/AB413</f>
        <v>4.1118208383976833E-3</v>
      </c>
      <c r="AC381" s="299">
        <f t="shared" ref="AC381:AF381" si="446">AC385/AC413</f>
        <v>4.136143917875118E-3</v>
      </c>
      <c r="AD381" s="299">
        <f t="shared" si="446"/>
        <v>4.1171425070457048E-3</v>
      </c>
      <c r="AE381" s="299">
        <f t="shared" si="446"/>
        <v>3.869541182974019E-3</v>
      </c>
      <c r="AF381" s="299">
        <f t="shared" si="446"/>
        <v>3.3437050109134817E-3</v>
      </c>
      <c r="AG381" s="300">
        <f t="shared" ref="AG381" si="447">AVERAGE(AC381:AF381)</f>
        <v>3.8666331547020805E-3</v>
      </c>
      <c r="AH381" s="300">
        <f t="shared" ref="AH381:AS381" si="448">AG381</f>
        <v>3.8666331547020805E-3</v>
      </c>
      <c r="AI381" s="300">
        <f t="shared" si="448"/>
        <v>3.8666331547020805E-3</v>
      </c>
      <c r="AJ381" s="300">
        <f t="shared" si="448"/>
        <v>3.8666331547020805E-3</v>
      </c>
      <c r="AK381" s="300">
        <f t="shared" si="448"/>
        <v>3.8666331547020805E-3</v>
      </c>
      <c r="AL381" s="300">
        <f t="shared" si="448"/>
        <v>3.8666331547020805E-3</v>
      </c>
      <c r="AM381" s="300">
        <f t="shared" si="448"/>
        <v>3.8666331547020805E-3</v>
      </c>
      <c r="AN381" s="300">
        <f t="shared" si="448"/>
        <v>3.8666331547020805E-3</v>
      </c>
      <c r="AO381" s="300">
        <f t="shared" si="448"/>
        <v>3.8666331547020805E-3</v>
      </c>
      <c r="AP381" s="300">
        <f t="shared" si="448"/>
        <v>3.8666331547020805E-3</v>
      </c>
      <c r="AQ381" s="300">
        <f t="shared" si="448"/>
        <v>3.8666331547020805E-3</v>
      </c>
      <c r="AR381" s="300">
        <f t="shared" si="448"/>
        <v>3.8666331547020805E-3</v>
      </c>
      <c r="AS381" s="300">
        <f t="shared" si="448"/>
        <v>3.8666331547020805E-3</v>
      </c>
      <c r="AT381" s="300">
        <f t="shared" ref="AT381:AT382" si="449">AS381</f>
        <v>3.8666331547020805E-3</v>
      </c>
      <c r="AU381" s="300">
        <f t="shared" ref="AU381:AU382" si="450">AT381</f>
        <v>3.8666331547020805E-3</v>
      </c>
      <c r="AV381" s="300">
        <f t="shared" ref="AV381:AV382" si="451">AU381</f>
        <v>3.8666331547020805E-3</v>
      </c>
      <c r="AW381" s="300">
        <f t="shared" ref="AW381:AW382" si="452">AV381</f>
        <v>3.8666331547020805E-3</v>
      </c>
    </row>
    <row r="382" spans="1:49" s="806" customFormat="1">
      <c r="A382" s="805" t="s">
        <v>83</v>
      </c>
      <c r="N382" s="299">
        <f t="shared" ref="N382:AA382" si="453">N386/N407</f>
        <v>0.3928266438941076</v>
      </c>
      <c r="O382" s="299">
        <f t="shared" si="453"/>
        <v>0.46551724137931033</v>
      </c>
      <c r="P382" s="299">
        <f t="shared" si="453"/>
        <v>0.46968403074295478</v>
      </c>
      <c r="Q382" s="299">
        <f t="shared" si="453"/>
        <v>0.36273701566364386</v>
      </c>
      <c r="R382" s="299">
        <f t="shared" si="453"/>
        <v>0.40944881889763779</v>
      </c>
      <c r="S382" s="299">
        <f t="shared" si="453"/>
        <v>0.43768545994065278</v>
      </c>
      <c r="T382" s="299">
        <f t="shared" si="453"/>
        <v>0.38229376257545272</v>
      </c>
      <c r="U382" s="299">
        <f t="shared" si="453"/>
        <v>0.4584717607973422</v>
      </c>
      <c r="V382" s="299">
        <f t="shared" si="453"/>
        <v>0.46571798188874519</v>
      </c>
      <c r="W382" s="299">
        <f t="shared" si="453"/>
        <v>0.40410519563822961</v>
      </c>
      <c r="X382" s="299">
        <f t="shared" si="453"/>
        <v>0.46728971962616822</v>
      </c>
      <c r="Y382" s="299">
        <f t="shared" si="453"/>
        <v>0.39893617021276595</v>
      </c>
      <c r="Z382" s="299">
        <f t="shared" si="453"/>
        <v>0.48796791443850268</v>
      </c>
      <c r="AA382" s="299">
        <f t="shared" si="453"/>
        <v>0.44219835754895764</v>
      </c>
      <c r="AB382" s="299">
        <f t="shared" ref="AB382:AF382" si="454">AB386/AB407</f>
        <v>0.39644970414201186</v>
      </c>
      <c r="AC382" s="299">
        <f t="shared" si="454"/>
        <v>0.50329538645895744</v>
      </c>
      <c r="AD382" s="299">
        <f t="shared" si="454"/>
        <v>0.50732807215332576</v>
      </c>
      <c r="AE382" s="299">
        <f t="shared" si="454"/>
        <v>0.52868391451068608</v>
      </c>
      <c r="AF382" s="299">
        <f t="shared" si="454"/>
        <v>0.51052631578947372</v>
      </c>
      <c r="AG382" s="807">
        <f t="shared" ref="AG382" si="455">AVERAGE(AC382:AF382)</f>
        <v>0.51245842222811078</v>
      </c>
      <c r="AH382" s="807">
        <f t="shared" ref="AH382:AS382" si="456">AG382</f>
        <v>0.51245842222811078</v>
      </c>
      <c r="AI382" s="807">
        <f t="shared" si="456"/>
        <v>0.51245842222811078</v>
      </c>
      <c r="AJ382" s="807">
        <f t="shared" si="456"/>
        <v>0.51245842222811078</v>
      </c>
      <c r="AK382" s="807">
        <f t="shared" si="456"/>
        <v>0.51245842222811078</v>
      </c>
      <c r="AL382" s="807">
        <f t="shared" si="456"/>
        <v>0.51245842222811078</v>
      </c>
      <c r="AM382" s="807">
        <f t="shared" si="456"/>
        <v>0.51245842222811078</v>
      </c>
      <c r="AN382" s="807">
        <f t="shared" si="456"/>
        <v>0.51245842222811078</v>
      </c>
      <c r="AO382" s="807">
        <f t="shared" si="456"/>
        <v>0.51245842222811078</v>
      </c>
      <c r="AP382" s="807">
        <f t="shared" si="456"/>
        <v>0.51245842222811078</v>
      </c>
      <c r="AQ382" s="807">
        <f t="shared" si="456"/>
        <v>0.51245842222811078</v>
      </c>
      <c r="AR382" s="807">
        <f t="shared" si="456"/>
        <v>0.51245842222811078</v>
      </c>
      <c r="AS382" s="807">
        <f t="shared" si="456"/>
        <v>0.51245842222811078</v>
      </c>
      <c r="AT382" s="807">
        <f t="shared" si="449"/>
        <v>0.51245842222811078</v>
      </c>
      <c r="AU382" s="807">
        <f t="shared" si="450"/>
        <v>0.51245842222811078</v>
      </c>
      <c r="AV382" s="807">
        <f t="shared" si="451"/>
        <v>0.51245842222811078</v>
      </c>
      <c r="AW382" s="807">
        <f t="shared" si="452"/>
        <v>0.51245842222811078</v>
      </c>
    </row>
    <row r="383" spans="1:49" s="806" customFormat="1">
      <c r="A383" s="805" t="s">
        <v>103</v>
      </c>
      <c r="N383" s="299">
        <f t="shared" ref="N383:AA383" si="457">N387/N407</f>
        <v>0.88812980358667815</v>
      </c>
      <c r="O383" s="299">
        <f t="shared" si="457"/>
        <v>0.94827586206896552</v>
      </c>
      <c r="P383" s="299">
        <f t="shared" si="457"/>
        <v>0.69171648163962429</v>
      </c>
      <c r="Q383" s="299">
        <f t="shared" si="457"/>
        <v>0.56059356966199503</v>
      </c>
      <c r="R383" s="299">
        <f t="shared" si="457"/>
        <v>0.83464566929133854</v>
      </c>
      <c r="S383" s="299">
        <f t="shared" si="457"/>
        <v>0.66023738872403559</v>
      </c>
      <c r="T383" s="299">
        <f t="shared" si="457"/>
        <v>0.73105298457411139</v>
      </c>
      <c r="U383" s="299">
        <f t="shared" si="457"/>
        <v>0.71096345514950166</v>
      </c>
      <c r="V383" s="299">
        <f t="shared" si="457"/>
        <v>0.83441138421733507</v>
      </c>
      <c r="W383" s="299">
        <f t="shared" si="457"/>
        <v>0.89801154586273246</v>
      </c>
      <c r="X383" s="299">
        <f t="shared" si="457"/>
        <v>0.74047447879223582</v>
      </c>
      <c r="Y383" s="299">
        <f t="shared" si="457"/>
        <v>0.55851063829787229</v>
      </c>
      <c r="Z383" s="299">
        <f t="shared" si="457"/>
        <v>0.85561497326203206</v>
      </c>
      <c r="AA383" s="299">
        <f t="shared" si="457"/>
        <v>0.78332280480101069</v>
      </c>
      <c r="AB383" s="299">
        <f t="shared" ref="AB383:AF383" si="458">AB387/AB407</f>
        <v>0.7100591715976331</v>
      </c>
      <c r="AC383" s="299">
        <f t="shared" si="458"/>
        <v>0.7309766327142001</v>
      </c>
      <c r="AD383" s="299">
        <f t="shared" si="458"/>
        <v>0.86809470124013521</v>
      </c>
      <c r="AE383" s="299">
        <f t="shared" si="458"/>
        <v>0.83802024746906634</v>
      </c>
      <c r="AF383" s="299">
        <f t="shared" si="458"/>
        <v>0.83684210526315794</v>
      </c>
      <c r="AG383" s="807">
        <f t="shared" ref="AG383" si="459">AVERAGE(AC383,Y383,U383)</f>
        <v>0.66681690872052479</v>
      </c>
      <c r="AH383" s="807">
        <f t="shared" ref="AH383" si="460">AVERAGE(AD383,Z383,V383)</f>
        <v>0.85270701957316752</v>
      </c>
      <c r="AI383" s="807">
        <f t="shared" ref="AI383" si="461">AVERAGE(AE383,AA383,W383)</f>
        <v>0.83978486604426994</v>
      </c>
      <c r="AJ383" s="807">
        <f t="shared" ref="AJ383" si="462">AVERAGE(AF383,AB383,X383)</f>
        <v>0.76245858521767562</v>
      </c>
      <c r="AK383" s="807">
        <f>AG383</f>
        <v>0.66681690872052479</v>
      </c>
      <c r="AL383" s="807">
        <f t="shared" ref="AL383:AS383" si="463">AH383</f>
        <v>0.85270701957316752</v>
      </c>
      <c r="AM383" s="807">
        <f t="shared" si="463"/>
        <v>0.83978486604426994</v>
      </c>
      <c r="AN383" s="807">
        <f t="shared" si="463"/>
        <v>0.76245858521767562</v>
      </c>
      <c r="AO383" s="807">
        <f t="shared" si="463"/>
        <v>0.66681690872052479</v>
      </c>
      <c r="AP383" s="807">
        <f t="shared" si="463"/>
        <v>0.85270701957316752</v>
      </c>
      <c r="AQ383" s="807">
        <f t="shared" si="463"/>
        <v>0.83978486604426994</v>
      </c>
      <c r="AR383" s="807">
        <f t="shared" si="463"/>
        <v>0.76245858521767562</v>
      </c>
      <c r="AS383" s="807">
        <f t="shared" si="463"/>
        <v>0.66681690872052479</v>
      </c>
      <c r="AT383" s="807">
        <f t="shared" ref="AT383" si="464">AP383</f>
        <v>0.85270701957316752</v>
      </c>
      <c r="AU383" s="807">
        <f t="shared" ref="AU383" si="465">AQ383</f>
        <v>0.83978486604426994</v>
      </c>
      <c r="AV383" s="807">
        <f t="shared" ref="AV383" si="466">AR383</f>
        <v>0.76245858521767562</v>
      </c>
      <c r="AW383" s="807">
        <f t="shared" ref="AW383" si="467">AS383</f>
        <v>0.66681690872052479</v>
      </c>
    </row>
    <row r="384" spans="1:49" s="301" customFormat="1">
      <c r="A384" s="348" t="s">
        <v>189</v>
      </c>
      <c r="N384" s="302">
        <f t="shared" ref="N384:Z384" si="468">N388/SUM(N385:N387)</f>
        <v>0</v>
      </c>
      <c r="O384" s="302">
        <f t="shared" si="468"/>
        <v>0</v>
      </c>
      <c r="P384" s="302">
        <f t="shared" si="468"/>
        <v>0</v>
      </c>
      <c r="Q384" s="302">
        <f t="shared" si="468"/>
        <v>0</v>
      </c>
      <c r="R384" s="302">
        <f t="shared" si="468"/>
        <v>0</v>
      </c>
      <c r="S384" s="302">
        <f t="shared" si="468"/>
        <v>0</v>
      </c>
      <c r="T384" s="302">
        <f t="shared" si="468"/>
        <v>-3.6496350364963502E-3</v>
      </c>
      <c r="U384" s="302">
        <f t="shared" si="468"/>
        <v>3.6764705882352941E-3</v>
      </c>
      <c r="V384" s="302">
        <f t="shared" si="468"/>
        <v>0</v>
      </c>
      <c r="W384" s="302">
        <f t="shared" si="468"/>
        <v>0</v>
      </c>
      <c r="X384" s="302">
        <f t="shared" si="468"/>
        <v>7.4468085106382975E-2</v>
      </c>
      <c r="Y384" s="302">
        <f t="shared" si="468"/>
        <v>-1.4545454545454545E-2</v>
      </c>
      <c r="Z384" s="302">
        <f t="shared" si="468"/>
        <v>-4.7761194029850747E-2</v>
      </c>
      <c r="AA384" s="302">
        <f>AA388/SUM(AA385:AA387)</f>
        <v>0</v>
      </c>
      <c r="AB384" s="302">
        <f>AB388/SUM(AB385:AB387)</f>
        <v>0</v>
      </c>
      <c r="AC384" s="302">
        <f t="shared" ref="AC384:AF384" si="469">AC388/SUM(AC385:AC387)</f>
        <v>0</v>
      </c>
      <c r="AD384" s="302">
        <f t="shared" si="469"/>
        <v>-2.4271844660194173E-3</v>
      </c>
      <c r="AE384" s="302">
        <f t="shared" si="469"/>
        <v>2.4752475247524753E-3</v>
      </c>
      <c r="AF384" s="302">
        <f t="shared" si="469"/>
        <v>0</v>
      </c>
      <c r="AG384" s="303">
        <f t="shared" ref="AG384" si="470">AVERAGE(AC384:AF384)</f>
        <v>1.2015764683264503E-5</v>
      </c>
      <c r="AH384" s="303">
        <f t="shared" ref="AH384:AS384" si="471">AG384</f>
        <v>1.2015764683264503E-5</v>
      </c>
      <c r="AI384" s="303">
        <f t="shared" si="471"/>
        <v>1.2015764683264503E-5</v>
      </c>
      <c r="AJ384" s="303">
        <f t="shared" si="471"/>
        <v>1.2015764683264503E-5</v>
      </c>
      <c r="AK384" s="303">
        <f t="shared" si="471"/>
        <v>1.2015764683264503E-5</v>
      </c>
      <c r="AL384" s="303">
        <f t="shared" si="471"/>
        <v>1.2015764683264503E-5</v>
      </c>
      <c r="AM384" s="303">
        <f t="shared" si="471"/>
        <v>1.2015764683264503E-5</v>
      </c>
      <c r="AN384" s="303">
        <f t="shared" si="471"/>
        <v>1.2015764683264503E-5</v>
      </c>
      <c r="AO384" s="303">
        <f t="shared" si="471"/>
        <v>1.2015764683264503E-5</v>
      </c>
      <c r="AP384" s="303">
        <f t="shared" si="471"/>
        <v>1.2015764683264503E-5</v>
      </c>
      <c r="AQ384" s="303">
        <f t="shared" si="471"/>
        <v>1.2015764683264503E-5</v>
      </c>
      <c r="AR384" s="303">
        <f t="shared" si="471"/>
        <v>1.2015764683264503E-5</v>
      </c>
      <c r="AS384" s="303">
        <f t="shared" si="471"/>
        <v>1.2015764683264503E-5</v>
      </c>
      <c r="AT384" s="303">
        <f t="shared" ref="AT384" si="472">AS384</f>
        <v>1.2015764683264503E-5</v>
      </c>
      <c r="AU384" s="303">
        <f t="shared" ref="AU384" si="473">AT384</f>
        <v>1.2015764683264503E-5</v>
      </c>
      <c r="AV384" s="303">
        <f t="shared" ref="AV384" si="474">AU384</f>
        <v>1.2015764683264503E-5</v>
      </c>
      <c r="AW384" s="303">
        <f t="shared" ref="AW384" si="475">AV384</f>
        <v>1.2015764683264503E-5</v>
      </c>
    </row>
    <row r="385" spans="1:49" s="295" customFormat="1">
      <c r="A385" s="317" t="s">
        <v>67</v>
      </c>
      <c r="N385" s="574">
        <v>96</v>
      </c>
      <c r="O385" s="574">
        <v>104</v>
      </c>
      <c r="P385" s="574">
        <v>103</v>
      </c>
      <c r="Q385" s="574">
        <v>99</v>
      </c>
      <c r="R385" s="304">
        <v>94</v>
      </c>
      <c r="S385" s="304">
        <v>91</v>
      </c>
      <c r="T385" s="304">
        <v>108</v>
      </c>
      <c r="U385" s="304">
        <v>96</v>
      </c>
      <c r="V385" s="304">
        <v>96</v>
      </c>
      <c r="W385" s="304">
        <v>104</v>
      </c>
      <c r="X385" s="304">
        <v>114</v>
      </c>
      <c r="Y385" s="304">
        <v>131</v>
      </c>
      <c r="Z385" s="304">
        <v>134</v>
      </c>
      <c r="AA385" s="304">
        <v>143</v>
      </c>
      <c r="AB385" s="304">
        <v>159</v>
      </c>
      <c r="AC385" s="304">
        <v>166</v>
      </c>
      <c r="AD385" s="304">
        <v>168</v>
      </c>
      <c r="AE385" s="304">
        <v>161</v>
      </c>
      <c r="AF385" s="304">
        <v>144</v>
      </c>
      <c r="AG385" s="305">
        <f>AG381*AG413</f>
        <v>175.3822216053822</v>
      </c>
      <c r="AH385" s="305">
        <f t="shared" ref="AH385:AW385" si="476">AH381*AH413</f>
        <v>185.17807970896681</v>
      </c>
      <c r="AI385" s="305">
        <f t="shared" si="476"/>
        <v>195.52107899429259</v>
      </c>
      <c r="AJ385" s="305">
        <f t="shared" si="476"/>
        <v>206.441779670541</v>
      </c>
      <c r="AK385" s="305">
        <f t="shared" si="476"/>
        <v>217.97244886718457</v>
      </c>
      <c r="AL385" s="305">
        <f t="shared" si="476"/>
        <v>230.31411376015365</v>
      </c>
      <c r="AM385" s="305">
        <f t="shared" si="476"/>
        <v>243.35456739051568</v>
      </c>
      <c r="AN385" s="305">
        <f t="shared" si="476"/>
        <v>257.13337538444364</v>
      </c>
      <c r="AO385" s="305">
        <f t="shared" si="476"/>
        <v>271.69234358563352</v>
      </c>
      <c r="AP385" s="305">
        <f t="shared" si="476"/>
        <v>287.00712210696838</v>
      </c>
      <c r="AQ385" s="305">
        <f t="shared" si="476"/>
        <v>303.18516544490501</v>
      </c>
      <c r="AR385" s="305">
        <f t="shared" si="476"/>
        <v>320.27513418846485</v>
      </c>
      <c r="AS385" s="305">
        <f t="shared" si="476"/>
        <v>338.32843183113903</v>
      </c>
      <c r="AT385" s="305">
        <f t="shared" si="476"/>
        <v>357.19460640332875</v>
      </c>
      <c r="AU385" s="305">
        <f t="shared" si="476"/>
        <v>377.11281358496234</v>
      </c>
      <c r="AV385" s="305">
        <f t="shared" si="476"/>
        <v>398.14171776542599</v>
      </c>
      <c r="AW385" s="305">
        <f t="shared" si="476"/>
        <v>420.34325463059554</v>
      </c>
    </row>
    <row r="386" spans="1:49" s="321" customFormat="1">
      <c r="A386" s="317" t="s">
        <v>83</v>
      </c>
      <c r="N386" s="661">
        <v>46</v>
      </c>
      <c r="O386" s="661">
        <v>54</v>
      </c>
      <c r="P386" s="661">
        <v>55</v>
      </c>
      <c r="Q386" s="661">
        <v>44</v>
      </c>
      <c r="R386" s="304">
        <v>52</v>
      </c>
      <c r="S386" s="304">
        <v>59</v>
      </c>
      <c r="T386" s="304">
        <v>57</v>
      </c>
      <c r="U386" s="304">
        <v>69</v>
      </c>
      <c r="V386" s="304">
        <v>72</v>
      </c>
      <c r="W386" s="304">
        <v>63</v>
      </c>
      <c r="X386" s="304">
        <v>65</v>
      </c>
      <c r="Y386" s="304">
        <v>60</v>
      </c>
      <c r="Z386" s="304">
        <v>73</v>
      </c>
      <c r="AA386" s="304">
        <v>70</v>
      </c>
      <c r="AB386" s="304">
        <v>67</v>
      </c>
      <c r="AC386" s="304">
        <v>84</v>
      </c>
      <c r="AD386" s="304">
        <v>90</v>
      </c>
      <c r="AE386" s="304">
        <v>94</v>
      </c>
      <c r="AF386" s="304">
        <v>97</v>
      </c>
      <c r="AG386" s="808">
        <f t="shared" ref="AG386:AS386" si="477">AG407*AG382</f>
        <v>99.302817372191839</v>
      </c>
      <c r="AH386" s="808">
        <f t="shared" si="477"/>
        <v>101.2770177548224</v>
      </c>
      <c r="AI386" s="808">
        <f t="shared" si="477"/>
        <v>103.29046644131702</v>
      </c>
      <c r="AJ386" s="808">
        <f t="shared" si="477"/>
        <v>105.34394371181833</v>
      </c>
      <c r="AK386" s="808">
        <f t="shared" si="477"/>
        <v>107.43824535891262</v>
      </c>
      <c r="AL386" s="808">
        <f t="shared" si="477"/>
        <v>109.57418299602664</v>
      </c>
      <c r="AM386" s="808">
        <f t="shared" si="477"/>
        <v>111.75258437195544</v>
      </c>
      <c r="AN386" s="808">
        <f t="shared" si="477"/>
        <v>113.97429369164338</v>
      </c>
      <c r="AO386" s="808">
        <f t="shared" si="477"/>
        <v>116.24017194334245</v>
      </c>
      <c r="AP386" s="808">
        <f t="shared" si="477"/>
        <v>118.55109723227442</v>
      </c>
      <c r="AQ386" s="808">
        <f t="shared" si="477"/>
        <v>120.90796512092679</v>
      </c>
      <c r="AR386" s="808">
        <f t="shared" si="477"/>
        <v>123.31168897611383</v>
      </c>
      <c r="AS386" s="808">
        <f t="shared" si="477"/>
        <v>125.76320032293729</v>
      </c>
      <c r="AT386" s="808">
        <f t="shared" ref="AT386:AW386" si="478">AT407*AT382</f>
        <v>128.26344920578435</v>
      </c>
      <c r="AU386" s="808">
        <f t="shared" si="478"/>
        <v>130.81340455650221</v>
      </c>
      <c r="AV386" s="808">
        <f t="shared" si="478"/>
        <v>133.41405456989222</v>
      </c>
      <c r="AW386" s="808">
        <f t="shared" si="478"/>
        <v>136.06640708666919</v>
      </c>
    </row>
    <row r="387" spans="1:49" s="321" customFormat="1">
      <c r="A387" s="317" t="s">
        <v>103</v>
      </c>
      <c r="N387" s="661">
        <v>104</v>
      </c>
      <c r="O387" s="661">
        <v>110</v>
      </c>
      <c r="P387" s="661">
        <v>81</v>
      </c>
      <c r="Q387" s="661">
        <v>68</v>
      </c>
      <c r="R387" s="304">
        <v>106</v>
      </c>
      <c r="S387" s="304">
        <v>89</v>
      </c>
      <c r="T387" s="304">
        <v>109</v>
      </c>
      <c r="U387" s="304">
        <v>107</v>
      </c>
      <c r="V387" s="304">
        <v>129</v>
      </c>
      <c r="W387" s="304">
        <v>140</v>
      </c>
      <c r="X387" s="304">
        <v>103</v>
      </c>
      <c r="Y387" s="304">
        <v>84</v>
      </c>
      <c r="Z387" s="304">
        <v>128</v>
      </c>
      <c r="AA387" s="304">
        <v>124</v>
      </c>
      <c r="AB387" s="304">
        <v>120</v>
      </c>
      <c r="AC387" s="304">
        <v>122</v>
      </c>
      <c r="AD387" s="304">
        <v>154</v>
      </c>
      <c r="AE387" s="304">
        <v>149</v>
      </c>
      <c r="AF387" s="304">
        <v>159</v>
      </c>
      <c r="AG387" s="808">
        <f t="shared" ref="AG387:AS387" si="479">AG383*AG407</f>
        <v>129.21399051158278</v>
      </c>
      <c r="AH387" s="808">
        <f t="shared" si="479"/>
        <v>168.52025494183818</v>
      </c>
      <c r="AI387" s="808">
        <f t="shared" si="479"/>
        <v>169.265967269946</v>
      </c>
      <c r="AJ387" s="808">
        <f t="shared" si="479"/>
        <v>156.73543608579902</v>
      </c>
      <c r="AK387" s="808">
        <f t="shared" si="479"/>
        <v>139.79990481393145</v>
      </c>
      <c r="AL387" s="808">
        <f t="shared" si="479"/>
        <v>182.32635264040235</v>
      </c>
      <c r="AM387" s="808">
        <f t="shared" si="479"/>
        <v>183.13315778646509</v>
      </c>
      <c r="AN387" s="808">
        <f t="shared" si="479"/>
        <v>169.57605719792841</v>
      </c>
      <c r="AO387" s="808">
        <f t="shared" si="479"/>
        <v>151.25307490780088</v>
      </c>
      <c r="AP387" s="808">
        <f t="shared" si="479"/>
        <v>197.26352110389078</v>
      </c>
      <c r="AQ387" s="808">
        <f t="shared" si="479"/>
        <v>198.13642412450335</v>
      </c>
      <c r="AR387" s="808">
        <f t="shared" si="479"/>
        <v>183.4686519712981</v>
      </c>
      <c r="AS387" s="808">
        <f t="shared" si="479"/>
        <v>163.64455111406494</v>
      </c>
      <c r="AT387" s="808">
        <f t="shared" ref="AT387:AW387" si="480">AT383*AT407</f>
        <v>213.42442381355639</v>
      </c>
      <c r="AU387" s="808">
        <f t="shared" si="480"/>
        <v>214.36883980682683</v>
      </c>
      <c r="AV387" s="808">
        <f t="shared" si="480"/>
        <v>198.4994038213581</v>
      </c>
      <c r="AW387" s="808">
        <f t="shared" si="480"/>
        <v>177.05120458309878</v>
      </c>
    </row>
    <row r="388" spans="1:49" s="307" customFormat="1">
      <c r="A388" s="306" t="s">
        <v>189</v>
      </c>
      <c r="N388" s="575">
        <v>0</v>
      </c>
      <c r="O388" s="575">
        <v>0</v>
      </c>
      <c r="P388" s="575">
        <v>0</v>
      </c>
      <c r="Q388" s="575">
        <v>0</v>
      </c>
      <c r="R388" s="308">
        <v>0</v>
      </c>
      <c r="S388" s="308">
        <v>0</v>
      </c>
      <c r="T388" s="308">
        <v>-1</v>
      </c>
      <c r="U388" s="308">
        <v>1</v>
      </c>
      <c r="V388" s="308">
        <v>0</v>
      </c>
      <c r="W388" s="308">
        <v>0</v>
      </c>
      <c r="X388" s="308">
        <v>21</v>
      </c>
      <c r="Y388" s="308">
        <v>-4</v>
      </c>
      <c r="Z388" s="308">
        <v>-16</v>
      </c>
      <c r="AA388" s="308">
        <v>0</v>
      </c>
      <c r="AB388" s="308">
        <v>0</v>
      </c>
      <c r="AC388" s="308">
        <v>0</v>
      </c>
      <c r="AD388" s="308">
        <v>-1</v>
      </c>
      <c r="AE388" s="308">
        <v>1</v>
      </c>
      <c r="AF388" s="308">
        <v>0</v>
      </c>
      <c r="AG388" s="309">
        <f t="shared" ref="AG388:AS388" si="481">SUM(AG385:AG387)*AG384</f>
        <v>4.8531556941406187E-3</v>
      </c>
      <c r="AH388" s="309">
        <f t="shared" si="481"/>
        <v>5.4668767711913589E-3</v>
      </c>
      <c r="AI388" s="309">
        <f t="shared" si="481"/>
        <v>5.6243092461977064E-3</v>
      </c>
      <c r="AJ388" s="309">
        <f t="shared" si="481"/>
        <v>5.6296400012996331E-3</v>
      </c>
      <c r="AK388" s="309">
        <f t="shared" si="481"/>
        <v>5.5898610862254996E-3</v>
      </c>
      <c r="AL388" s="309">
        <f t="shared" si="481"/>
        <v>6.274808341302813E-3</v>
      </c>
      <c r="AM388" s="309">
        <f t="shared" si="481"/>
        <v>6.4673689025874616E-3</v>
      </c>
      <c r="AN388" s="309">
        <f t="shared" si="481"/>
        <v>6.4967284229791658E-3</v>
      </c>
      <c r="AO388" s="309">
        <f t="shared" si="481"/>
        <v>6.4787271752953417E-3</v>
      </c>
      <c r="AP388" s="309">
        <f t="shared" si="481"/>
        <v>7.2433641791206449E-3</v>
      </c>
      <c r="AQ388" s="309">
        <f t="shared" si="481"/>
        <v>7.4765639081315277E-3</v>
      </c>
      <c r="AR388" s="309">
        <f t="shared" si="481"/>
        <v>7.5345510325853116E-3</v>
      </c>
      <c r="AS388" s="309">
        <f t="shared" si="481"/>
        <v>7.5427302613205859E-3</v>
      </c>
      <c r="AT388" s="309">
        <f t="shared" ref="AT388:AW388" si="482">SUM(AT385:AT387)*AT384</f>
        <v>8.3976074139992425E-3</v>
      </c>
      <c r="AU388" s="309">
        <f t="shared" si="482"/>
        <v>8.6789274481915667E-3</v>
      </c>
      <c r="AV388" s="309">
        <f t="shared" si="482"/>
        <v>8.7721712024978367E-3</v>
      </c>
      <c r="AW388" s="309">
        <f t="shared" si="482"/>
        <v>8.8130931738484956E-3</v>
      </c>
    </row>
    <row r="389" spans="1:49" s="295" customFormat="1">
      <c r="A389" s="317" t="s">
        <v>118</v>
      </c>
      <c r="N389" s="574">
        <v>195</v>
      </c>
      <c r="O389" s="574">
        <v>111</v>
      </c>
      <c r="P389" s="574">
        <v>57</v>
      </c>
      <c r="Q389" s="574">
        <v>110</v>
      </c>
      <c r="R389" s="304">
        <v>171</v>
      </c>
      <c r="S389" s="304">
        <v>132</v>
      </c>
      <c r="T389" s="304">
        <v>272</v>
      </c>
      <c r="U389" s="304">
        <v>78</v>
      </c>
      <c r="V389" s="304">
        <v>248</v>
      </c>
      <c r="W389" s="304">
        <v>123</v>
      </c>
      <c r="X389" s="304">
        <v>98</v>
      </c>
      <c r="Y389" s="304">
        <v>139</v>
      </c>
      <c r="Z389" s="304">
        <v>250</v>
      </c>
      <c r="AA389" s="304">
        <v>167</v>
      </c>
      <c r="AB389" s="304">
        <v>148</v>
      </c>
      <c r="AC389" s="304">
        <v>32</v>
      </c>
      <c r="AD389" s="304">
        <v>58</v>
      </c>
      <c r="AE389" s="304">
        <v>101</v>
      </c>
      <c r="AF389" s="304">
        <v>80</v>
      </c>
      <c r="AG389" s="305">
        <f>AVERAGE(AC389:AF389)*0.995</f>
        <v>67.411249999999995</v>
      </c>
      <c r="AH389" s="305">
        <f>AG389*0.995</f>
        <v>67.074193749999992</v>
      </c>
      <c r="AI389" s="305">
        <f t="shared" ref="AI389:AS389" si="483">AH389*0.995</f>
        <v>66.738822781249993</v>
      </c>
      <c r="AJ389" s="305">
        <f t="shared" si="483"/>
        <v>66.405128667343746</v>
      </c>
      <c r="AK389" s="305">
        <f t="shared" si="483"/>
        <v>66.073103024007025</v>
      </c>
      <c r="AL389" s="305">
        <f t="shared" si="483"/>
        <v>65.742737508886989</v>
      </c>
      <c r="AM389" s="305">
        <f t="shared" si="483"/>
        <v>65.414023821342553</v>
      </c>
      <c r="AN389" s="305">
        <f t="shared" si="483"/>
        <v>65.086953702235846</v>
      </c>
      <c r="AO389" s="305">
        <f t="shared" si="483"/>
        <v>64.761518933724673</v>
      </c>
      <c r="AP389" s="305">
        <f t="shared" si="483"/>
        <v>64.437711339056051</v>
      </c>
      <c r="AQ389" s="305">
        <f t="shared" si="483"/>
        <v>64.11552278236077</v>
      </c>
      <c r="AR389" s="305">
        <f t="shared" si="483"/>
        <v>63.794945168448969</v>
      </c>
      <c r="AS389" s="305">
        <f t="shared" si="483"/>
        <v>63.475970442606723</v>
      </c>
      <c r="AT389" s="305">
        <f t="shared" ref="AT389" si="484">AS389*0.995</f>
        <v>63.158590590393686</v>
      </c>
      <c r="AU389" s="305">
        <f t="shared" ref="AU389" si="485">AT389*0.995</f>
        <v>62.84279763744172</v>
      </c>
      <c r="AV389" s="305">
        <f t="shared" ref="AV389" si="486">AU389*0.995</f>
        <v>62.528583649254514</v>
      </c>
      <c r="AW389" s="305">
        <f t="shared" ref="AW389" si="487">AV389*0.995</f>
        <v>62.215940731008239</v>
      </c>
    </row>
    <row r="390" spans="1:49" s="321" customFormat="1">
      <c r="A390" s="317" t="s">
        <v>119</v>
      </c>
      <c r="N390" s="661">
        <v>387</v>
      </c>
      <c r="O390" s="661">
        <v>382</v>
      </c>
      <c r="P390" s="661">
        <v>281</v>
      </c>
      <c r="Q390" s="661">
        <v>245</v>
      </c>
      <c r="R390" s="304">
        <v>373</v>
      </c>
      <c r="S390" s="304">
        <v>307</v>
      </c>
      <c r="T390" s="304">
        <v>372</v>
      </c>
      <c r="U390" s="304">
        <v>331</v>
      </c>
      <c r="V390" s="304">
        <v>488</v>
      </c>
      <c r="W390" s="304">
        <v>553</v>
      </c>
      <c r="X390" s="304">
        <v>452</v>
      </c>
      <c r="Y390" s="304">
        <v>379</v>
      </c>
      <c r="Z390" s="304">
        <v>295</v>
      </c>
      <c r="AA390" s="304">
        <v>340</v>
      </c>
      <c r="AB390" s="304">
        <v>339</v>
      </c>
      <c r="AC390" s="304">
        <v>270</v>
      </c>
      <c r="AD390" s="304">
        <v>234</v>
      </c>
      <c r="AE390" s="304">
        <v>188</v>
      </c>
      <c r="AF390" s="304">
        <v>262</v>
      </c>
      <c r="AG390" s="808">
        <f>AVERAGE(AC390:AF390)*1.005</f>
        <v>239.69249999999997</v>
      </c>
      <c r="AH390" s="808">
        <f>AG390*1.005</f>
        <v>240.89096249999994</v>
      </c>
      <c r="AI390" s="808">
        <f t="shared" ref="AI390:AS390" si="488">AH390*1.005</f>
        <v>242.0954173124999</v>
      </c>
      <c r="AJ390" s="808">
        <f t="shared" si="488"/>
        <v>243.30589439906237</v>
      </c>
      <c r="AK390" s="808">
        <f t="shared" si="488"/>
        <v>244.52242387105764</v>
      </c>
      <c r="AL390" s="808">
        <f t="shared" si="488"/>
        <v>245.7450359904129</v>
      </c>
      <c r="AM390" s="808">
        <f t="shared" si="488"/>
        <v>246.97376117036495</v>
      </c>
      <c r="AN390" s="808">
        <f t="shared" si="488"/>
        <v>248.20862997621674</v>
      </c>
      <c r="AO390" s="808">
        <f t="shared" si="488"/>
        <v>249.44967312609779</v>
      </c>
      <c r="AP390" s="808">
        <f t="shared" si="488"/>
        <v>250.69692149172826</v>
      </c>
      <c r="AQ390" s="808">
        <f t="shared" si="488"/>
        <v>251.95040609918686</v>
      </c>
      <c r="AR390" s="808">
        <f t="shared" si="488"/>
        <v>253.21015812968278</v>
      </c>
      <c r="AS390" s="808">
        <f t="shared" si="488"/>
        <v>254.47620892033117</v>
      </c>
      <c r="AT390" s="808">
        <f t="shared" ref="AT390" si="489">AS390*1.005</f>
        <v>255.74858996493279</v>
      </c>
      <c r="AU390" s="808">
        <f t="shared" ref="AU390" si="490">AT390*1.005</f>
        <v>257.02733291475744</v>
      </c>
      <c r="AV390" s="808">
        <f t="shared" ref="AV390" si="491">AU390*1.005</f>
        <v>258.31246957933121</v>
      </c>
      <c r="AW390" s="808">
        <f t="shared" ref="AW390" si="492">AV390*1.005</f>
        <v>259.60403192722782</v>
      </c>
    </row>
    <row r="391" spans="1:49" s="321" customFormat="1">
      <c r="A391" s="317" t="s">
        <v>120</v>
      </c>
      <c r="N391" s="661">
        <v>103</v>
      </c>
      <c r="O391" s="661">
        <v>86</v>
      </c>
      <c r="P391" s="661">
        <v>70</v>
      </c>
      <c r="Q391" s="661">
        <v>135</v>
      </c>
      <c r="R391" s="304">
        <v>79</v>
      </c>
      <c r="S391" s="304">
        <v>95</v>
      </c>
      <c r="T391" s="304">
        <v>133</v>
      </c>
      <c r="U391" s="304">
        <v>90</v>
      </c>
      <c r="V391" s="304">
        <v>72</v>
      </c>
      <c r="W391" s="304">
        <v>82</v>
      </c>
      <c r="X391" s="304">
        <v>58</v>
      </c>
      <c r="Y391" s="304">
        <v>80</v>
      </c>
      <c r="Z391" s="304">
        <v>72</v>
      </c>
      <c r="AA391" s="304">
        <v>100</v>
      </c>
      <c r="AB391" s="304">
        <v>115</v>
      </c>
      <c r="AC391" s="304">
        <v>188</v>
      </c>
      <c r="AD391" s="304">
        <v>178</v>
      </c>
      <c r="AE391" s="304">
        <v>154</v>
      </c>
      <c r="AF391" s="304">
        <v>148</v>
      </c>
      <c r="AG391" s="808">
        <f>SUM($AC$391:$AF$391)/SUM($AC$389:$AF$390,$AC$392:$AF$392)*SUM(AG389:AG390,AG392)</f>
        <v>167.46555510204081</v>
      </c>
      <c r="AH391" s="808">
        <f t="shared" ref="AH391:AS391" si="493">SUM($AC$391:$AF$391)/SUM($AC$389:$AF$390,$AC$392:$AF$392)*SUM(AH389:AH390,AH392)</f>
        <v>167.93528520408159</v>
      </c>
      <c r="AI391" s="808">
        <f t="shared" si="493"/>
        <v>168.40920194499992</v>
      </c>
      <c r="AJ391" s="808">
        <f t="shared" si="493"/>
        <v>168.88731706804842</v>
      </c>
      <c r="AK391" s="808">
        <f t="shared" si="493"/>
        <v>169.36964242114547</v>
      </c>
      <c r="AL391" s="808">
        <f t="shared" si="493"/>
        <v>169.85618995716925</v>
      </c>
      <c r="AM391" s="808">
        <f t="shared" si="493"/>
        <v>170.34697173425357</v>
      </c>
      <c r="AN391" s="808">
        <f t="shared" si="493"/>
        <v>170.84199991608679</v>
      </c>
      <c r="AO391" s="808">
        <f t="shared" si="493"/>
        <v>171.34128677221338</v>
      </c>
      <c r="AP391" s="808">
        <f t="shared" si="493"/>
        <v>171.84484467833789</v>
      </c>
      <c r="AQ391" s="808">
        <f t="shared" si="493"/>
        <v>172.35268611663167</v>
      </c>
      <c r="AR391" s="808">
        <f t="shared" si="493"/>
        <v>172.86482367604245</v>
      </c>
      <c r="AS391" s="808">
        <f t="shared" si="493"/>
        <v>173.38127005260614</v>
      </c>
      <c r="AT391" s="808">
        <f t="shared" ref="AT391:AW391" si="494">SUM($AC$391:$AF$391)/SUM($AC$389:$AF$390,$AC$392:$AF$392)*SUM(AT389:AT390,AT392)</f>
        <v>173.9020380497617</v>
      </c>
      <c r="AU391" s="808">
        <f t="shared" si="494"/>
        <v>174.4271405786686</v>
      </c>
      <c r="AV391" s="808">
        <f t="shared" si="494"/>
        <v>174.95659065852675</v>
      </c>
      <c r="AW391" s="808">
        <f t="shared" si="494"/>
        <v>175.49040141689932</v>
      </c>
    </row>
    <row r="392" spans="1:49" s="307" customFormat="1">
      <c r="A392" s="306" t="s">
        <v>190</v>
      </c>
      <c r="N392" s="575">
        <v>-20</v>
      </c>
      <c r="O392" s="575">
        <v>-32</v>
      </c>
      <c r="P392" s="575">
        <v>-30</v>
      </c>
      <c r="Q392" s="575">
        <v>-26</v>
      </c>
      <c r="R392" s="308">
        <v>-33</v>
      </c>
      <c r="S392" s="308">
        <v>-31</v>
      </c>
      <c r="T392" s="308">
        <v>-35</v>
      </c>
      <c r="U392" s="308">
        <v>-36</v>
      </c>
      <c r="V392" s="308">
        <v>-17</v>
      </c>
      <c r="W392" s="308">
        <v>-25</v>
      </c>
      <c r="X392" s="308">
        <v>-26</v>
      </c>
      <c r="Y392" s="308">
        <v>-43</v>
      </c>
      <c r="Z392" s="308">
        <v>-29</v>
      </c>
      <c r="AA392" s="308">
        <v>-33</v>
      </c>
      <c r="AB392" s="308">
        <v>-31</v>
      </c>
      <c r="AC392" s="308">
        <v>0</v>
      </c>
      <c r="AD392" s="308">
        <v>0</v>
      </c>
      <c r="AE392" s="308">
        <v>0</v>
      </c>
      <c r="AF392" s="308">
        <v>0</v>
      </c>
      <c r="AG392" s="309">
        <f t="shared" ref="AG392:AS392" si="495">AVERAGE(AC392:AF392)</f>
        <v>0</v>
      </c>
      <c r="AH392" s="309">
        <f t="shared" si="495"/>
        <v>0</v>
      </c>
      <c r="AI392" s="309">
        <f t="shared" si="495"/>
        <v>0</v>
      </c>
      <c r="AJ392" s="309">
        <f t="shared" si="495"/>
        <v>0</v>
      </c>
      <c r="AK392" s="309">
        <f t="shared" si="495"/>
        <v>0</v>
      </c>
      <c r="AL392" s="309">
        <f t="shared" si="495"/>
        <v>0</v>
      </c>
      <c r="AM392" s="309">
        <f t="shared" si="495"/>
        <v>0</v>
      </c>
      <c r="AN392" s="309">
        <f t="shared" si="495"/>
        <v>0</v>
      </c>
      <c r="AO392" s="309">
        <f t="shared" si="495"/>
        <v>0</v>
      </c>
      <c r="AP392" s="309">
        <f t="shared" si="495"/>
        <v>0</v>
      </c>
      <c r="AQ392" s="309">
        <f t="shared" si="495"/>
        <v>0</v>
      </c>
      <c r="AR392" s="309">
        <f t="shared" si="495"/>
        <v>0</v>
      </c>
      <c r="AS392" s="309">
        <f t="shared" si="495"/>
        <v>0</v>
      </c>
      <c r="AT392" s="309">
        <f t="shared" ref="AT392" si="496">AVERAGE(AP392:AS392)</f>
        <v>0</v>
      </c>
      <c r="AU392" s="309">
        <f t="shared" ref="AU392" si="497">AVERAGE(AQ392:AT392)</f>
        <v>0</v>
      </c>
      <c r="AV392" s="309">
        <f t="shared" ref="AV392" si="498">AVERAGE(AR392:AU392)</f>
        <v>0</v>
      </c>
      <c r="AW392" s="309">
        <f t="shared" ref="AW392" si="499">AVERAGE(AS392:AV392)</f>
        <v>0</v>
      </c>
    </row>
    <row r="393" spans="1:49" s="311" customFormat="1" ht="16.5" thickBot="1">
      <c r="A393" s="310" t="s">
        <v>5</v>
      </c>
      <c r="N393" s="312">
        <v>911</v>
      </c>
      <c r="O393" s="312">
        <v>815</v>
      </c>
      <c r="P393" s="312">
        <v>617</v>
      </c>
      <c r="Q393" s="312">
        <v>675</v>
      </c>
      <c r="R393" s="313">
        <v>842</v>
      </c>
      <c r="S393" s="313">
        <v>742</v>
      </c>
      <c r="T393" s="313">
        <v>1015</v>
      </c>
      <c r="U393" s="313">
        <v>736</v>
      </c>
      <c r="V393" s="313">
        <v>1088</v>
      </c>
      <c r="W393" s="313">
        <v>1040</v>
      </c>
      <c r="X393" s="313">
        <v>885</v>
      </c>
      <c r="Y393" s="313">
        <v>826</v>
      </c>
      <c r="Z393" s="313">
        <v>907</v>
      </c>
      <c r="AA393" s="313">
        <v>911</v>
      </c>
      <c r="AB393" s="313">
        <f>SUM(AB385:AB392)</f>
        <v>917</v>
      </c>
      <c r="AC393" s="313">
        <f t="shared" ref="AC393:AS393" si="500">SUM(AC385:AC392)</f>
        <v>862</v>
      </c>
      <c r="AD393" s="313">
        <f t="shared" ref="AD393:AF393" si="501">SUM(AD385:AD392)</f>
        <v>881</v>
      </c>
      <c r="AE393" s="313">
        <f t="shared" si="501"/>
        <v>848</v>
      </c>
      <c r="AF393" s="313">
        <f t="shared" si="501"/>
        <v>890</v>
      </c>
      <c r="AG393" s="1340">
        <f t="shared" si="500"/>
        <v>878.47318774689165</v>
      </c>
      <c r="AH393" s="1340">
        <f t="shared" si="500"/>
        <v>930.88126073648004</v>
      </c>
      <c r="AI393" s="1340">
        <f t="shared" si="500"/>
        <v>945.32657905355154</v>
      </c>
      <c r="AJ393" s="1340">
        <f t="shared" si="500"/>
        <v>947.12512924261421</v>
      </c>
      <c r="AK393" s="1340">
        <f t="shared" si="500"/>
        <v>945.18135821732506</v>
      </c>
      <c r="AL393" s="1340">
        <f t="shared" si="500"/>
        <v>1003.5648876613932</v>
      </c>
      <c r="AM393" s="1340">
        <f t="shared" si="500"/>
        <v>1020.9815336437998</v>
      </c>
      <c r="AN393" s="1340">
        <f t="shared" si="500"/>
        <v>1024.8278065969778</v>
      </c>
      <c r="AO393" s="1340">
        <f t="shared" si="500"/>
        <v>1024.7445479959879</v>
      </c>
      <c r="AP393" s="1340">
        <f t="shared" si="500"/>
        <v>1089.8084613164349</v>
      </c>
      <c r="AQ393" s="1340">
        <f t="shared" si="500"/>
        <v>1110.6556462524227</v>
      </c>
      <c r="AR393" s="1340">
        <f t="shared" si="500"/>
        <v>1116.9329366610837</v>
      </c>
      <c r="AS393" s="1340">
        <f t="shared" si="500"/>
        <v>1119.0771754139466</v>
      </c>
      <c r="AT393" s="1340">
        <f t="shared" ref="AT393:AW393" si="502">SUM(AT385:AT392)</f>
        <v>1191.7000956351717</v>
      </c>
      <c r="AU393" s="1340">
        <f t="shared" si="502"/>
        <v>1216.6010080066071</v>
      </c>
      <c r="AV393" s="1340">
        <f t="shared" si="502"/>
        <v>1225.8615922149913</v>
      </c>
      <c r="AW393" s="1340">
        <f t="shared" si="502"/>
        <v>1230.7800534686726</v>
      </c>
    </row>
    <row r="394" spans="1:49" s="295" customFormat="1">
      <c r="A394" s="317" t="s">
        <v>85</v>
      </c>
      <c r="N394" s="322">
        <v>2</v>
      </c>
      <c r="O394" s="322">
        <v>4</v>
      </c>
      <c r="P394" s="322">
        <v>5</v>
      </c>
      <c r="Q394" s="809">
        <v>0</v>
      </c>
      <c r="R394" s="304">
        <v>2</v>
      </c>
      <c r="S394" s="304">
        <v>6</v>
      </c>
      <c r="T394" s="304">
        <v>35</v>
      </c>
      <c r="U394" s="304">
        <v>7</v>
      </c>
      <c r="V394" s="304">
        <v>1</v>
      </c>
      <c r="W394" s="304">
        <v>13</v>
      </c>
      <c r="X394" s="304">
        <v>37</v>
      </c>
      <c r="Y394" s="304">
        <v>23</v>
      </c>
      <c r="Z394" s="304">
        <v>0</v>
      </c>
      <c r="AA394" s="304">
        <v>4</v>
      </c>
      <c r="AB394" s="304">
        <v>54</v>
      </c>
      <c r="AC394" s="304">
        <v>14</v>
      </c>
      <c r="AD394" s="304">
        <v>6</v>
      </c>
      <c r="AE394" s="304">
        <v>5</v>
      </c>
      <c r="AF394" s="304">
        <v>8</v>
      </c>
      <c r="AG394" s="314">
        <f>AVERAGE(Y394:AF394)</f>
        <v>14.25</v>
      </c>
      <c r="AH394" s="314">
        <f t="shared" ref="AH394:AS394" si="503">AG394</f>
        <v>14.25</v>
      </c>
      <c r="AI394" s="314">
        <f t="shared" si="503"/>
        <v>14.25</v>
      </c>
      <c r="AJ394" s="314">
        <f t="shared" si="503"/>
        <v>14.25</v>
      </c>
      <c r="AK394" s="314">
        <f t="shared" si="503"/>
        <v>14.25</v>
      </c>
      <c r="AL394" s="314">
        <f t="shared" si="503"/>
        <v>14.25</v>
      </c>
      <c r="AM394" s="314">
        <f t="shared" si="503"/>
        <v>14.25</v>
      </c>
      <c r="AN394" s="314">
        <f t="shared" si="503"/>
        <v>14.25</v>
      </c>
      <c r="AO394" s="314">
        <f t="shared" si="503"/>
        <v>14.25</v>
      </c>
      <c r="AP394" s="314">
        <f t="shared" si="503"/>
        <v>14.25</v>
      </c>
      <c r="AQ394" s="314">
        <f t="shared" si="503"/>
        <v>14.25</v>
      </c>
      <c r="AR394" s="314">
        <f t="shared" si="503"/>
        <v>14.25</v>
      </c>
      <c r="AS394" s="314">
        <f t="shared" si="503"/>
        <v>14.25</v>
      </c>
      <c r="AT394" s="314">
        <f t="shared" ref="AT394:AT395" si="504">AS394</f>
        <v>14.25</v>
      </c>
      <c r="AU394" s="314">
        <f t="shared" ref="AU394:AU395" si="505">AT394</f>
        <v>14.25</v>
      </c>
      <c r="AV394" s="314">
        <f t="shared" ref="AV394:AV395" si="506">AU394</f>
        <v>14.25</v>
      </c>
      <c r="AW394" s="314">
        <f t="shared" ref="AW394:AW395" si="507">AV394</f>
        <v>14.25</v>
      </c>
    </row>
    <row r="395" spans="1:49" s="307" customFormat="1">
      <c r="A395" s="306" t="s">
        <v>86</v>
      </c>
      <c r="N395" s="315">
        <v>-8</v>
      </c>
      <c r="O395" s="315">
        <v>-3</v>
      </c>
      <c r="P395" s="315">
        <v>-5</v>
      </c>
      <c r="Q395" s="315">
        <v>-2</v>
      </c>
      <c r="R395" s="308">
        <v>-1</v>
      </c>
      <c r="S395" s="308">
        <v>-2</v>
      </c>
      <c r="T395" s="308">
        <v>-5</v>
      </c>
      <c r="U395" s="308">
        <v>-2</v>
      </c>
      <c r="V395" s="308">
        <v>-4</v>
      </c>
      <c r="W395" s="308">
        <v>-2</v>
      </c>
      <c r="X395" s="308">
        <v>-13</v>
      </c>
      <c r="Y395" s="308">
        <v>-20</v>
      </c>
      <c r="Z395" s="308">
        <v>-22</v>
      </c>
      <c r="AA395" s="308">
        <v>-1</v>
      </c>
      <c r="AB395" s="308">
        <v>-20</v>
      </c>
      <c r="AC395" s="308">
        <v>-3</v>
      </c>
      <c r="AD395" s="308">
        <v>-2</v>
      </c>
      <c r="AE395" s="308">
        <v>-6</v>
      </c>
      <c r="AF395" s="308">
        <v>-3</v>
      </c>
      <c r="AG395" s="316">
        <f>SUM(N395:AF395)/SUM(N394:AF394)*AG394</f>
        <v>-7.8185840707964598</v>
      </c>
      <c r="AH395" s="316">
        <f t="shared" ref="AH395:AS395" si="508">AG395</f>
        <v>-7.8185840707964598</v>
      </c>
      <c r="AI395" s="316">
        <f t="shared" si="508"/>
        <v>-7.8185840707964598</v>
      </c>
      <c r="AJ395" s="316">
        <f t="shared" si="508"/>
        <v>-7.8185840707964598</v>
      </c>
      <c r="AK395" s="316">
        <f t="shared" si="508"/>
        <v>-7.8185840707964598</v>
      </c>
      <c r="AL395" s="316">
        <f t="shared" si="508"/>
        <v>-7.8185840707964598</v>
      </c>
      <c r="AM395" s="316">
        <f t="shared" si="508"/>
        <v>-7.8185840707964598</v>
      </c>
      <c r="AN395" s="316">
        <f t="shared" si="508"/>
        <v>-7.8185840707964598</v>
      </c>
      <c r="AO395" s="316">
        <f t="shared" si="508"/>
        <v>-7.8185840707964598</v>
      </c>
      <c r="AP395" s="316">
        <f t="shared" si="508"/>
        <v>-7.8185840707964598</v>
      </c>
      <c r="AQ395" s="316">
        <f t="shared" si="508"/>
        <v>-7.8185840707964598</v>
      </c>
      <c r="AR395" s="316">
        <f t="shared" si="508"/>
        <v>-7.8185840707964598</v>
      </c>
      <c r="AS395" s="316">
        <f t="shared" si="508"/>
        <v>-7.8185840707964598</v>
      </c>
      <c r="AT395" s="316">
        <f t="shared" si="504"/>
        <v>-7.8185840707964598</v>
      </c>
      <c r="AU395" s="316">
        <f t="shared" si="505"/>
        <v>-7.8185840707964598</v>
      </c>
      <c r="AV395" s="316">
        <f t="shared" si="506"/>
        <v>-7.8185840707964598</v>
      </c>
      <c r="AW395" s="316">
        <f t="shared" si="507"/>
        <v>-7.8185840707964598</v>
      </c>
    </row>
    <row r="396" spans="1:49" s="328" customFormat="1" ht="16.5" thickBot="1">
      <c r="A396" s="810" t="s">
        <v>6</v>
      </c>
      <c r="N396" s="811">
        <v>-6</v>
      </c>
      <c r="O396" s="811">
        <v>1</v>
      </c>
      <c r="P396" s="811">
        <v>0</v>
      </c>
      <c r="Q396" s="811">
        <v>-2</v>
      </c>
      <c r="R396" s="577">
        <v>1</v>
      </c>
      <c r="S396" s="577">
        <v>4</v>
      </c>
      <c r="T396" s="577">
        <v>30</v>
      </c>
      <c r="U396" s="577">
        <v>5</v>
      </c>
      <c r="V396" s="577">
        <v>-3</v>
      </c>
      <c r="W396" s="577">
        <v>11</v>
      </c>
      <c r="X396" s="577">
        <v>24</v>
      </c>
      <c r="Y396" s="577">
        <v>3</v>
      </c>
      <c r="Z396" s="577">
        <v>-22</v>
      </c>
      <c r="AA396" s="577">
        <v>3</v>
      </c>
      <c r="AB396" s="577">
        <f t="shared" ref="AB396:AS396" si="509">AB394+AB395</f>
        <v>34</v>
      </c>
      <c r="AC396" s="577">
        <f t="shared" si="509"/>
        <v>11</v>
      </c>
      <c r="AD396" s="577">
        <f t="shared" ref="AD396:AF396" si="510">AD394+AD395</f>
        <v>4</v>
      </c>
      <c r="AE396" s="577">
        <f t="shared" si="510"/>
        <v>-1</v>
      </c>
      <c r="AF396" s="577">
        <f t="shared" si="510"/>
        <v>5</v>
      </c>
      <c r="AG396" s="554">
        <f t="shared" si="509"/>
        <v>6.4314159292035402</v>
      </c>
      <c r="AH396" s="554">
        <f t="shared" si="509"/>
        <v>6.4314159292035402</v>
      </c>
      <c r="AI396" s="554">
        <f t="shared" si="509"/>
        <v>6.4314159292035402</v>
      </c>
      <c r="AJ396" s="554">
        <f t="shared" si="509"/>
        <v>6.4314159292035402</v>
      </c>
      <c r="AK396" s="554">
        <f t="shared" si="509"/>
        <v>6.4314159292035402</v>
      </c>
      <c r="AL396" s="554">
        <f t="shared" si="509"/>
        <v>6.4314159292035402</v>
      </c>
      <c r="AM396" s="554">
        <f t="shared" si="509"/>
        <v>6.4314159292035402</v>
      </c>
      <c r="AN396" s="554">
        <f t="shared" si="509"/>
        <v>6.4314159292035402</v>
      </c>
      <c r="AO396" s="554">
        <f t="shared" si="509"/>
        <v>6.4314159292035402</v>
      </c>
      <c r="AP396" s="554">
        <f t="shared" si="509"/>
        <v>6.4314159292035402</v>
      </c>
      <c r="AQ396" s="554">
        <f t="shared" si="509"/>
        <v>6.4314159292035402</v>
      </c>
      <c r="AR396" s="554">
        <f t="shared" si="509"/>
        <v>6.4314159292035402</v>
      </c>
      <c r="AS396" s="554">
        <f t="shared" si="509"/>
        <v>6.4314159292035402</v>
      </c>
      <c r="AT396" s="554">
        <f t="shared" ref="AT396:AW396" si="511">AT394+AT395</f>
        <v>6.4314159292035402</v>
      </c>
      <c r="AU396" s="554">
        <f t="shared" si="511"/>
        <v>6.4314159292035402</v>
      </c>
      <c r="AV396" s="554">
        <f t="shared" si="511"/>
        <v>6.4314159292035402</v>
      </c>
      <c r="AW396" s="554">
        <f t="shared" si="511"/>
        <v>6.4314159292035402</v>
      </c>
    </row>
    <row r="397" spans="1:49" s="295" customFormat="1">
      <c r="A397" s="317" t="s">
        <v>7</v>
      </c>
      <c r="N397" s="318">
        <v>355</v>
      </c>
      <c r="O397" s="318">
        <v>342</v>
      </c>
      <c r="P397" s="318">
        <v>286</v>
      </c>
      <c r="Q397" s="318">
        <v>343</v>
      </c>
      <c r="R397" s="319">
        <v>358</v>
      </c>
      <c r="S397" s="319">
        <v>342</v>
      </c>
      <c r="T397" s="319">
        <v>376</v>
      </c>
      <c r="U397" s="319">
        <v>349</v>
      </c>
      <c r="V397" s="319">
        <v>383</v>
      </c>
      <c r="W397" s="319">
        <v>380</v>
      </c>
      <c r="X397" s="319">
        <v>404</v>
      </c>
      <c r="Y397" s="319">
        <v>390</v>
      </c>
      <c r="Z397" s="319">
        <v>404</v>
      </c>
      <c r="AA397" s="319">
        <v>419</v>
      </c>
      <c r="AB397" s="319">
        <v>413</v>
      </c>
      <c r="AC397" s="319">
        <v>429</v>
      </c>
      <c r="AD397" s="319">
        <v>424</v>
      </c>
      <c r="AE397" s="319">
        <v>387</v>
      </c>
      <c r="AF397" s="319">
        <v>397</v>
      </c>
      <c r="AG397" s="320"/>
      <c r="AH397" s="320"/>
      <c r="AI397" s="320"/>
      <c r="AJ397" s="320"/>
      <c r="AK397" s="320"/>
      <c r="AL397" s="320"/>
      <c r="AM397" s="320"/>
      <c r="AN397" s="320"/>
      <c r="AO397" s="320"/>
      <c r="AP397" s="320"/>
      <c r="AQ397" s="320"/>
      <c r="AR397" s="320"/>
      <c r="AS397" s="320"/>
      <c r="AT397" s="320"/>
      <c r="AU397" s="320"/>
      <c r="AV397" s="320"/>
      <c r="AW397" s="320"/>
    </row>
    <row r="398" spans="1:49" s="321" customFormat="1">
      <c r="A398" s="317" t="s">
        <v>8</v>
      </c>
      <c r="N398" s="322">
        <v>174</v>
      </c>
      <c r="O398" s="322">
        <v>189</v>
      </c>
      <c r="P398" s="322">
        <v>176</v>
      </c>
      <c r="Q398" s="322">
        <v>171</v>
      </c>
      <c r="R398" s="304">
        <v>165</v>
      </c>
      <c r="S398" s="304">
        <v>168</v>
      </c>
      <c r="T398" s="304">
        <v>200</v>
      </c>
      <c r="U398" s="304">
        <v>188</v>
      </c>
      <c r="V398" s="304">
        <v>170</v>
      </c>
      <c r="W398" s="304">
        <v>188</v>
      </c>
      <c r="X398" s="304">
        <v>207</v>
      </c>
      <c r="Y398" s="304">
        <v>225</v>
      </c>
      <c r="Z398" s="304">
        <v>190</v>
      </c>
      <c r="AA398" s="304">
        <v>203</v>
      </c>
      <c r="AB398" s="304">
        <v>224</v>
      </c>
      <c r="AC398" s="304">
        <v>219</v>
      </c>
      <c r="AD398" s="304">
        <v>220</v>
      </c>
      <c r="AE398" s="304">
        <v>199</v>
      </c>
      <c r="AF398" s="304">
        <v>195</v>
      </c>
      <c r="AG398" s="323"/>
      <c r="AH398" s="323"/>
      <c r="AI398" s="323"/>
      <c r="AJ398" s="323"/>
      <c r="AK398" s="323"/>
      <c r="AL398" s="323"/>
      <c r="AM398" s="323"/>
      <c r="AN398" s="323"/>
      <c r="AO398" s="323"/>
      <c r="AP398" s="323"/>
      <c r="AQ398" s="323"/>
      <c r="AR398" s="323"/>
      <c r="AS398" s="323"/>
      <c r="AT398" s="323"/>
      <c r="AU398" s="323"/>
      <c r="AV398" s="323"/>
      <c r="AW398" s="323"/>
    </row>
    <row r="399" spans="1:49" s="321" customFormat="1">
      <c r="A399" s="317" t="s">
        <v>9</v>
      </c>
      <c r="N399" s="322">
        <v>66</v>
      </c>
      <c r="O399" s="322">
        <v>62</v>
      </c>
      <c r="P399" s="322">
        <v>55</v>
      </c>
      <c r="Q399" s="322">
        <v>54</v>
      </c>
      <c r="R399" s="304">
        <v>54</v>
      </c>
      <c r="S399" s="304">
        <v>59</v>
      </c>
      <c r="T399" s="304">
        <v>64</v>
      </c>
      <c r="U399" s="304">
        <v>72</v>
      </c>
      <c r="V399" s="304">
        <v>73</v>
      </c>
      <c r="W399" s="304">
        <v>94</v>
      </c>
      <c r="X399" s="304">
        <v>88</v>
      </c>
      <c r="Y399" s="304">
        <v>66</v>
      </c>
      <c r="Z399" s="304">
        <v>70</v>
      </c>
      <c r="AA399" s="304">
        <v>70</v>
      </c>
      <c r="AB399" s="304">
        <v>71</v>
      </c>
      <c r="AC399" s="304">
        <v>81</v>
      </c>
      <c r="AD399" s="304">
        <v>67</v>
      </c>
      <c r="AE399" s="304">
        <v>64</v>
      </c>
      <c r="AF399" s="304">
        <v>65</v>
      </c>
      <c r="AG399" s="323"/>
      <c r="AH399" s="323"/>
      <c r="AI399" s="323"/>
      <c r="AJ399" s="323"/>
      <c r="AK399" s="323"/>
      <c r="AL399" s="323"/>
      <c r="AM399" s="323"/>
      <c r="AN399" s="323"/>
      <c r="AO399" s="323"/>
      <c r="AP399" s="323"/>
      <c r="AQ399" s="323"/>
      <c r="AR399" s="323"/>
      <c r="AS399" s="323"/>
      <c r="AT399" s="323"/>
      <c r="AU399" s="323"/>
      <c r="AV399" s="323"/>
      <c r="AW399" s="323"/>
    </row>
    <row r="400" spans="1:49" s="321" customFormat="1">
      <c r="A400" s="317" t="s">
        <v>71</v>
      </c>
      <c r="N400" s="324">
        <v>0</v>
      </c>
      <c r="O400" s="324">
        <v>0</v>
      </c>
      <c r="P400" s="324">
        <v>0</v>
      </c>
      <c r="Q400" s="324">
        <v>0</v>
      </c>
      <c r="R400" s="304">
        <v>0</v>
      </c>
      <c r="S400" s="304">
        <v>0</v>
      </c>
      <c r="T400" s="304">
        <v>0</v>
      </c>
      <c r="U400" s="304">
        <v>0</v>
      </c>
      <c r="V400" s="304">
        <v>0</v>
      </c>
      <c r="W400" s="304">
        <v>0</v>
      </c>
      <c r="X400" s="304">
        <v>0</v>
      </c>
      <c r="Y400" s="304">
        <v>756</v>
      </c>
      <c r="Z400" s="304">
        <v>0</v>
      </c>
      <c r="AA400" s="304">
        <v>0</v>
      </c>
      <c r="AB400" s="304">
        <v>0</v>
      </c>
      <c r="AC400" s="304">
        <v>0</v>
      </c>
      <c r="AD400" s="304">
        <v>0</v>
      </c>
      <c r="AE400" s="304">
        <v>0</v>
      </c>
      <c r="AF400" s="304">
        <v>0</v>
      </c>
      <c r="AG400" s="323"/>
      <c r="AH400" s="323"/>
      <c r="AI400" s="323"/>
      <c r="AJ400" s="323"/>
      <c r="AK400" s="323"/>
      <c r="AL400" s="323"/>
      <c r="AM400" s="323"/>
      <c r="AN400" s="323"/>
      <c r="AO400" s="323"/>
      <c r="AP400" s="323"/>
      <c r="AQ400" s="323"/>
      <c r="AR400" s="323"/>
      <c r="AS400" s="323"/>
      <c r="AT400" s="323"/>
      <c r="AU400" s="323"/>
      <c r="AV400" s="323"/>
      <c r="AW400" s="323"/>
    </row>
    <row r="401" spans="1:49" s="307" customFormat="1">
      <c r="A401" s="306" t="s">
        <v>10</v>
      </c>
      <c r="N401" s="315">
        <v>0</v>
      </c>
      <c r="O401" s="315">
        <v>0</v>
      </c>
      <c r="P401" s="315">
        <v>0</v>
      </c>
      <c r="Q401" s="315">
        <v>0</v>
      </c>
      <c r="R401" s="325">
        <v>0</v>
      </c>
      <c r="S401" s="325">
        <v>0</v>
      </c>
      <c r="T401" s="325">
        <v>0</v>
      </c>
      <c r="U401" s="325">
        <v>0</v>
      </c>
      <c r="V401" s="325">
        <v>0</v>
      </c>
      <c r="W401" s="325">
        <v>0</v>
      </c>
      <c r="X401" s="325">
        <v>0</v>
      </c>
      <c r="Y401" s="325">
        <v>3</v>
      </c>
      <c r="Z401" s="325">
        <v>1</v>
      </c>
      <c r="AA401" s="325">
        <v>10</v>
      </c>
      <c r="AB401" s="325">
        <v>23</v>
      </c>
      <c r="AC401" s="325">
        <v>19</v>
      </c>
      <c r="AD401" s="325">
        <v>19</v>
      </c>
      <c r="AE401" s="325">
        <v>11</v>
      </c>
      <c r="AF401" s="325">
        <v>10</v>
      </c>
      <c r="AG401" s="326"/>
      <c r="AH401" s="326"/>
      <c r="AI401" s="326"/>
      <c r="AJ401" s="326"/>
      <c r="AK401" s="326"/>
      <c r="AL401" s="326"/>
      <c r="AM401" s="326"/>
      <c r="AN401" s="326"/>
      <c r="AO401" s="326"/>
      <c r="AP401" s="326"/>
      <c r="AQ401" s="326"/>
      <c r="AR401" s="326"/>
      <c r="AS401" s="326"/>
      <c r="AT401" s="326"/>
      <c r="AU401" s="326"/>
      <c r="AV401" s="326"/>
      <c r="AW401" s="326"/>
    </row>
    <row r="402" spans="1:49" s="307" customFormat="1">
      <c r="A402" s="306" t="s">
        <v>11</v>
      </c>
      <c r="N402" s="315">
        <v>240</v>
      </c>
      <c r="O402" s="315">
        <v>251</v>
      </c>
      <c r="P402" s="315">
        <v>231</v>
      </c>
      <c r="Q402" s="315">
        <v>225</v>
      </c>
      <c r="R402" s="308">
        <v>219</v>
      </c>
      <c r="S402" s="308">
        <v>227</v>
      </c>
      <c r="T402" s="308">
        <v>264</v>
      </c>
      <c r="U402" s="308">
        <v>260</v>
      </c>
      <c r="V402" s="308">
        <v>243</v>
      </c>
      <c r="W402" s="308">
        <v>282</v>
      </c>
      <c r="X402" s="308">
        <v>295</v>
      </c>
      <c r="Y402" s="308">
        <v>1050</v>
      </c>
      <c r="Z402" s="308">
        <v>261</v>
      </c>
      <c r="AA402" s="308">
        <v>283</v>
      </c>
      <c r="AB402" s="308">
        <v>318</v>
      </c>
      <c r="AC402" s="308">
        <v>319</v>
      </c>
      <c r="AD402" s="308">
        <v>306</v>
      </c>
      <c r="AE402" s="308">
        <v>274</v>
      </c>
      <c r="AF402" s="308">
        <v>270</v>
      </c>
      <c r="AG402" s="326"/>
      <c r="AH402" s="326"/>
      <c r="AI402" s="326"/>
      <c r="AJ402" s="326"/>
      <c r="AK402" s="326"/>
      <c r="AL402" s="326"/>
      <c r="AM402" s="326"/>
      <c r="AN402" s="326"/>
      <c r="AO402" s="326"/>
      <c r="AP402" s="326"/>
      <c r="AQ402" s="326"/>
      <c r="AR402" s="326"/>
      <c r="AS402" s="326"/>
      <c r="AT402" s="326"/>
      <c r="AU402" s="326"/>
      <c r="AV402" s="326"/>
      <c r="AW402" s="326"/>
    </row>
    <row r="403" spans="1:49" s="311" customFormat="1" ht="16.5" thickBot="1">
      <c r="A403" s="310" t="s">
        <v>12</v>
      </c>
      <c r="N403" s="312">
        <v>595</v>
      </c>
      <c r="O403" s="312">
        <v>593</v>
      </c>
      <c r="P403" s="312">
        <v>517</v>
      </c>
      <c r="Q403" s="312">
        <v>568</v>
      </c>
      <c r="R403" s="313">
        <v>577</v>
      </c>
      <c r="S403" s="313">
        <v>569</v>
      </c>
      <c r="T403" s="313">
        <v>640</v>
      </c>
      <c r="U403" s="313">
        <v>609</v>
      </c>
      <c r="V403" s="313">
        <v>626</v>
      </c>
      <c r="W403" s="313">
        <v>662</v>
      </c>
      <c r="X403" s="313">
        <v>699</v>
      </c>
      <c r="Y403" s="313">
        <v>1440</v>
      </c>
      <c r="Z403" s="313">
        <v>665</v>
      </c>
      <c r="AA403" s="313">
        <v>702</v>
      </c>
      <c r="AB403" s="313">
        <f>SUM(AB397:AB401)</f>
        <v>731</v>
      </c>
      <c r="AC403" s="313">
        <v>748</v>
      </c>
      <c r="AD403" s="313">
        <v>730</v>
      </c>
      <c r="AE403" s="313">
        <v>661</v>
      </c>
      <c r="AF403" s="313">
        <v>667</v>
      </c>
      <c r="AG403" s="1340">
        <f>AG393*AG421</f>
        <v>690.39207825028222</v>
      </c>
      <c r="AH403" s="1340">
        <f t="shared" ref="AH403:AS403" si="512">AH393*AH421</f>
        <v>731.57958281279969</v>
      </c>
      <c r="AI403" s="1340">
        <f t="shared" si="512"/>
        <v>742.93215847818624</v>
      </c>
      <c r="AJ403" s="1340">
        <f t="shared" si="512"/>
        <v>744.34563907177051</v>
      </c>
      <c r="AK403" s="1340">
        <f t="shared" si="512"/>
        <v>742.81802942299578</v>
      </c>
      <c r="AL403" s="1340">
        <f t="shared" si="512"/>
        <v>788.70164521308891</v>
      </c>
      <c r="AM403" s="1340">
        <f t="shared" si="512"/>
        <v>802.38938729066228</v>
      </c>
      <c r="AN403" s="1340">
        <f t="shared" si="512"/>
        <v>805.41217320456485</v>
      </c>
      <c r="AO403" s="1340">
        <f t="shared" si="512"/>
        <v>805.34674027004689</v>
      </c>
      <c r="AP403" s="1340">
        <f t="shared" si="512"/>
        <v>856.48046974858619</v>
      </c>
      <c r="AQ403" s="1340">
        <f t="shared" si="512"/>
        <v>872.86427238977899</v>
      </c>
      <c r="AR403" s="1340">
        <f t="shared" si="512"/>
        <v>877.79759492194569</v>
      </c>
      <c r="AS403" s="1340">
        <f t="shared" si="512"/>
        <v>879.48275215782076</v>
      </c>
      <c r="AT403" s="1340">
        <f t="shared" ref="AT403:AW403" si="513">AT393*AT421</f>
        <v>936.55710515968144</v>
      </c>
      <c r="AU403" s="1340">
        <f t="shared" si="513"/>
        <v>956.12673219239264</v>
      </c>
      <c r="AV403" s="1340">
        <f t="shared" si="513"/>
        <v>963.40462532176173</v>
      </c>
      <c r="AW403" s="1340">
        <f t="shared" si="513"/>
        <v>967.27004402102978</v>
      </c>
    </row>
    <row r="404" spans="1:49" s="328" customFormat="1" ht="16.5" thickBot="1">
      <c r="A404" s="327" t="s">
        <v>87</v>
      </c>
      <c r="N404" s="576">
        <v>322</v>
      </c>
      <c r="O404" s="576">
        <v>221</v>
      </c>
      <c r="P404" s="576">
        <v>100</v>
      </c>
      <c r="Q404" s="576">
        <v>109</v>
      </c>
      <c r="R404" s="577">
        <v>264</v>
      </c>
      <c r="S404" s="577">
        <v>169</v>
      </c>
      <c r="T404" s="577">
        <v>345</v>
      </c>
      <c r="U404" s="577">
        <v>122</v>
      </c>
      <c r="V404" s="577">
        <v>465</v>
      </c>
      <c r="W404" s="577">
        <v>367</v>
      </c>
      <c r="X404" s="577">
        <v>162</v>
      </c>
      <c r="Y404" s="577">
        <v>-617</v>
      </c>
      <c r="Z404" s="577">
        <v>264</v>
      </c>
      <c r="AA404" s="577">
        <v>206</v>
      </c>
      <c r="AB404" s="577">
        <f t="shared" ref="AB404:AS404" si="514">AB393-AB396-AB403</f>
        <v>152</v>
      </c>
      <c r="AC404" s="577">
        <f t="shared" si="514"/>
        <v>103</v>
      </c>
      <c r="AD404" s="577">
        <f t="shared" ref="AD404:AF404" si="515">AD393-AD396-AD403</f>
        <v>147</v>
      </c>
      <c r="AE404" s="577">
        <f t="shared" si="515"/>
        <v>188</v>
      </c>
      <c r="AF404" s="577">
        <f t="shared" si="515"/>
        <v>218</v>
      </c>
      <c r="AG404" s="1341">
        <f t="shared" si="514"/>
        <v>181.64969356740585</v>
      </c>
      <c r="AH404" s="1341">
        <f t="shared" si="514"/>
        <v>192.87026199447678</v>
      </c>
      <c r="AI404" s="1341">
        <f t="shared" si="514"/>
        <v>195.96300464616172</v>
      </c>
      <c r="AJ404" s="1341">
        <f t="shared" si="514"/>
        <v>196.34807424164012</v>
      </c>
      <c r="AK404" s="899">
        <f t="shared" si="514"/>
        <v>195.9319128651257</v>
      </c>
      <c r="AL404" s="1341">
        <f t="shared" si="514"/>
        <v>208.4318265191007</v>
      </c>
      <c r="AM404" s="1341">
        <f t="shared" si="514"/>
        <v>212.16073042393396</v>
      </c>
      <c r="AN404" s="1341">
        <f t="shared" si="514"/>
        <v>212.98421746320935</v>
      </c>
      <c r="AO404" s="1341">
        <f t="shared" si="514"/>
        <v>212.96639179673741</v>
      </c>
      <c r="AP404" s="1341">
        <f t="shared" si="514"/>
        <v>226.89657563864523</v>
      </c>
      <c r="AQ404" s="1341">
        <f t="shared" si="514"/>
        <v>231.35995793344023</v>
      </c>
      <c r="AR404" s="1341">
        <f t="shared" si="514"/>
        <v>232.7039258099345</v>
      </c>
      <c r="AS404" s="1341">
        <f t="shared" si="514"/>
        <v>233.16300732692241</v>
      </c>
      <c r="AT404" s="1341">
        <f t="shared" ref="AT404:AW404" si="516">AT393-AT396-AT403</f>
        <v>248.71157454628678</v>
      </c>
      <c r="AU404" s="1341">
        <f t="shared" si="516"/>
        <v>254.04285988501101</v>
      </c>
      <c r="AV404" s="1341">
        <f t="shared" si="516"/>
        <v>256.02555096402614</v>
      </c>
      <c r="AW404" s="1341">
        <f t="shared" si="516"/>
        <v>257.07859351843933</v>
      </c>
    </row>
    <row r="405" spans="1:49" s="330" customFormat="1">
      <c r="A405" s="329"/>
      <c r="N405" s="578"/>
      <c r="O405" s="578"/>
      <c r="P405" s="578"/>
      <c r="Q405" s="578"/>
      <c r="R405" s="331"/>
      <c r="S405" s="331"/>
      <c r="T405" s="331"/>
      <c r="U405" s="331"/>
      <c r="V405" s="331"/>
      <c r="W405" s="331"/>
      <c r="X405" s="331"/>
      <c r="Y405" s="331"/>
      <c r="Z405" s="331"/>
      <c r="AA405" s="331"/>
      <c r="AB405" s="331"/>
      <c r="AC405" s="331"/>
      <c r="AD405" s="331"/>
      <c r="AE405" s="331"/>
      <c r="AF405" s="331"/>
      <c r="AG405" s="332"/>
      <c r="AH405" s="332"/>
      <c r="AI405" s="332"/>
      <c r="AJ405" s="332"/>
      <c r="AK405" s="332"/>
      <c r="AL405" s="332"/>
      <c r="AM405" s="332"/>
      <c r="AN405" s="332"/>
      <c r="AO405" s="332"/>
      <c r="AP405" s="332"/>
      <c r="AQ405" s="332"/>
      <c r="AR405" s="332"/>
      <c r="AS405" s="332"/>
      <c r="AT405" s="332"/>
      <c r="AU405" s="332"/>
      <c r="AV405" s="332"/>
      <c r="AW405" s="332"/>
    </row>
    <row r="406" spans="1:49" s="321" customFormat="1">
      <c r="A406" s="336"/>
      <c r="N406" s="661"/>
      <c r="O406" s="661"/>
      <c r="P406" s="661"/>
      <c r="Q406" s="661"/>
      <c r="R406" s="337"/>
      <c r="S406" s="337"/>
      <c r="T406" s="337"/>
      <c r="U406" s="337"/>
      <c r="V406" s="337"/>
      <c r="W406" s="337"/>
      <c r="X406" s="337"/>
      <c r="Y406" s="337"/>
      <c r="Z406" s="337"/>
      <c r="AA406" s="337"/>
      <c r="AB406" s="337"/>
      <c r="AC406" s="337"/>
      <c r="AD406" s="337"/>
      <c r="AE406" s="337"/>
      <c r="AF406" s="337"/>
      <c r="AG406" s="662"/>
      <c r="AH406" s="662"/>
      <c r="AI406" s="662"/>
      <c r="AJ406" s="662"/>
      <c r="AK406" s="662"/>
      <c r="AL406" s="662"/>
      <c r="AM406" s="662"/>
      <c r="AN406" s="662"/>
      <c r="AO406" s="662"/>
      <c r="AP406" s="662"/>
      <c r="AQ406" s="662"/>
      <c r="AR406" s="662"/>
      <c r="AS406" s="662"/>
      <c r="AT406" s="662"/>
      <c r="AU406" s="662"/>
      <c r="AV406" s="662"/>
      <c r="AW406" s="662"/>
    </row>
    <row r="407" spans="1:49" s="307" customFormat="1">
      <c r="A407" s="306" t="s">
        <v>191</v>
      </c>
      <c r="N407" s="575">
        <v>117.1</v>
      </c>
      <c r="O407" s="575">
        <v>116</v>
      </c>
      <c r="P407" s="575">
        <v>117.1</v>
      </c>
      <c r="Q407" s="575">
        <v>121.3</v>
      </c>
      <c r="R407" s="579">
        <v>127</v>
      </c>
      <c r="S407" s="579">
        <v>134.80000000000001</v>
      </c>
      <c r="T407" s="579">
        <v>149.1</v>
      </c>
      <c r="U407" s="579">
        <v>150.5</v>
      </c>
      <c r="V407" s="308">
        <v>154.6</v>
      </c>
      <c r="W407" s="308">
        <v>155.9</v>
      </c>
      <c r="X407" s="308">
        <v>139.1</v>
      </c>
      <c r="Y407" s="308">
        <v>150.4</v>
      </c>
      <c r="Z407" s="308">
        <v>149.6</v>
      </c>
      <c r="AA407" s="308">
        <v>158.30000000000001</v>
      </c>
      <c r="AB407" s="308">
        <v>169</v>
      </c>
      <c r="AC407" s="308">
        <v>166.9</v>
      </c>
      <c r="AD407" s="308">
        <v>177.4</v>
      </c>
      <c r="AE407" s="308">
        <v>177.8</v>
      </c>
      <c r="AF407" s="308">
        <v>190</v>
      </c>
      <c r="AG407" s="343">
        <f>AF407*(1+Assumptions!AG21)</f>
        <v>193.77731551456313</v>
      </c>
      <c r="AH407" s="343">
        <f>AG407*(1+Assumptions!AH21)</f>
        <v>197.62972635805551</v>
      </c>
      <c r="AI407" s="343">
        <f>AH407*(1+Assumptions!AI21)</f>
        <v>201.55872547127208</v>
      </c>
      <c r="AJ407" s="343">
        <f>AI407*(1+Assumptions!AJ21)</f>
        <v>205.56583547557844</v>
      </c>
      <c r="AK407" s="343">
        <f>AJ407*(1+Assumptions!AK21)</f>
        <v>209.65260926297861</v>
      </c>
      <c r="AL407" s="343">
        <f>AK407*(1+Assumptions!AL21)</f>
        <v>213.82063059791383</v>
      </c>
      <c r="AM407" s="343">
        <f>AL407*(1+Assumptions!AM21)</f>
        <v>218.07151473102527</v>
      </c>
      <c r="AN407" s="343">
        <f>AM407*(1+Assumptions!AN21)</f>
        <v>222.40690902511886</v>
      </c>
      <c r="AO407" s="343">
        <f>AN407*(1+Assumptions!AO21)</f>
        <v>226.82849359357473</v>
      </c>
      <c r="AP407" s="343">
        <f>AO407*(1+Assumptions!AP21)</f>
        <v>231.3379819514484</v>
      </c>
      <c r="AQ407" s="343">
        <f>AP407*(1+Assumptions!AQ21)</f>
        <v>235.93712167951645</v>
      </c>
      <c r="AR407" s="343">
        <f>AQ407*(1+Assumptions!AR21)</f>
        <v>240.62769510152387</v>
      </c>
      <c r="AS407" s="343">
        <f>AR407*(1+Assumptions!AS21)</f>
        <v>245.41151997489521</v>
      </c>
      <c r="AT407" s="343">
        <f>AS407*(1+Assumptions!AT21)</f>
        <v>250.29045019517781</v>
      </c>
      <c r="AU407" s="343">
        <f>AT407*(1+Assumptions!AU21)</f>
        <v>255.26637651448959</v>
      </c>
      <c r="AV407" s="343">
        <f>AU407*(1+Assumptions!AV21)</f>
        <v>260.34122727425012</v>
      </c>
      <c r="AW407" s="343">
        <f>AV407*(1+Assumptions!AW21)</f>
        <v>265.51696915247868</v>
      </c>
    </row>
    <row r="408" spans="1:49" s="356" customFormat="1">
      <c r="A408" s="663" t="s">
        <v>198</v>
      </c>
      <c r="N408" s="664"/>
      <c r="O408" s="664"/>
      <c r="P408" s="664"/>
      <c r="Q408" s="664"/>
      <c r="R408" s="664"/>
      <c r="S408" s="664"/>
      <c r="T408" s="664"/>
      <c r="U408" s="664"/>
      <c r="V408" s="664"/>
      <c r="W408" s="664"/>
      <c r="X408" s="664"/>
      <c r="Y408" s="664"/>
      <c r="Z408" s="664"/>
      <c r="AA408" s="665">
        <f>(AA407/N407)^(1/COUNT(O407:AA407))-1</f>
        <v>2.3460482383439007E-2</v>
      </c>
      <c r="AB408" s="665"/>
      <c r="AC408" s="665"/>
      <c r="AD408" s="665"/>
      <c r="AE408" s="665"/>
      <c r="AF408" s="665"/>
      <c r="AG408" s="666"/>
      <c r="AH408" s="666"/>
      <c r="AI408" s="666"/>
      <c r="AJ408" s="666"/>
      <c r="AK408" s="666"/>
      <c r="AL408" s="666"/>
      <c r="AM408" s="666"/>
      <c r="AN408" s="666"/>
      <c r="AO408" s="666"/>
      <c r="AP408" s="666"/>
      <c r="AQ408" s="666"/>
      <c r="AR408" s="666"/>
      <c r="AS408" s="666"/>
      <c r="AT408" s="666"/>
      <c r="AU408" s="666"/>
      <c r="AV408" s="666"/>
      <c r="AW408" s="666"/>
    </row>
    <row r="409" spans="1:49" s="668" customFormat="1" ht="16.5" thickBot="1">
      <c r="A409" s="667" t="s">
        <v>192</v>
      </c>
      <c r="N409" s="669">
        <v>2.2000000000000002</v>
      </c>
      <c r="O409" s="669">
        <v>2.8</v>
      </c>
      <c r="P409" s="669">
        <v>3.5</v>
      </c>
      <c r="Q409" s="669">
        <v>3.3</v>
      </c>
      <c r="R409" s="670">
        <v>5</v>
      </c>
      <c r="S409" s="670">
        <v>4.8</v>
      </c>
      <c r="T409" s="670">
        <v>6.1</v>
      </c>
      <c r="U409" s="670">
        <v>1.6</v>
      </c>
      <c r="V409" s="670">
        <v>4.5</v>
      </c>
      <c r="W409" s="670">
        <v>6.6</v>
      </c>
      <c r="X409" s="670">
        <v>3.7</v>
      </c>
      <c r="Y409" s="670">
        <v>3</v>
      </c>
      <c r="Z409" s="670">
        <v>4</v>
      </c>
      <c r="AA409" s="670">
        <v>4.5999999999999996</v>
      </c>
      <c r="AB409" s="670">
        <v>4.3</v>
      </c>
      <c r="AC409" s="670">
        <v>0.7</v>
      </c>
      <c r="AD409" s="670">
        <v>5.3</v>
      </c>
      <c r="AE409" s="670">
        <v>4.5</v>
      </c>
      <c r="AF409" s="670">
        <v>5.8</v>
      </c>
      <c r="AG409" s="671"/>
      <c r="AH409" s="671"/>
      <c r="AI409" s="671"/>
      <c r="AJ409" s="671"/>
      <c r="AK409" s="671"/>
      <c r="AL409" s="671"/>
      <c r="AM409" s="671"/>
      <c r="AN409" s="671"/>
      <c r="AO409" s="671"/>
      <c r="AP409" s="671"/>
      <c r="AQ409" s="671"/>
      <c r="AR409" s="671"/>
      <c r="AS409" s="671"/>
      <c r="AT409" s="671"/>
      <c r="AU409" s="671"/>
      <c r="AV409" s="671"/>
      <c r="AW409" s="671"/>
    </row>
    <row r="410" spans="1:49" s="295" customFormat="1">
      <c r="A410" s="336"/>
      <c r="N410" s="574"/>
      <c r="O410" s="574"/>
      <c r="P410" s="574"/>
      <c r="Q410" s="574"/>
      <c r="R410" s="337"/>
      <c r="S410" s="337"/>
      <c r="T410" s="337"/>
      <c r="U410" s="337"/>
      <c r="V410" s="337"/>
      <c r="W410" s="337"/>
      <c r="X410" s="337"/>
      <c r="Y410" s="337"/>
      <c r="Z410" s="337"/>
      <c r="AA410" s="337"/>
      <c r="AB410" s="337"/>
      <c r="AC410" s="337"/>
      <c r="AD410" s="337"/>
      <c r="AE410" s="337"/>
      <c r="AF410" s="337"/>
      <c r="AG410" s="297"/>
      <c r="AH410" s="297"/>
      <c r="AI410" s="297"/>
      <c r="AJ410" s="297"/>
      <c r="AK410" s="297"/>
      <c r="AL410" s="297"/>
      <c r="AM410" s="297"/>
      <c r="AN410" s="297"/>
      <c r="AO410" s="297"/>
      <c r="AP410" s="297"/>
      <c r="AQ410" s="297"/>
      <c r="AR410" s="297"/>
      <c r="AS410" s="297"/>
      <c r="AT410" s="297"/>
      <c r="AU410" s="297"/>
      <c r="AV410" s="297"/>
      <c r="AW410" s="297"/>
    </row>
    <row r="411" spans="1:49" s="295" customFormat="1">
      <c r="A411" s="294" t="s">
        <v>91</v>
      </c>
      <c r="N411" s="338"/>
      <c r="O411" s="338"/>
      <c r="P411" s="338"/>
      <c r="Q411" s="338"/>
      <c r="R411" s="339"/>
      <c r="S411" s="339"/>
      <c r="T411" s="339"/>
      <c r="U411" s="339"/>
      <c r="V411" s="339"/>
      <c r="W411" s="339"/>
      <c r="X411" s="339"/>
      <c r="Y411" s="339"/>
      <c r="Z411" s="339"/>
      <c r="AA411" s="339"/>
      <c r="AB411" s="339"/>
      <c r="AC411" s="339"/>
      <c r="AD411" s="339"/>
      <c r="AE411" s="339"/>
      <c r="AF411" s="339"/>
      <c r="AG411" s="297"/>
      <c r="AH411" s="297"/>
      <c r="AI411" s="297"/>
      <c r="AJ411" s="297"/>
      <c r="AK411" s="297"/>
      <c r="AL411" s="297"/>
      <c r="AM411" s="297"/>
      <c r="AN411" s="297"/>
      <c r="AO411" s="297"/>
      <c r="AP411" s="297"/>
      <c r="AQ411" s="297"/>
      <c r="AR411" s="297"/>
      <c r="AS411" s="297"/>
      <c r="AT411" s="297"/>
      <c r="AU411" s="297"/>
      <c r="AV411" s="297"/>
      <c r="AW411" s="297"/>
    </row>
    <row r="412" spans="1:49" s="307" customFormat="1">
      <c r="A412" s="340" t="s">
        <v>36</v>
      </c>
      <c r="N412" s="341">
        <v>92633</v>
      </c>
      <c r="O412" s="341">
        <v>85343</v>
      </c>
      <c r="P412" s="341">
        <v>97880</v>
      </c>
      <c r="Q412" s="341">
        <v>98672</v>
      </c>
      <c r="R412" s="342">
        <v>97205</v>
      </c>
      <c r="S412" s="342">
        <v>86538</v>
      </c>
      <c r="T412" s="342">
        <v>103337</v>
      </c>
      <c r="U412" s="342">
        <v>105574</v>
      </c>
      <c r="V412" s="342">
        <v>106442</v>
      </c>
      <c r="W412" s="342">
        <v>92799</v>
      </c>
      <c r="X412" s="342">
        <v>86995</v>
      </c>
      <c r="Y412" s="342">
        <v>85929</v>
      </c>
      <c r="Z412" s="342">
        <v>90218</v>
      </c>
      <c r="AA412" s="342">
        <v>92194</v>
      </c>
      <c r="AB412" s="342">
        <v>93079</v>
      </c>
      <c r="AC412" s="342">
        <v>97221</v>
      </c>
      <c r="AD412" s="342">
        <v>96291</v>
      </c>
      <c r="AE412" s="342">
        <v>90948</v>
      </c>
      <c r="AF412" s="342">
        <v>95919</v>
      </c>
      <c r="AG412" s="326"/>
      <c r="AH412" s="326"/>
      <c r="AI412" s="326"/>
      <c r="AJ412" s="326"/>
      <c r="AK412" s="326"/>
      <c r="AL412" s="326"/>
      <c r="AM412" s="326"/>
      <c r="AN412" s="326"/>
      <c r="AO412" s="326"/>
      <c r="AP412" s="326"/>
      <c r="AQ412" s="326"/>
      <c r="AR412" s="326"/>
      <c r="AS412" s="326"/>
      <c r="AT412" s="326"/>
      <c r="AU412" s="326"/>
      <c r="AV412" s="326"/>
      <c r="AW412" s="326"/>
    </row>
    <row r="413" spans="1:49" s="307" customFormat="1">
      <c r="A413" s="306" t="s">
        <v>29</v>
      </c>
      <c r="N413" s="575"/>
      <c r="O413" s="575"/>
      <c r="P413" s="575"/>
      <c r="Q413" s="575"/>
      <c r="R413" s="579"/>
      <c r="S413" s="579"/>
      <c r="T413" s="579"/>
      <c r="U413" s="579"/>
      <c r="V413" s="308">
        <v>33113</v>
      </c>
      <c r="W413" s="308">
        <v>33841</v>
      </c>
      <c r="X413" s="308">
        <v>34481</v>
      </c>
      <c r="Y413" s="308">
        <v>35905</v>
      </c>
      <c r="Z413" s="308">
        <v>35384</v>
      </c>
      <c r="AA413" s="308">
        <v>37813</v>
      </c>
      <c r="AB413" s="308">
        <v>38669</v>
      </c>
      <c r="AC413" s="308">
        <v>40134</v>
      </c>
      <c r="AD413" s="308">
        <v>40805</v>
      </c>
      <c r="AE413" s="308">
        <v>41607</v>
      </c>
      <c r="AF413" s="308">
        <v>43066</v>
      </c>
      <c r="AG413" s="1342">
        <f>AF413*(1+Assumptions!AG20)</f>
        <v>45357.864216341775</v>
      </c>
      <c r="AH413" s="1342">
        <f>AG413*(1+Assumptions!AH20)</f>
        <v>47891.297751838203</v>
      </c>
      <c r="AI413" s="1342">
        <f>AH413*(1+Assumptions!AI20)</f>
        <v>50566.23454348807</v>
      </c>
      <c r="AJ413" s="1342">
        <f>AI413*(1+Assumptions!AJ20)</f>
        <v>53390.578162165242</v>
      </c>
      <c r="AK413" s="1342">
        <f>AJ413*(1+Assumptions!AK20)</f>
        <v>56372.673627472446</v>
      </c>
      <c r="AL413" s="1342">
        <f>AK413*(1+Assumptions!AL20)</f>
        <v>59564.511176881759</v>
      </c>
      <c r="AM413" s="1342">
        <f>AL413*(1+Assumptions!AM20)</f>
        <v>62937.071517782984</v>
      </c>
      <c r="AN413" s="1342">
        <f>AM413*(1+Assumptions!AN20)</f>
        <v>66500.58722838822</v>
      </c>
      <c r="AO413" s="1342">
        <f>AN413*(1+Assumptions!AO20)</f>
        <v>70265.870258531693</v>
      </c>
      <c r="AP413" s="1342">
        <f>AO413*(1+Assumptions!AP20)</f>
        <v>74226.623169035011</v>
      </c>
      <c r="AQ413" s="1342">
        <f>AP413*(1+Assumptions!AQ20)</f>
        <v>78410.636156732857</v>
      </c>
      <c r="AR413" s="1342">
        <f>AQ413*(1+Assumptions!AR20)</f>
        <v>82830.493965787566</v>
      </c>
      <c r="AS413" s="1342">
        <f>AR413*(1+Assumptions!AS20)</f>
        <v>87499.490718355155</v>
      </c>
      <c r="AT413" s="1342">
        <f>AS413*(1+Assumptions!AT20)</f>
        <v>92378.716085066568</v>
      </c>
      <c r="AU413" s="1342">
        <f>AT413*(1+Assumptions!AU20)</f>
        <v>97530.021208856677</v>
      </c>
      <c r="AV413" s="1342">
        <f>AU413*(1+Assumptions!AV20)</f>
        <v>102968.57804606041</v>
      </c>
      <c r="AW413" s="1342">
        <f>AV413*(1+Assumptions!AW20)</f>
        <v>108710.40458529934</v>
      </c>
    </row>
    <row r="414" spans="1:49" s="295" customFormat="1">
      <c r="A414" s="344" t="s">
        <v>92</v>
      </c>
      <c r="N414" s="345">
        <v>21529</v>
      </c>
      <c r="O414" s="345">
        <v>22939</v>
      </c>
      <c r="P414" s="345">
        <v>21250</v>
      </c>
      <c r="Q414" s="345">
        <v>22349</v>
      </c>
      <c r="R414" s="334">
        <v>25287</v>
      </c>
      <c r="S414" s="334">
        <v>24613</v>
      </c>
      <c r="T414" s="334">
        <v>26706</v>
      </c>
      <c r="U414" s="334">
        <v>25896</v>
      </c>
      <c r="V414" s="334">
        <v>27260</v>
      </c>
      <c r="W414" s="334">
        <v>25467</v>
      </c>
      <c r="X414" s="334">
        <v>26606</v>
      </c>
      <c r="Y414" s="334">
        <v>26835</v>
      </c>
      <c r="Z414" s="334">
        <v>27649</v>
      </c>
      <c r="AA414" s="334">
        <v>31644</v>
      </c>
      <c r="AB414" s="334">
        <v>32264</v>
      </c>
      <c r="AC414" s="334">
        <v>34605</v>
      </c>
      <c r="AD414" s="334">
        <v>33077</v>
      </c>
      <c r="AE414" s="334">
        <v>32293</v>
      </c>
      <c r="AF414" s="334">
        <v>31237</v>
      </c>
      <c r="AG414" s="297"/>
      <c r="AH414" s="297"/>
      <c r="AI414" s="297"/>
      <c r="AJ414" s="297"/>
      <c r="AK414" s="297"/>
      <c r="AL414" s="297"/>
      <c r="AM414" s="297"/>
      <c r="AN414" s="297"/>
      <c r="AO414" s="297"/>
      <c r="AP414" s="297"/>
      <c r="AQ414" s="297"/>
      <c r="AR414" s="297"/>
      <c r="AS414" s="297"/>
      <c r="AT414" s="297"/>
      <c r="AU414" s="297"/>
      <c r="AV414" s="297"/>
      <c r="AW414" s="297"/>
    </row>
    <row r="415" spans="1:49" s="307" customFormat="1">
      <c r="A415" s="346" t="s">
        <v>181</v>
      </c>
      <c r="N415" s="580"/>
      <c r="O415" s="580"/>
      <c r="P415" s="580"/>
      <c r="Q415" s="580"/>
      <c r="R415" s="580"/>
      <c r="S415" s="580"/>
      <c r="T415" s="580"/>
      <c r="U415" s="580"/>
      <c r="V415" s="347">
        <f t="shared" ref="V415:AA415" si="517">V414/V412</f>
        <v>0.2561019146577479</v>
      </c>
      <c r="W415" s="347">
        <f t="shared" si="517"/>
        <v>0.27443183654996284</v>
      </c>
      <c r="X415" s="347">
        <f t="shared" si="517"/>
        <v>0.30583366860164379</v>
      </c>
      <c r="Y415" s="347">
        <f t="shared" si="517"/>
        <v>0.31229270676954229</v>
      </c>
      <c r="Z415" s="347">
        <f t="shared" si="517"/>
        <v>0.30646877563235719</v>
      </c>
      <c r="AA415" s="347">
        <f t="shared" si="517"/>
        <v>0.34323274833503264</v>
      </c>
      <c r="AB415" s="347">
        <f t="shared" ref="AB415:AC415" si="518">AB414/AB412</f>
        <v>0.34663028180362915</v>
      </c>
      <c r="AC415" s="347">
        <f t="shared" si="518"/>
        <v>0.35594161755176351</v>
      </c>
      <c r="AD415" s="347">
        <f t="shared" ref="AD415:AF415" si="519">AD414/AD412</f>
        <v>0.34351081617181251</v>
      </c>
      <c r="AE415" s="347">
        <f t="shared" si="519"/>
        <v>0.35507102959933151</v>
      </c>
      <c r="AF415" s="347">
        <f t="shared" si="519"/>
        <v>0.32566019245404976</v>
      </c>
      <c r="AG415" s="343"/>
      <c r="AH415" s="343"/>
      <c r="AI415" s="343"/>
      <c r="AJ415" s="343"/>
      <c r="AK415" s="343"/>
      <c r="AL415" s="343"/>
      <c r="AM415" s="343"/>
      <c r="AN415" s="343"/>
      <c r="AO415" s="343"/>
      <c r="AP415" s="343"/>
      <c r="AQ415" s="343"/>
      <c r="AR415" s="343"/>
      <c r="AS415" s="343"/>
      <c r="AT415" s="343"/>
      <c r="AU415" s="343"/>
      <c r="AV415" s="343"/>
      <c r="AW415" s="343"/>
    </row>
    <row r="416" spans="1:49" s="301" customFormat="1">
      <c r="A416" s="348" t="s">
        <v>182</v>
      </c>
      <c r="N416" s="581"/>
      <c r="O416" s="581"/>
      <c r="P416" s="581"/>
      <c r="Q416" s="581"/>
      <c r="R416" s="581"/>
      <c r="S416" s="581"/>
      <c r="T416" s="581"/>
      <c r="U416" s="581"/>
      <c r="V416" s="349">
        <f t="shared" ref="V416:AA416" si="520">V414/V413</f>
        <v>0.82324162715549787</v>
      </c>
      <c r="W416" s="349">
        <f t="shared" si="520"/>
        <v>0.75254868354954052</v>
      </c>
      <c r="X416" s="349">
        <f t="shared" si="520"/>
        <v>0.77161335228096628</v>
      </c>
      <c r="Y416" s="349">
        <f t="shared" si="520"/>
        <v>0.74738894304414427</v>
      </c>
      <c r="Z416" s="349">
        <f t="shared" si="520"/>
        <v>0.78139837214560248</v>
      </c>
      <c r="AA416" s="349">
        <f t="shared" si="520"/>
        <v>0.83685504985058046</v>
      </c>
      <c r="AB416" s="349">
        <f t="shared" ref="AB416:AC416" si="521">AB414/AB413</f>
        <v>0.8343634435853009</v>
      </c>
      <c r="AC416" s="349">
        <f t="shared" si="521"/>
        <v>0.86223650769920768</v>
      </c>
      <c r="AD416" s="349">
        <f t="shared" ref="AD416:AF416" si="522">AD414/AD413</f>
        <v>0.81061144467589752</v>
      </c>
      <c r="AE416" s="349">
        <f t="shared" si="522"/>
        <v>0.77614343740236014</v>
      </c>
      <c r="AF416" s="349">
        <f t="shared" si="522"/>
        <v>0.72532856545766966</v>
      </c>
      <c r="AG416" s="350">
        <f>AVERAGE(AC416:AF416)</f>
        <v>0.79357998880878378</v>
      </c>
      <c r="AH416" s="350">
        <f t="shared" ref="AH416:AS416" si="523">AG416</f>
        <v>0.79357998880878378</v>
      </c>
      <c r="AI416" s="350">
        <f t="shared" si="523"/>
        <v>0.79357998880878378</v>
      </c>
      <c r="AJ416" s="350">
        <f t="shared" si="523"/>
        <v>0.79357998880878378</v>
      </c>
      <c r="AK416" s="350">
        <f t="shared" si="523"/>
        <v>0.79357998880878378</v>
      </c>
      <c r="AL416" s="350">
        <f t="shared" si="523"/>
        <v>0.79357998880878378</v>
      </c>
      <c r="AM416" s="350">
        <f t="shared" si="523"/>
        <v>0.79357998880878378</v>
      </c>
      <c r="AN416" s="350">
        <f t="shared" si="523"/>
        <v>0.79357998880878378</v>
      </c>
      <c r="AO416" s="350">
        <f t="shared" si="523"/>
        <v>0.79357998880878378</v>
      </c>
      <c r="AP416" s="350">
        <f t="shared" si="523"/>
        <v>0.79357998880878378</v>
      </c>
      <c r="AQ416" s="350">
        <f t="shared" si="523"/>
        <v>0.79357998880878378</v>
      </c>
      <c r="AR416" s="350">
        <f t="shared" si="523"/>
        <v>0.79357998880878378</v>
      </c>
      <c r="AS416" s="350">
        <f t="shared" si="523"/>
        <v>0.79357998880878378</v>
      </c>
      <c r="AT416" s="350">
        <f t="shared" ref="AT416" si="524">AS416</f>
        <v>0.79357998880878378</v>
      </c>
      <c r="AU416" s="350">
        <f t="shared" ref="AU416" si="525">AT416</f>
        <v>0.79357998880878378</v>
      </c>
      <c r="AV416" s="350">
        <f t="shared" ref="AV416" si="526">AU416</f>
        <v>0.79357998880878378</v>
      </c>
      <c r="AW416" s="350">
        <f t="shared" ref="AW416" si="527">AV416</f>
        <v>0.79357998880878378</v>
      </c>
    </row>
    <row r="417" spans="1:49" s="295" customFormat="1" ht="16.5" thickBot="1">
      <c r="A417" s="335" t="s">
        <v>93</v>
      </c>
      <c r="N417" s="351"/>
      <c r="O417" s="351"/>
      <c r="P417" s="351"/>
      <c r="Q417" s="351"/>
      <c r="R417" s="352"/>
      <c r="S417" s="352"/>
      <c r="T417" s="352"/>
      <c r="U417" s="353">
        <v>137843</v>
      </c>
      <c r="V417" s="353">
        <v>115305</v>
      </c>
      <c r="W417" s="353">
        <v>107755</v>
      </c>
      <c r="X417" s="353">
        <v>100402</v>
      </c>
      <c r="Y417" s="353">
        <v>98632</v>
      </c>
      <c r="Z417" s="353">
        <v>103872</v>
      </c>
      <c r="AA417" s="353">
        <v>107595</v>
      </c>
      <c r="AB417" s="353">
        <v>108495</v>
      </c>
      <c r="AC417" s="353">
        <v>108926</v>
      </c>
      <c r="AD417" s="353">
        <v>106474</v>
      </c>
      <c r="AE417" s="353">
        <v>101583</v>
      </c>
      <c r="AF417" s="353">
        <v>106128</v>
      </c>
      <c r="AG417" s="297"/>
      <c r="AH417" s="297"/>
      <c r="AI417" s="297"/>
      <c r="AJ417" s="297"/>
      <c r="AK417" s="297"/>
      <c r="AL417" s="297"/>
      <c r="AM417" s="297"/>
      <c r="AN417" s="297"/>
      <c r="AO417" s="297"/>
      <c r="AP417" s="297"/>
      <c r="AQ417" s="297"/>
      <c r="AR417" s="297"/>
      <c r="AS417" s="297"/>
      <c r="AT417" s="297"/>
      <c r="AU417" s="297"/>
      <c r="AV417" s="297"/>
      <c r="AW417" s="297"/>
    </row>
    <row r="418" spans="1:49" s="295" customFormat="1">
      <c r="A418" s="354"/>
      <c r="N418" s="338"/>
      <c r="O418" s="338"/>
      <c r="P418" s="338"/>
      <c r="Q418" s="338"/>
      <c r="R418" s="339"/>
      <c r="S418" s="339"/>
      <c r="T418" s="339"/>
      <c r="U418" s="339"/>
      <c r="V418" s="339"/>
      <c r="W418" s="339"/>
      <c r="X418" s="339"/>
      <c r="Y418" s="339"/>
      <c r="Z418" s="339"/>
      <c r="AA418" s="339"/>
      <c r="AB418" s="339"/>
      <c r="AC418" s="297"/>
      <c r="AD418" s="297"/>
      <c r="AE418" s="297"/>
      <c r="AF418" s="297"/>
      <c r="AG418" s="297"/>
      <c r="AH418" s="297"/>
      <c r="AI418" s="297"/>
      <c r="AJ418" s="297"/>
      <c r="AK418" s="297"/>
      <c r="AL418" s="297"/>
      <c r="AM418" s="297"/>
      <c r="AN418" s="297"/>
      <c r="AO418" s="297"/>
      <c r="AP418" s="297"/>
      <c r="AQ418" s="297"/>
      <c r="AR418" s="297"/>
      <c r="AS418" s="297"/>
      <c r="AT418" s="297"/>
      <c r="AU418" s="297"/>
      <c r="AV418" s="297"/>
      <c r="AW418" s="297"/>
    </row>
    <row r="419" spans="1:49" s="295" customFormat="1">
      <c r="A419" s="294" t="s">
        <v>88</v>
      </c>
      <c r="N419" s="574"/>
      <c r="O419" s="574"/>
      <c r="P419" s="574"/>
      <c r="Q419" s="574"/>
      <c r="R419" s="337"/>
      <c r="S419" s="337"/>
      <c r="T419" s="337"/>
      <c r="U419" s="337"/>
      <c r="V419" s="337"/>
      <c r="W419" s="337"/>
      <c r="X419" s="337"/>
      <c r="Y419" s="337"/>
      <c r="Z419" s="337"/>
      <c r="AA419" s="337"/>
      <c r="AB419" s="337"/>
      <c r="AC419" s="297"/>
      <c r="AD419" s="297"/>
      <c r="AE419" s="297"/>
      <c r="AF419" s="297"/>
      <c r="AG419" s="297"/>
      <c r="AH419" s="297"/>
      <c r="AI419" s="297"/>
      <c r="AJ419" s="297"/>
      <c r="AK419" s="297"/>
      <c r="AL419" s="297"/>
      <c r="AM419" s="297"/>
      <c r="AN419" s="297"/>
      <c r="AO419" s="297"/>
      <c r="AP419" s="297"/>
      <c r="AQ419" s="297"/>
      <c r="AR419" s="297"/>
      <c r="AS419" s="297"/>
      <c r="AT419" s="297"/>
      <c r="AU419" s="297"/>
      <c r="AV419" s="297"/>
      <c r="AW419" s="297"/>
    </row>
    <row r="420" spans="1:49" s="356" customFormat="1">
      <c r="A420" s="355" t="s">
        <v>89</v>
      </c>
      <c r="N420" s="357"/>
      <c r="O420" s="357"/>
      <c r="P420" s="357"/>
      <c r="Q420" s="357"/>
      <c r="R420" s="358"/>
      <c r="S420" s="358"/>
      <c r="T420" s="358"/>
      <c r="U420" s="359">
        <v>7.1</v>
      </c>
      <c r="V420" s="359">
        <v>29.4</v>
      </c>
      <c r="W420" s="359">
        <v>26.4</v>
      </c>
      <c r="X420" s="359">
        <v>12.5</v>
      </c>
      <c r="Y420" s="360">
        <v>0</v>
      </c>
      <c r="Z420" s="359">
        <v>20.8</v>
      </c>
      <c r="AA420" s="359">
        <v>15.6</v>
      </c>
      <c r="AB420" s="359">
        <v>11.3</v>
      </c>
      <c r="AC420" s="359">
        <v>7.6</v>
      </c>
      <c r="AD420" s="359">
        <v>10.9</v>
      </c>
      <c r="AE420" s="359">
        <v>14.4</v>
      </c>
      <c r="AF420" s="359">
        <v>16.8</v>
      </c>
      <c r="AG420" s="361"/>
      <c r="AH420" s="361"/>
      <c r="AI420" s="361"/>
      <c r="AJ420" s="361"/>
      <c r="AK420" s="361"/>
      <c r="AL420" s="361"/>
      <c r="AM420" s="361"/>
      <c r="AN420" s="361"/>
      <c r="AO420" s="361"/>
      <c r="AP420" s="361"/>
      <c r="AQ420" s="361"/>
      <c r="AR420" s="361"/>
      <c r="AS420" s="361"/>
      <c r="AT420" s="361"/>
      <c r="AU420" s="361"/>
      <c r="AV420" s="361"/>
      <c r="AW420" s="361"/>
    </row>
    <row r="421" spans="1:49" s="363" customFormat="1" ht="16.5" thickBot="1">
      <c r="A421" s="362" t="s">
        <v>90</v>
      </c>
      <c r="N421" s="364">
        <v>0.65300000000000002</v>
      </c>
      <c r="O421" s="364">
        <v>0.72799999999999998</v>
      </c>
      <c r="P421" s="364">
        <v>0.83799999999999997</v>
      </c>
      <c r="Q421" s="364">
        <v>0.84099999999999997</v>
      </c>
      <c r="R421" s="364">
        <v>0.68527315914489306</v>
      </c>
      <c r="S421" s="364">
        <v>0.76684636118598382</v>
      </c>
      <c r="T421" s="364">
        <v>0.63054187192118227</v>
      </c>
      <c r="U421" s="364">
        <v>0.82744565217391308</v>
      </c>
      <c r="V421" s="364">
        <v>0.57536764705882348</v>
      </c>
      <c r="W421" s="364">
        <v>0.6365384615384615</v>
      </c>
      <c r="X421" s="364">
        <v>0.78983050847457614</v>
      </c>
      <c r="Y421" s="364">
        <v>1.7433414043583533</v>
      </c>
      <c r="Z421" s="364">
        <v>0.73318632855567811</v>
      </c>
      <c r="AA421" s="364">
        <f>AA403/AA393</f>
        <v>0.77058177826564211</v>
      </c>
      <c r="AB421" s="364">
        <f>AB403/AB393</f>
        <v>0.79716466739367497</v>
      </c>
      <c r="AC421" s="364">
        <v>0.86799999999999999</v>
      </c>
      <c r="AD421" s="364">
        <v>0.82900000000000007</v>
      </c>
      <c r="AE421" s="364">
        <v>0.77900000000000003</v>
      </c>
      <c r="AF421" s="364">
        <v>0.74900000000000011</v>
      </c>
      <c r="AG421" s="365">
        <f>Assumptions!AG19</f>
        <v>0.78590000000000004</v>
      </c>
      <c r="AH421" s="365">
        <f>Assumptions!AH19</f>
        <v>0.78590000000000004</v>
      </c>
      <c r="AI421" s="365">
        <f>Assumptions!AI19</f>
        <v>0.78590000000000004</v>
      </c>
      <c r="AJ421" s="365">
        <f>Assumptions!AJ19</f>
        <v>0.78590000000000004</v>
      </c>
      <c r="AK421" s="365">
        <f>Assumptions!AK19</f>
        <v>0.78590000000000004</v>
      </c>
      <c r="AL421" s="365">
        <f>Assumptions!AL19</f>
        <v>0.78590000000000004</v>
      </c>
      <c r="AM421" s="365">
        <f>Assumptions!AM19</f>
        <v>0.78590000000000004</v>
      </c>
      <c r="AN421" s="365">
        <f>Assumptions!AN19</f>
        <v>0.78590000000000004</v>
      </c>
      <c r="AO421" s="365">
        <f>Assumptions!AO19</f>
        <v>0.78590000000000004</v>
      </c>
      <c r="AP421" s="365">
        <f>Assumptions!AP19</f>
        <v>0.78590000000000004</v>
      </c>
      <c r="AQ421" s="365">
        <f>Assumptions!AQ19</f>
        <v>0.78590000000000004</v>
      </c>
      <c r="AR421" s="365">
        <f>Assumptions!AR19</f>
        <v>0.78590000000000004</v>
      </c>
      <c r="AS421" s="365">
        <f>Assumptions!AS19</f>
        <v>0.78590000000000004</v>
      </c>
      <c r="AT421" s="365">
        <f>Assumptions!AT19</f>
        <v>0.78590000000000004</v>
      </c>
      <c r="AU421" s="365">
        <f>Assumptions!AU19</f>
        <v>0.78590000000000004</v>
      </c>
      <c r="AV421" s="365">
        <f>Assumptions!AV19</f>
        <v>0.78590000000000004</v>
      </c>
      <c r="AW421" s="365">
        <f>Assumptions!AW19</f>
        <v>0.78590000000000004</v>
      </c>
    </row>
    <row r="422" spans="1:49" s="295" customFormat="1">
      <c r="A422" s="354"/>
      <c r="N422" s="338"/>
      <c r="O422" s="338"/>
      <c r="P422" s="338"/>
      <c r="Q422" s="338"/>
      <c r="R422" s="582"/>
      <c r="S422" s="582"/>
      <c r="T422" s="582"/>
      <c r="U422" s="582"/>
      <c r="V422" s="582"/>
      <c r="W422" s="582"/>
      <c r="X422" s="582"/>
      <c r="Y422" s="582"/>
      <c r="Z422" s="582"/>
      <c r="AA422" s="582"/>
      <c r="AB422" s="582"/>
      <c r="AC422" s="582"/>
      <c r="AD422" s="582"/>
      <c r="AE422" s="582"/>
      <c r="AF422" s="582"/>
      <c r="AG422" s="297"/>
      <c r="AH422" s="297"/>
      <c r="AI422" s="297"/>
      <c r="AJ422" s="297"/>
      <c r="AK422" s="297"/>
      <c r="AL422" s="297"/>
      <c r="AM422" s="297"/>
      <c r="AN422" s="297"/>
      <c r="AO422" s="297"/>
      <c r="AP422" s="297"/>
      <c r="AQ422" s="297"/>
      <c r="AR422" s="297"/>
      <c r="AS422" s="297"/>
      <c r="AT422" s="297"/>
      <c r="AU422" s="297"/>
      <c r="AV422" s="297"/>
      <c r="AW422" s="297"/>
    </row>
    <row r="423" spans="1:49" s="295" customFormat="1">
      <c r="A423" s="294" t="s">
        <v>104</v>
      </c>
      <c r="N423" s="574"/>
      <c r="O423" s="574"/>
      <c r="P423" s="574"/>
      <c r="Q423" s="574"/>
      <c r="R423" s="339"/>
      <c r="S423" s="339"/>
      <c r="T423" s="339"/>
      <c r="U423" s="339"/>
      <c r="V423" s="339"/>
      <c r="W423" s="339"/>
      <c r="X423" s="339"/>
      <c r="Y423" s="339"/>
      <c r="Z423" s="339"/>
      <c r="AA423" s="339"/>
      <c r="AB423" s="339"/>
      <c r="AC423" s="339"/>
      <c r="AD423" s="339"/>
      <c r="AE423" s="339"/>
      <c r="AF423" s="339"/>
      <c r="AG423" s="297"/>
      <c r="AH423" s="297"/>
      <c r="AI423" s="297"/>
      <c r="AJ423" s="297"/>
      <c r="AK423" s="297"/>
      <c r="AL423" s="297"/>
      <c r="AM423" s="297"/>
      <c r="AN423" s="297"/>
      <c r="AO423" s="297"/>
      <c r="AP423" s="297"/>
      <c r="AQ423" s="297"/>
      <c r="AR423" s="297"/>
      <c r="AS423" s="297"/>
      <c r="AT423" s="297"/>
      <c r="AU423" s="297"/>
      <c r="AV423" s="297"/>
      <c r="AW423" s="297"/>
    </row>
    <row r="424" spans="1:49" s="295" customFormat="1" ht="16.5" thickBot="1">
      <c r="A424" s="366" t="s">
        <v>105</v>
      </c>
      <c r="N424" s="367">
        <v>2117</v>
      </c>
      <c r="O424" s="367">
        <v>2437</v>
      </c>
      <c r="P424" s="367">
        <v>2498</v>
      </c>
      <c r="Q424" s="367">
        <v>2462</v>
      </c>
      <c r="R424" s="368">
        <v>2931</v>
      </c>
      <c r="S424" s="368">
        <v>3050</v>
      </c>
      <c r="T424" s="368">
        <v>3420</v>
      </c>
      <c r="U424" s="368">
        <v>3432</v>
      </c>
      <c r="V424" s="368">
        <v>3329</v>
      </c>
      <c r="W424" s="369">
        <v>3321</v>
      </c>
      <c r="X424" s="368">
        <v>3341</v>
      </c>
      <c r="Y424" s="368">
        <v>3582</v>
      </c>
      <c r="Z424" s="369">
        <v>3796</v>
      </c>
      <c r="AA424" s="369">
        <v>4073</v>
      </c>
      <c r="AB424" s="369">
        <v>4320</v>
      </c>
      <c r="AC424" s="369">
        <v>4453</v>
      </c>
      <c r="AD424" s="369">
        <v>4342</v>
      </c>
      <c r="AE424" s="369">
        <v>4067</v>
      </c>
      <c r="AF424" s="369">
        <v>3658</v>
      </c>
      <c r="AG424" s="297"/>
      <c r="AH424" s="297"/>
      <c r="AI424" s="297"/>
      <c r="AJ424" s="297"/>
      <c r="AK424" s="297"/>
      <c r="AL424" s="297"/>
      <c r="AM424" s="297"/>
      <c r="AN424" s="297"/>
      <c r="AO424" s="297"/>
      <c r="AP424" s="297"/>
      <c r="AQ424" s="297"/>
      <c r="AR424" s="297"/>
      <c r="AS424" s="297"/>
      <c r="AT424" s="297"/>
      <c r="AU424" s="297"/>
      <c r="AV424" s="297"/>
      <c r="AW424" s="297"/>
    </row>
    <row r="425" spans="1:49" s="295" customFormat="1" ht="16.5" thickBot="1">
      <c r="A425" s="370" t="s">
        <v>106</v>
      </c>
      <c r="N425" s="371">
        <v>60.9</v>
      </c>
      <c r="O425" s="371">
        <v>36.299999999999997</v>
      </c>
      <c r="P425" s="371">
        <v>16.100000000000001</v>
      </c>
      <c r="Q425" s="371">
        <v>17.8</v>
      </c>
      <c r="R425" s="372">
        <v>36.1</v>
      </c>
      <c r="S425" s="372">
        <v>22.2</v>
      </c>
      <c r="T425" s="372">
        <v>40.4</v>
      </c>
      <c r="U425" s="372">
        <v>14.2</v>
      </c>
      <c r="V425" s="372">
        <v>55.9</v>
      </c>
      <c r="W425" s="373">
        <v>44.2</v>
      </c>
      <c r="X425" s="372">
        <v>19.399999999999999</v>
      </c>
      <c r="Y425" s="372">
        <v>-68.900000000000006</v>
      </c>
      <c r="Z425" s="373">
        <v>27.9</v>
      </c>
      <c r="AA425" s="373">
        <v>20.3</v>
      </c>
      <c r="AB425" s="373">
        <v>14.1</v>
      </c>
      <c r="AC425" s="373">
        <v>9.3000000000000007</v>
      </c>
      <c r="AD425" s="373">
        <v>13.5</v>
      </c>
      <c r="AE425" s="373">
        <v>18.5</v>
      </c>
      <c r="AF425" s="373">
        <v>23.8</v>
      </c>
      <c r="AG425" s="297"/>
      <c r="AH425" s="297"/>
      <c r="AI425" s="297"/>
      <c r="AJ425" s="297"/>
      <c r="AK425" s="297"/>
      <c r="AL425" s="297"/>
      <c r="AM425" s="297"/>
      <c r="AN425" s="297"/>
      <c r="AO425" s="297"/>
      <c r="AP425" s="297"/>
      <c r="AQ425" s="297"/>
      <c r="AR425" s="297"/>
      <c r="AS425" s="297"/>
      <c r="AT425" s="297"/>
      <c r="AU425" s="297"/>
      <c r="AV425" s="297"/>
      <c r="AW425" s="297"/>
    </row>
    <row r="426" spans="1:49" s="295" customFormat="1">
      <c r="A426" s="333"/>
      <c r="N426" s="574"/>
      <c r="O426" s="574"/>
      <c r="P426" s="574"/>
      <c r="Q426" s="574"/>
      <c r="R426" s="374"/>
      <c r="S426" s="374"/>
      <c r="T426" s="374"/>
      <c r="U426" s="374"/>
      <c r="V426" s="374"/>
      <c r="W426" s="374"/>
      <c r="X426" s="374"/>
      <c r="Y426" s="374"/>
      <c r="Z426" s="374"/>
      <c r="AA426" s="374"/>
      <c r="AB426" s="374"/>
      <c r="AC426" s="374"/>
      <c r="AD426" s="374"/>
      <c r="AE426" s="374"/>
      <c r="AF426" s="374"/>
      <c r="AG426" s="297"/>
      <c r="AH426" s="297"/>
      <c r="AI426" s="297"/>
      <c r="AJ426" s="297"/>
      <c r="AK426" s="297"/>
      <c r="AL426" s="297"/>
      <c r="AM426" s="297"/>
      <c r="AN426" s="297"/>
      <c r="AO426" s="297"/>
      <c r="AP426" s="297"/>
      <c r="AQ426" s="297"/>
      <c r="AR426" s="297"/>
      <c r="AS426" s="297"/>
      <c r="AT426" s="297"/>
      <c r="AU426" s="297"/>
      <c r="AV426" s="297"/>
      <c r="AW426" s="297"/>
    </row>
    <row r="427" spans="1:49" s="295" customFormat="1">
      <c r="A427" s="375" t="s">
        <v>107</v>
      </c>
      <c r="N427" s="574"/>
      <c r="O427" s="574"/>
      <c r="P427" s="574"/>
      <c r="Q427" s="574"/>
      <c r="R427" s="376"/>
      <c r="S427" s="376"/>
      <c r="T427" s="376"/>
      <c r="U427" s="376"/>
      <c r="V427" s="376"/>
      <c r="W427" s="376"/>
      <c r="X427" s="376"/>
      <c r="Y427" s="376"/>
      <c r="Z427" s="376"/>
      <c r="AA427" s="376"/>
      <c r="AB427" s="376"/>
      <c r="AC427" s="376"/>
      <c r="AD427" s="376"/>
      <c r="AE427" s="376"/>
      <c r="AF427" s="376"/>
      <c r="AG427" s="297"/>
      <c r="AH427" s="297"/>
      <c r="AI427" s="297"/>
      <c r="AJ427" s="297"/>
      <c r="AK427" s="297"/>
      <c r="AL427" s="297"/>
      <c r="AM427" s="297"/>
      <c r="AN427" s="297"/>
      <c r="AO427" s="297"/>
      <c r="AP427" s="297"/>
      <c r="AQ427" s="297"/>
      <c r="AR427" s="297"/>
      <c r="AS427" s="297"/>
      <c r="AT427" s="297"/>
      <c r="AU427" s="297"/>
      <c r="AV427" s="297"/>
      <c r="AW427" s="297"/>
    </row>
    <row r="428" spans="1:49" s="295" customFormat="1" ht="16.5" thickBot="1">
      <c r="A428" s="335" t="s">
        <v>108</v>
      </c>
      <c r="N428" s="574"/>
      <c r="O428" s="574"/>
      <c r="P428" s="574"/>
      <c r="Q428" s="574"/>
      <c r="R428" s="353">
        <v>5710</v>
      </c>
      <c r="S428" s="353">
        <v>5740</v>
      </c>
      <c r="T428" s="353">
        <v>5880</v>
      </c>
      <c r="U428" s="353">
        <v>5910</v>
      </c>
      <c r="V428" s="353">
        <v>6110</v>
      </c>
      <c r="W428" s="353">
        <v>6170</v>
      </c>
      <c r="X428" s="353">
        <v>6390</v>
      </c>
      <c r="Y428" s="353">
        <v>6590</v>
      </c>
      <c r="Z428" s="353">
        <v>6730</v>
      </c>
      <c r="AA428" s="353">
        <v>7020</v>
      </c>
      <c r="AB428" s="353">
        <v>7140</v>
      </c>
      <c r="AC428" s="353">
        <v>6980</v>
      </c>
      <c r="AD428" s="353">
        <v>7080</v>
      </c>
      <c r="AE428" s="353">
        <v>7000</v>
      </c>
      <c r="AF428" s="353">
        <v>7050</v>
      </c>
      <c r="AG428" s="297"/>
      <c r="AH428" s="297"/>
      <c r="AI428" s="297"/>
      <c r="AJ428" s="297"/>
      <c r="AK428" s="297"/>
      <c r="AL428" s="297"/>
      <c r="AM428" s="297"/>
      <c r="AN428" s="297"/>
      <c r="AO428" s="297"/>
      <c r="AP428" s="297"/>
      <c r="AQ428" s="297"/>
      <c r="AR428" s="297"/>
      <c r="AS428" s="297"/>
      <c r="AT428" s="297"/>
      <c r="AU428" s="297"/>
      <c r="AV428" s="297"/>
      <c r="AW428" s="297"/>
    </row>
    <row r="429" spans="1:49" s="295" customFormat="1">
      <c r="A429" s="354"/>
      <c r="N429" s="574"/>
      <c r="O429" s="574"/>
      <c r="P429" s="574"/>
      <c r="Q429" s="574"/>
      <c r="R429" s="582"/>
      <c r="S429" s="582"/>
      <c r="T429" s="582"/>
      <c r="U429" s="582"/>
      <c r="V429" s="582"/>
      <c r="W429" s="582"/>
      <c r="X429" s="582"/>
      <c r="Y429" s="582"/>
      <c r="Z429" s="582"/>
      <c r="AA429" s="582"/>
      <c r="AB429" s="582"/>
      <c r="AC429" s="297"/>
      <c r="AD429" s="297"/>
      <c r="AE429" s="297"/>
      <c r="AF429" s="297"/>
      <c r="AG429" s="297"/>
      <c r="AH429" s="297"/>
      <c r="AI429" s="297"/>
      <c r="AJ429" s="297"/>
      <c r="AK429" s="297"/>
      <c r="AL429" s="297"/>
      <c r="AM429" s="297"/>
      <c r="AN429" s="297"/>
      <c r="AO429" s="297"/>
      <c r="AP429" s="297"/>
      <c r="AQ429" s="297"/>
      <c r="AR429" s="297"/>
      <c r="AS429" s="297"/>
      <c r="AT429" s="297"/>
      <c r="AU429" s="297"/>
      <c r="AV429" s="297"/>
      <c r="AW429" s="297"/>
    </row>
    <row r="430" spans="1:49" hidden="1" outlineLevel="1">
      <c r="A430" s="58" t="s">
        <v>94</v>
      </c>
      <c r="N430" s="563"/>
      <c r="O430" s="563"/>
      <c r="P430" s="563"/>
      <c r="Q430" s="563"/>
      <c r="R430" s="57"/>
      <c r="S430" s="57"/>
      <c r="T430" s="57"/>
      <c r="U430" s="57"/>
      <c r="V430" s="57"/>
      <c r="W430" s="57"/>
      <c r="X430" s="57"/>
      <c r="Y430" s="57"/>
      <c r="Z430" s="57"/>
      <c r="AA430" s="57"/>
      <c r="AT430" s="18"/>
      <c r="AU430" s="18"/>
      <c r="AV430" s="18"/>
      <c r="AW430" s="18"/>
    </row>
    <row r="431" spans="1:49" hidden="1" outlineLevel="1">
      <c r="A431" s="36" t="s">
        <v>5</v>
      </c>
      <c r="N431" s="88">
        <v>246</v>
      </c>
      <c r="O431" s="88">
        <v>268</v>
      </c>
      <c r="P431" s="88">
        <v>239</v>
      </c>
      <c r="Q431" s="88">
        <v>211</v>
      </c>
      <c r="R431" s="51">
        <v>252</v>
      </c>
      <c r="S431" s="51">
        <v>239</v>
      </c>
      <c r="T431" s="51">
        <v>273</v>
      </c>
      <c r="U431" s="51">
        <v>273</v>
      </c>
      <c r="V431" s="51">
        <v>297</v>
      </c>
      <c r="W431" s="51">
        <v>307</v>
      </c>
      <c r="X431" s="51">
        <v>303</v>
      </c>
      <c r="Y431" s="51">
        <v>271</v>
      </c>
      <c r="Z431" s="51">
        <v>319</v>
      </c>
      <c r="AA431" s="51">
        <v>337</v>
      </c>
      <c r="AT431" s="18"/>
      <c r="AU431" s="18"/>
      <c r="AV431" s="18"/>
      <c r="AW431" s="18"/>
    </row>
    <row r="432" spans="1:49" hidden="1" outlineLevel="1">
      <c r="A432" s="36" t="s">
        <v>6</v>
      </c>
      <c r="N432" s="77">
        <v>1</v>
      </c>
      <c r="O432" s="77">
        <v>1</v>
      </c>
      <c r="P432" s="77">
        <v>-2</v>
      </c>
      <c r="Q432" s="77">
        <v>1</v>
      </c>
      <c r="R432" s="51">
        <v>0</v>
      </c>
      <c r="S432" s="51">
        <v>1</v>
      </c>
      <c r="T432" s="51">
        <v>1</v>
      </c>
      <c r="U432" s="51">
        <v>2</v>
      </c>
      <c r="V432" s="51">
        <v>-1</v>
      </c>
      <c r="W432" s="51">
        <v>0</v>
      </c>
      <c r="X432" s="51">
        <v>24</v>
      </c>
      <c r="Y432" s="51">
        <v>-5</v>
      </c>
      <c r="Z432" s="51">
        <v>-17</v>
      </c>
      <c r="AA432" s="51">
        <v>2</v>
      </c>
      <c r="AT432" s="18"/>
      <c r="AU432" s="18"/>
      <c r="AV432" s="18"/>
      <c r="AW432" s="18"/>
    </row>
    <row r="433" spans="1:49" hidden="1" outlineLevel="1">
      <c r="A433" s="28" t="s">
        <v>7</v>
      </c>
      <c r="N433" s="72">
        <v>102</v>
      </c>
      <c r="O433" s="72">
        <v>116</v>
      </c>
      <c r="P433" s="72">
        <v>94</v>
      </c>
      <c r="Q433" s="72">
        <v>108</v>
      </c>
      <c r="R433" s="46">
        <v>112</v>
      </c>
      <c r="S433" s="46">
        <v>102</v>
      </c>
      <c r="T433" s="46">
        <v>113</v>
      </c>
      <c r="U433" s="46">
        <v>128</v>
      </c>
      <c r="V433" s="46">
        <v>125</v>
      </c>
      <c r="W433" s="46">
        <v>126</v>
      </c>
      <c r="X433" s="46">
        <v>132</v>
      </c>
      <c r="Y433" s="46">
        <v>139</v>
      </c>
      <c r="Z433" s="46">
        <v>148</v>
      </c>
      <c r="AA433" s="46">
        <v>158</v>
      </c>
      <c r="AT433" s="18"/>
      <c r="AU433" s="18"/>
      <c r="AV433" s="18"/>
      <c r="AW433" s="18"/>
    </row>
    <row r="434" spans="1:49" hidden="1" outlineLevel="1">
      <c r="A434" s="25" t="s">
        <v>8</v>
      </c>
      <c r="N434" s="73">
        <v>59</v>
      </c>
      <c r="O434" s="73">
        <v>68</v>
      </c>
      <c r="P434" s="73">
        <v>59</v>
      </c>
      <c r="Q434" s="73">
        <v>58</v>
      </c>
      <c r="R434" s="43">
        <v>50</v>
      </c>
      <c r="S434" s="43">
        <v>51</v>
      </c>
      <c r="T434" s="43">
        <v>62</v>
      </c>
      <c r="U434" s="43">
        <v>65</v>
      </c>
      <c r="V434" s="43">
        <v>52</v>
      </c>
      <c r="W434" s="43">
        <v>50</v>
      </c>
      <c r="X434" s="43">
        <v>64</v>
      </c>
      <c r="Y434" s="43">
        <v>78</v>
      </c>
      <c r="Z434" s="43">
        <v>57</v>
      </c>
      <c r="AA434" s="43">
        <v>77</v>
      </c>
      <c r="AT434" s="18"/>
      <c r="AU434" s="18"/>
      <c r="AV434" s="18"/>
      <c r="AW434" s="18"/>
    </row>
    <row r="435" spans="1:49" hidden="1" outlineLevel="1">
      <c r="A435" s="26" t="s">
        <v>9</v>
      </c>
      <c r="N435" s="70">
        <v>12</v>
      </c>
      <c r="O435" s="70">
        <v>8</v>
      </c>
      <c r="P435" s="70">
        <v>9</v>
      </c>
      <c r="Q435" s="70">
        <v>11</v>
      </c>
      <c r="R435" s="44">
        <v>8</v>
      </c>
      <c r="S435" s="44">
        <v>10</v>
      </c>
      <c r="T435" s="44">
        <v>11</v>
      </c>
      <c r="U435" s="44">
        <v>11</v>
      </c>
      <c r="V435" s="44">
        <v>13</v>
      </c>
      <c r="W435" s="44">
        <v>12</v>
      </c>
      <c r="X435" s="44">
        <v>14</v>
      </c>
      <c r="Y435" s="44">
        <v>10</v>
      </c>
      <c r="Z435" s="44">
        <v>11</v>
      </c>
      <c r="AA435" s="44">
        <v>10</v>
      </c>
      <c r="AT435" s="18"/>
      <c r="AU435" s="18"/>
      <c r="AV435" s="18"/>
      <c r="AW435" s="18"/>
    </row>
    <row r="436" spans="1:49" hidden="1" outlineLevel="1">
      <c r="A436" s="27" t="s">
        <v>10</v>
      </c>
      <c r="N436" s="74">
        <v>0</v>
      </c>
      <c r="O436" s="74">
        <v>0</v>
      </c>
      <c r="P436" s="74">
        <v>0</v>
      </c>
      <c r="Q436" s="74">
        <v>0</v>
      </c>
      <c r="R436" s="47">
        <v>0</v>
      </c>
      <c r="S436" s="47">
        <v>0</v>
      </c>
      <c r="T436" s="47">
        <v>0</v>
      </c>
      <c r="U436" s="47">
        <v>0</v>
      </c>
      <c r="V436" s="47">
        <v>0</v>
      </c>
      <c r="W436" s="47">
        <v>0</v>
      </c>
      <c r="X436" s="47">
        <v>0</v>
      </c>
      <c r="Y436" s="47">
        <v>1</v>
      </c>
      <c r="Z436" s="68">
        <v>0</v>
      </c>
      <c r="AA436" s="68">
        <v>0</v>
      </c>
      <c r="AB436"/>
      <c r="AC436"/>
      <c r="AD436"/>
      <c r="AE436"/>
      <c r="AF436"/>
      <c r="AG436"/>
      <c r="AH436"/>
      <c r="AI436"/>
      <c r="AJ436"/>
      <c r="AK436"/>
      <c r="AL436"/>
      <c r="AM436"/>
      <c r="AN436"/>
      <c r="AO436"/>
      <c r="AP436"/>
      <c r="AQ436"/>
      <c r="AR436"/>
      <c r="AS436"/>
      <c r="AT436" s="851"/>
      <c r="AU436" s="851"/>
      <c r="AV436" s="851"/>
      <c r="AW436" s="851"/>
    </row>
    <row r="437" spans="1:49" hidden="1" outlineLevel="1">
      <c r="A437" s="28" t="s">
        <v>11</v>
      </c>
      <c r="N437" s="76">
        <v>71</v>
      </c>
      <c r="O437" s="76">
        <v>76</v>
      </c>
      <c r="P437" s="76">
        <v>68</v>
      </c>
      <c r="Q437" s="76">
        <v>69</v>
      </c>
      <c r="R437" s="49">
        <v>58</v>
      </c>
      <c r="S437" s="49">
        <v>61</v>
      </c>
      <c r="T437" s="49">
        <v>73</v>
      </c>
      <c r="U437" s="49">
        <v>76</v>
      </c>
      <c r="V437" s="49">
        <v>65</v>
      </c>
      <c r="W437" s="49">
        <v>62</v>
      </c>
      <c r="X437" s="49">
        <v>78</v>
      </c>
      <c r="Y437" s="49">
        <v>89</v>
      </c>
      <c r="Z437" s="49">
        <v>68</v>
      </c>
      <c r="AA437" s="49">
        <v>87</v>
      </c>
      <c r="AB437"/>
      <c r="AC437"/>
      <c r="AD437"/>
      <c r="AE437"/>
      <c r="AF437"/>
      <c r="AG437"/>
      <c r="AH437"/>
      <c r="AI437"/>
      <c r="AJ437"/>
      <c r="AK437"/>
      <c r="AL437"/>
      <c r="AM437"/>
      <c r="AN437"/>
      <c r="AO437"/>
      <c r="AP437"/>
      <c r="AQ437"/>
      <c r="AR437"/>
      <c r="AS437"/>
      <c r="AT437" s="851"/>
      <c r="AU437" s="851"/>
      <c r="AV437" s="851"/>
      <c r="AW437" s="851"/>
    </row>
    <row r="438" spans="1:49" hidden="1" outlineLevel="1">
      <c r="A438" s="36" t="s">
        <v>12</v>
      </c>
      <c r="N438" s="77">
        <v>173</v>
      </c>
      <c r="O438" s="77">
        <v>192</v>
      </c>
      <c r="P438" s="77">
        <v>162</v>
      </c>
      <c r="Q438" s="77">
        <v>177</v>
      </c>
      <c r="R438" s="51">
        <v>170</v>
      </c>
      <c r="S438" s="51">
        <v>163</v>
      </c>
      <c r="T438" s="51">
        <v>186</v>
      </c>
      <c r="U438" s="51">
        <v>204</v>
      </c>
      <c r="V438" s="51">
        <v>190</v>
      </c>
      <c r="W438" s="51">
        <v>188</v>
      </c>
      <c r="X438" s="51">
        <v>210</v>
      </c>
      <c r="Y438" s="51">
        <v>228</v>
      </c>
      <c r="Z438" s="51">
        <v>216</v>
      </c>
      <c r="AA438" s="51">
        <v>245</v>
      </c>
      <c r="AB438"/>
      <c r="AC438"/>
      <c r="AD438"/>
      <c r="AE438"/>
      <c r="AF438"/>
      <c r="AG438"/>
      <c r="AH438"/>
      <c r="AI438"/>
      <c r="AJ438"/>
      <c r="AK438"/>
      <c r="AL438"/>
      <c r="AM438"/>
      <c r="AN438"/>
      <c r="AO438"/>
      <c r="AP438"/>
      <c r="AQ438"/>
      <c r="AR438"/>
      <c r="AS438"/>
      <c r="AT438" s="851"/>
      <c r="AU438" s="851"/>
      <c r="AV438" s="851"/>
      <c r="AW438" s="851"/>
    </row>
    <row r="439" spans="1:49" ht="16.5" hidden="1" outlineLevel="1" thickBot="1">
      <c r="A439" s="59" t="s">
        <v>87</v>
      </c>
      <c r="N439" s="564">
        <v>72</v>
      </c>
      <c r="O439" s="564">
        <v>75</v>
      </c>
      <c r="P439" s="564">
        <v>79</v>
      </c>
      <c r="Q439" s="564">
        <v>33</v>
      </c>
      <c r="R439" s="565">
        <v>82</v>
      </c>
      <c r="S439" s="565">
        <v>75</v>
      </c>
      <c r="T439" s="565">
        <v>86</v>
      </c>
      <c r="U439" s="565">
        <v>67</v>
      </c>
      <c r="V439" s="565">
        <v>108</v>
      </c>
      <c r="W439" s="565">
        <v>119</v>
      </c>
      <c r="X439" s="565">
        <v>69</v>
      </c>
      <c r="Y439" s="565">
        <v>48</v>
      </c>
      <c r="Z439" s="565">
        <v>120</v>
      </c>
      <c r="AA439" s="565">
        <v>90</v>
      </c>
      <c r="AB439"/>
      <c r="AC439"/>
      <c r="AD439"/>
      <c r="AE439"/>
      <c r="AF439"/>
      <c r="AG439"/>
      <c r="AH439"/>
      <c r="AI439"/>
      <c r="AJ439"/>
      <c r="AK439"/>
      <c r="AL439"/>
      <c r="AM439"/>
      <c r="AN439"/>
      <c r="AO439"/>
      <c r="AP439"/>
      <c r="AQ439"/>
      <c r="AR439"/>
      <c r="AS439"/>
      <c r="AT439" s="851"/>
      <c r="AU439" s="851"/>
      <c r="AV439" s="851"/>
      <c r="AW439" s="851"/>
    </row>
    <row r="440" spans="1:49" hidden="1" outlineLevel="1">
      <c r="A440" s="37"/>
      <c r="N440" s="563"/>
      <c r="O440" s="563"/>
      <c r="P440" s="563"/>
      <c r="Q440" s="563"/>
      <c r="R440" s="52"/>
      <c r="S440" s="52"/>
      <c r="T440" s="52"/>
      <c r="U440" s="52"/>
      <c r="V440" s="52"/>
      <c r="W440" s="52"/>
      <c r="X440" s="52"/>
      <c r="Y440" s="52"/>
      <c r="Z440" s="52"/>
      <c r="AA440" s="52"/>
      <c r="AB440"/>
      <c r="AC440"/>
      <c r="AD440"/>
      <c r="AE440"/>
      <c r="AF440"/>
      <c r="AG440"/>
      <c r="AH440"/>
      <c r="AI440"/>
      <c r="AJ440"/>
      <c r="AK440"/>
      <c r="AL440"/>
      <c r="AM440"/>
      <c r="AN440"/>
      <c r="AO440"/>
      <c r="AP440"/>
      <c r="AQ440"/>
      <c r="AR440"/>
      <c r="AS440"/>
      <c r="AT440" s="851"/>
      <c r="AU440" s="851"/>
      <c r="AV440" s="851"/>
      <c r="AW440" s="851"/>
    </row>
    <row r="441" spans="1:49" ht="16.5" hidden="1" outlineLevel="1" thickBot="1">
      <c r="A441" s="33" t="s">
        <v>90</v>
      </c>
      <c r="N441" s="563"/>
      <c r="O441" s="563"/>
      <c r="P441" s="563"/>
      <c r="Q441" s="563"/>
      <c r="R441" s="566">
        <v>67.460317460317469</v>
      </c>
      <c r="S441" s="566">
        <v>68.20083682008368</v>
      </c>
      <c r="T441" s="566">
        <v>68.131868131868131</v>
      </c>
      <c r="U441" s="566">
        <v>74.72527472527473</v>
      </c>
      <c r="V441" s="566">
        <v>63.973063973063972</v>
      </c>
      <c r="W441" s="566">
        <v>61.237785016286651</v>
      </c>
      <c r="X441" s="566">
        <v>69.306930693069305</v>
      </c>
      <c r="Y441" s="566">
        <v>84.132841328413292</v>
      </c>
      <c r="Z441" s="566">
        <v>67.711598746081506</v>
      </c>
      <c r="AA441" s="566">
        <v>72.700296735905042</v>
      </c>
      <c r="AB441"/>
      <c r="AC441"/>
      <c r="AD441"/>
      <c r="AE441"/>
      <c r="AF441"/>
      <c r="AG441"/>
      <c r="AH441"/>
      <c r="AI441"/>
      <c r="AJ441"/>
      <c r="AK441"/>
      <c r="AL441"/>
      <c r="AM441"/>
      <c r="AN441"/>
      <c r="AO441"/>
      <c r="AP441"/>
      <c r="AQ441"/>
      <c r="AR441"/>
      <c r="AS441"/>
      <c r="AT441" s="851"/>
      <c r="AU441" s="851"/>
      <c r="AV441" s="851"/>
      <c r="AW441" s="851"/>
    </row>
    <row r="442" spans="1:49" hidden="1" outlineLevel="1">
      <c r="A442" s="35"/>
      <c r="N442" s="563"/>
      <c r="O442" s="563"/>
      <c r="P442" s="563"/>
      <c r="Q442" s="563"/>
      <c r="R442" s="567"/>
      <c r="S442" s="567"/>
      <c r="T442" s="567"/>
      <c r="U442" s="567"/>
      <c r="V442" s="567"/>
      <c r="W442" s="567"/>
      <c r="X442" s="567"/>
      <c r="Y442" s="567"/>
      <c r="Z442" s="567"/>
      <c r="AA442" s="567"/>
      <c r="AB442"/>
      <c r="AC442"/>
      <c r="AD442"/>
      <c r="AE442"/>
      <c r="AF442"/>
      <c r="AG442"/>
      <c r="AH442"/>
      <c r="AI442"/>
      <c r="AJ442"/>
      <c r="AK442"/>
      <c r="AL442"/>
      <c r="AM442"/>
      <c r="AN442"/>
      <c r="AO442"/>
      <c r="AP442"/>
      <c r="AQ442"/>
      <c r="AR442"/>
      <c r="AS442"/>
      <c r="AT442" s="851"/>
      <c r="AU442" s="851"/>
      <c r="AV442" s="851"/>
      <c r="AW442" s="851"/>
    </row>
    <row r="443" spans="1:49" hidden="1" outlineLevel="1">
      <c r="A443" s="39" t="s">
        <v>95</v>
      </c>
      <c r="N443" s="563"/>
      <c r="O443" s="563"/>
      <c r="P443" s="563"/>
      <c r="Q443" s="563"/>
      <c r="R443" s="53">
        <v>81</v>
      </c>
      <c r="S443" s="53">
        <v>73</v>
      </c>
      <c r="T443" s="53">
        <v>77</v>
      </c>
      <c r="U443" s="53">
        <v>73</v>
      </c>
      <c r="V443" s="53">
        <v>81</v>
      </c>
      <c r="W443" s="53">
        <v>78</v>
      </c>
      <c r="X443" s="53">
        <v>84</v>
      </c>
      <c r="Y443" s="53">
        <v>72</v>
      </c>
      <c r="Z443" s="53">
        <v>86</v>
      </c>
      <c r="AA443" s="53">
        <v>87</v>
      </c>
      <c r="AB443"/>
      <c r="AC443"/>
      <c r="AD443"/>
      <c r="AE443"/>
      <c r="AF443"/>
      <c r="AG443"/>
      <c r="AH443"/>
      <c r="AI443"/>
      <c r="AJ443"/>
      <c r="AK443"/>
      <c r="AL443"/>
      <c r="AM443"/>
      <c r="AN443"/>
      <c r="AO443"/>
      <c r="AP443"/>
      <c r="AQ443"/>
      <c r="AR443"/>
      <c r="AS443"/>
      <c r="AT443" s="851"/>
      <c r="AU443" s="851"/>
      <c r="AV443" s="851"/>
      <c r="AW443" s="851"/>
    </row>
    <row r="444" spans="1:49" ht="16.5" hidden="1" outlineLevel="1" thickBot="1">
      <c r="A444" s="34" t="s">
        <v>96</v>
      </c>
      <c r="N444" s="563"/>
      <c r="O444" s="563"/>
      <c r="P444" s="563"/>
      <c r="Q444" s="563"/>
      <c r="R444" s="53">
        <v>26</v>
      </c>
      <c r="S444" s="53">
        <v>23</v>
      </c>
      <c r="T444" s="53">
        <v>24</v>
      </c>
      <c r="U444" s="53">
        <v>18</v>
      </c>
      <c r="V444" s="53">
        <v>29</v>
      </c>
      <c r="W444" s="53">
        <v>30</v>
      </c>
      <c r="X444" s="53">
        <v>19</v>
      </c>
      <c r="Y444" s="53">
        <v>13</v>
      </c>
      <c r="Z444" s="53">
        <v>32</v>
      </c>
      <c r="AA444" s="53">
        <v>23</v>
      </c>
      <c r="AB444"/>
      <c r="AC444"/>
      <c r="AD444"/>
      <c r="AE444"/>
      <c r="AF444"/>
      <c r="AG444"/>
      <c r="AH444"/>
      <c r="AI444"/>
      <c r="AJ444"/>
      <c r="AK444"/>
      <c r="AL444"/>
      <c r="AM444"/>
      <c r="AN444"/>
      <c r="AO444"/>
      <c r="AP444"/>
      <c r="AQ444"/>
      <c r="AR444"/>
      <c r="AS444"/>
      <c r="AT444" s="851"/>
      <c r="AU444" s="851"/>
      <c r="AV444" s="851"/>
      <c r="AW444" s="851"/>
    </row>
    <row r="445" spans="1:49" hidden="1" outlineLevel="1">
      <c r="A445" s="37"/>
      <c r="N445" s="563"/>
      <c r="O445" s="563"/>
      <c r="P445" s="563"/>
      <c r="Q445" s="563"/>
      <c r="R445" s="52"/>
      <c r="S445" s="52"/>
      <c r="T445" s="52"/>
      <c r="U445" s="52"/>
      <c r="V445" s="52"/>
      <c r="W445" s="52"/>
      <c r="X445" s="52"/>
      <c r="Y445" s="52"/>
      <c r="Z445" s="52"/>
      <c r="AA445" s="52"/>
      <c r="AB445"/>
      <c r="AC445"/>
      <c r="AD445"/>
      <c r="AE445"/>
      <c r="AF445"/>
      <c r="AG445"/>
      <c r="AH445"/>
      <c r="AI445"/>
      <c r="AJ445"/>
      <c r="AK445"/>
      <c r="AL445"/>
      <c r="AM445"/>
      <c r="AN445"/>
      <c r="AO445"/>
      <c r="AP445"/>
      <c r="AQ445"/>
      <c r="AR445"/>
      <c r="AS445"/>
      <c r="AT445" s="851"/>
      <c r="AU445" s="851"/>
      <c r="AV445" s="851"/>
      <c r="AW445" s="851"/>
    </row>
    <row r="446" spans="1:49" ht="16.5" hidden="1" outlineLevel="1" thickBot="1">
      <c r="A446" s="34" t="s">
        <v>97</v>
      </c>
      <c r="N446" s="563"/>
      <c r="O446" s="563"/>
      <c r="P446" s="563"/>
      <c r="Q446" s="563"/>
      <c r="R446" s="50">
        <v>480</v>
      </c>
      <c r="S446" s="50">
        <v>490</v>
      </c>
      <c r="T446" s="50">
        <v>500</v>
      </c>
      <c r="U446" s="50">
        <v>510</v>
      </c>
      <c r="V446" s="50">
        <v>540</v>
      </c>
      <c r="W446" s="50">
        <v>550</v>
      </c>
      <c r="X446" s="50">
        <v>550</v>
      </c>
      <c r="Y446" s="50">
        <v>580</v>
      </c>
      <c r="Z446" s="50">
        <v>620</v>
      </c>
      <c r="AA446" s="50">
        <v>650</v>
      </c>
      <c r="AB446"/>
      <c r="AC446"/>
      <c r="AD446"/>
      <c r="AE446"/>
      <c r="AF446"/>
      <c r="AG446"/>
      <c r="AH446"/>
      <c r="AI446"/>
      <c r="AJ446"/>
      <c r="AK446"/>
      <c r="AL446"/>
      <c r="AM446"/>
      <c r="AN446"/>
      <c r="AO446"/>
      <c r="AP446"/>
      <c r="AQ446"/>
      <c r="AR446"/>
      <c r="AS446"/>
      <c r="AT446" s="851"/>
      <c r="AU446" s="851"/>
      <c r="AV446" s="851"/>
      <c r="AW446" s="851"/>
    </row>
    <row r="447" spans="1:49" ht="15.95" hidden="1" customHeight="1" outlineLevel="1">
      <c r="A447" s="37"/>
      <c r="N447" s="563"/>
      <c r="O447" s="563"/>
      <c r="P447" s="563"/>
      <c r="Q447" s="563"/>
      <c r="R447" s="52"/>
      <c r="S447" s="52"/>
      <c r="T447" s="52"/>
      <c r="U447" s="52"/>
      <c r="V447" s="52"/>
      <c r="W447" s="52"/>
      <c r="X447" s="52"/>
      <c r="Y447" s="52"/>
      <c r="Z447" s="52"/>
      <c r="AA447" s="52"/>
      <c r="AB447"/>
      <c r="AC447"/>
      <c r="AD447"/>
      <c r="AE447"/>
      <c r="AF447"/>
      <c r="AG447"/>
      <c r="AH447"/>
      <c r="AI447"/>
      <c r="AJ447"/>
      <c r="AK447"/>
      <c r="AL447"/>
      <c r="AM447"/>
      <c r="AN447"/>
      <c r="AO447"/>
      <c r="AP447"/>
      <c r="AQ447"/>
      <c r="AR447"/>
      <c r="AS447"/>
      <c r="AT447" s="851"/>
      <c r="AU447" s="851"/>
      <c r="AV447" s="851"/>
      <c r="AW447" s="851"/>
    </row>
    <row r="448" spans="1:49" hidden="1" outlineLevel="1">
      <c r="A448" s="58" t="s">
        <v>117</v>
      </c>
      <c r="N448" s="563"/>
      <c r="O448" s="563"/>
      <c r="P448" s="563"/>
      <c r="Q448" s="563"/>
      <c r="R448" s="57"/>
      <c r="S448" s="57"/>
      <c r="T448" s="57"/>
      <c r="U448" s="57"/>
      <c r="V448" s="57"/>
      <c r="W448" s="57"/>
      <c r="X448" s="57"/>
      <c r="Y448" s="57"/>
      <c r="Z448" s="57"/>
      <c r="AA448" s="57"/>
      <c r="AB448"/>
      <c r="AC448"/>
      <c r="AD448"/>
      <c r="AE448"/>
      <c r="AF448"/>
      <c r="AG448"/>
      <c r="AH448"/>
      <c r="AI448"/>
      <c r="AJ448"/>
      <c r="AK448"/>
      <c r="AL448"/>
      <c r="AM448"/>
      <c r="AN448"/>
      <c r="AO448"/>
      <c r="AP448"/>
      <c r="AQ448"/>
      <c r="AR448"/>
      <c r="AS448"/>
      <c r="AT448" s="851"/>
      <c r="AU448" s="851"/>
      <c r="AV448" s="851"/>
      <c r="AW448" s="851"/>
    </row>
    <row r="449" spans="1:49" hidden="1" outlineLevel="1">
      <c r="A449" s="36" t="s">
        <v>5</v>
      </c>
      <c r="N449" s="77">
        <v>665</v>
      </c>
      <c r="O449" s="77">
        <v>547</v>
      </c>
      <c r="P449" s="77">
        <v>378</v>
      </c>
      <c r="Q449" s="77">
        <v>464</v>
      </c>
      <c r="R449" s="51">
        <v>590</v>
      </c>
      <c r="S449" s="51">
        <v>503</v>
      </c>
      <c r="T449" s="51">
        <v>742</v>
      </c>
      <c r="U449" s="51">
        <v>463</v>
      </c>
      <c r="V449" s="51">
        <v>791</v>
      </c>
      <c r="W449" s="51">
        <v>733</v>
      </c>
      <c r="X449" s="51">
        <v>582</v>
      </c>
      <c r="Y449" s="51">
        <v>555</v>
      </c>
      <c r="Z449" s="51">
        <v>588</v>
      </c>
      <c r="AA449" s="51">
        <v>574</v>
      </c>
      <c r="AB449"/>
      <c r="AC449"/>
      <c r="AD449"/>
      <c r="AE449"/>
      <c r="AF449"/>
      <c r="AG449"/>
      <c r="AH449"/>
      <c r="AI449"/>
      <c r="AJ449"/>
      <c r="AK449"/>
      <c r="AL449"/>
      <c r="AM449"/>
      <c r="AN449"/>
      <c r="AO449"/>
      <c r="AP449"/>
      <c r="AQ449"/>
      <c r="AR449"/>
      <c r="AS449"/>
      <c r="AT449" s="851"/>
      <c r="AU449" s="851"/>
      <c r="AV449" s="851"/>
      <c r="AW449" s="851"/>
    </row>
    <row r="450" spans="1:49" hidden="1" outlineLevel="1">
      <c r="A450" s="36" t="s">
        <v>6</v>
      </c>
      <c r="N450" s="77">
        <v>-7</v>
      </c>
      <c r="O450" s="85">
        <v>0</v>
      </c>
      <c r="P450" s="77">
        <v>2</v>
      </c>
      <c r="Q450" s="77">
        <v>-3</v>
      </c>
      <c r="R450" s="51">
        <v>1</v>
      </c>
      <c r="S450" s="51">
        <v>3</v>
      </c>
      <c r="T450" s="51">
        <v>29</v>
      </c>
      <c r="U450" s="51">
        <v>3</v>
      </c>
      <c r="V450" s="51">
        <v>-2</v>
      </c>
      <c r="W450" s="51">
        <v>11</v>
      </c>
      <c r="X450" s="51">
        <v>0</v>
      </c>
      <c r="Y450" s="51">
        <v>8</v>
      </c>
      <c r="Z450" s="51">
        <v>-5</v>
      </c>
      <c r="AA450" s="51">
        <v>1</v>
      </c>
      <c r="AB450"/>
      <c r="AC450"/>
      <c r="AD450"/>
      <c r="AE450"/>
      <c r="AF450"/>
      <c r="AG450"/>
      <c r="AH450"/>
      <c r="AI450"/>
      <c r="AJ450"/>
      <c r="AK450"/>
      <c r="AL450"/>
      <c r="AM450"/>
      <c r="AN450"/>
      <c r="AO450"/>
      <c r="AP450"/>
      <c r="AQ450"/>
      <c r="AR450"/>
      <c r="AS450"/>
      <c r="AT450" s="851"/>
      <c r="AU450" s="851"/>
      <c r="AV450" s="851"/>
      <c r="AW450" s="851"/>
    </row>
    <row r="451" spans="1:49" hidden="1" outlineLevel="1">
      <c r="A451" s="28" t="s">
        <v>7</v>
      </c>
      <c r="N451" s="72">
        <v>253</v>
      </c>
      <c r="O451" s="72">
        <v>226</v>
      </c>
      <c r="P451" s="72">
        <v>192</v>
      </c>
      <c r="Q451" s="72">
        <v>235</v>
      </c>
      <c r="R451" s="46">
        <v>246</v>
      </c>
      <c r="S451" s="46">
        <v>240</v>
      </c>
      <c r="T451" s="46">
        <v>263</v>
      </c>
      <c r="U451" s="46">
        <v>221</v>
      </c>
      <c r="V451" s="46">
        <v>258</v>
      </c>
      <c r="W451" s="46">
        <v>254</v>
      </c>
      <c r="X451" s="46">
        <v>272</v>
      </c>
      <c r="Y451" s="46">
        <v>251</v>
      </c>
      <c r="Z451" s="46">
        <v>256</v>
      </c>
      <c r="AA451" s="46">
        <v>261</v>
      </c>
      <c r="AB451"/>
      <c r="AC451"/>
      <c r="AD451"/>
      <c r="AE451"/>
      <c r="AF451"/>
      <c r="AG451"/>
      <c r="AH451"/>
      <c r="AI451"/>
      <c r="AJ451"/>
      <c r="AK451"/>
      <c r="AL451"/>
      <c r="AM451"/>
      <c r="AN451"/>
      <c r="AO451"/>
      <c r="AP451"/>
      <c r="AQ451"/>
      <c r="AR451"/>
      <c r="AS451"/>
      <c r="AT451" s="851"/>
      <c r="AU451" s="851"/>
      <c r="AV451" s="851"/>
      <c r="AW451" s="851"/>
    </row>
    <row r="452" spans="1:49" hidden="1" outlineLevel="1">
      <c r="A452" s="25" t="s">
        <v>8</v>
      </c>
      <c r="N452" s="73">
        <v>115</v>
      </c>
      <c r="O452" s="73">
        <v>121</v>
      </c>
      <c r="P452" s="73">
        <v>117</v>
      </c>
      <c r="Q452" s="73">
        <v>113</v>
      </c>
      <c r="R452" s="43">
        <v>115</v>
      </c>
      <c r="S452" s="43">
        <v>117</v>
      </c>
      <c r="T452" s="43">
        <v>138</v>
      </c>
      <c r="U452" s="43">
        <v>123</v>
      </c>
      <c r="V452" s="43">
        <v>118</v>
      </c>
      <c r="W452" s="43">
        <v>138</v>
      </c>
      <c r="X452" s="43">
        <v>143</v>
      </c>
      <c r="Y452" s="43">
        <v>147</v>
      </c>
      <c r="Z452" s="43">
        <v>133</v>
      </c>
      <c r="AA452" s="43">
        <v>126</v>
      </c>
      <c r="AT452" s="18"/>
      <c r="AU452" s="18"/>
      <c r="AV452" s="18"/>
      <c r="AW452" s="18"/>
    </row>
    <row r="453" spans="1:49" hidden="1" outlineLevel="1">
      <c r="A453" s="26" t="s">
        <v>9</v>
      </c>
      <c r="N453" s="70">
        <v>54</v>
      </c>
      <c r="O453" s="70">
        <v>54</v>
      </c>
      <c r="P453" s="70">
        <v>46</v>
      </c>
      <c r="Q453" s="70">
        <v>43</v>
      </c>
      <c r="R453" s="44">
        <v>46</v>
      </c>
      <c r="S453" s="44">
        <v>49</v>
      </c>
      <c r="T453" s="44">
        <v>53</v>
      </c>
      <c r="U453" s="44">
        <v>61</v>
      </c>
      <c r="V453" s="44">
        <v>60</v>
      </c>
      <c r="W453" s="44">
        <v>82</v>
      </c>
      <c r="X453" s="44">
        <v>74</v>
      </c>
      <c r="Y453" s="44">
        <v>56</v>
      </c>
      <c r="Z453" s="44">
        <v>59</v>
      </c>
      <c r="AA453" s="44">
        <v>60</v>
      </c>
      <c r="AT453" s="18"/>
      <c r="AU453" s="18"/>
      <c r="AV453" s="18"/>
      <c r="AW453" s="18"/>
    </row>
    <row r="454" spans="1:49" hidden="1" outlineLevel="1">
      <c r="A454" s="26" t="s">
        <v>71</v>
      </c>
      <c r="N454" s="89">
        <v>0</v>
      </c>
      <c r="O454" s="89">
        <v>0</v>
      </c>
      <c r="P454" s="89">
        <v>0</v>
      </c>
      <c r="Q454" s="89">
        <v>0</v>
      </c>
      <c r="R454" s="68">
        <v>0</v>
      </c>
      <c r="S454" s="68">
        <v>0</v>
      </c>
      <c r="T454" s="68">
        <v>0</v>
      </c>
      <c r="U454" s="68">
        <v>0</v>
      </c>
      <c r="V454" s="68">
        <v>0</v>
      </c>
      <c r="W454" s="68">
        <v>0</v>
      </c>
      <c r="X454" s="68">
        <v>0</v>
      </c>
      <c r="Y454" s="44">
        <v>756</v>
      </c>
      <c r="Z454" s="68">
        <v>0</v>
      </c>
      <c r="AA454" s="68">
        <v>0</v>
      </c>
      <c r="AT454" s="18"/>
      <c r="AU454" s="18"/>
      <c r="AV454" s="18"/>
      <c r="AW454" s="18"/>
    </row>
    <row r="455" spans="1:49" hidden="1" outlineLevel="1">
      <c r="A455" s="27" t="s">
        <v>10</v>
      </c>
      <c r="N455" s="74">
        <v>0</v>
      </c>
      <c r="O455" s="74">
        <v>0</v>
      </c>
      <c r="P455" s="74">
        <v>0</v>
      </c>
      <c r="Q455" s="74">
        <v>0</v>
      </c>
      <c r="R455" s="47">
        <v>0</v>
      </c>
      <c r="S455" s="47">
        <v>0</v>
      </c>
      <c r="T455" s="47">
        <v>0</v>
      </c>
      <c r="U455" s="47">
        <v>0</v>
      </c>
      <c r="V455" s="47">
        <v>0</v>
      </c>
      <c r="W455" s="47">
        <v>0</v>
      </c>
      <c r="X455" s="47">
        <v>0</v>
      </c>
      <c r="Y455" s="47">
        <v>2</v>
      </c>
      <c r="Z455" s="47">
        <v>1</v>
      </c>
      <c r="AA455" s="47">
        <v>10</v>
      </c>
      <c r="AT455" s="18"/>
      <c r="AU455" s="18"/>
      <c r="AV455" s="18"/>
      <c r="AW455" s="18"/>
    </row>
    <row r="456" spans="1:49" hidden="1" outlineLevel="1">
      <c r="A456" s="28" t="s">
        <v>11</v>
      </c>
      <c r="N456" s="76">
        <v>169</v>
      </c>
      <c r="O456" s="76">
        <v>175</v>
      </c>
      <c r="P456" s="76">
        <v>163</v>
      </c>
      <c r="Q456" s="76">
        <v>156</v>
      </c>
      <c r="R456" s="49">
        <v>161</v>
      </c>
      <c r="S456" s="49">
        <v>166</v>
      </c>
      <c r="T456" s="49">
        <v>191</v>
      </c>
      <c r="U456" s="49">
        <v>184</v>
      </c>
      <c r="V456" s="49">
        <v>178</v>
      </c>
      <c r="W456" s="49">
        <v>220</v>
      </c>
      <c r="X456" s="49">
        <v>217</v>
      </c>
      <c r="Y456" s="49">
        <v>961</v>
      </c>
      <c r="Z456" s="49">
        <v>193</v>
      </c>
      <c r="AA456" s="49">
        <v>196</v>
      </c>
      <c r="AT456" s="18"/>
      <c r="AU456" s="18"/>
      <c r="AV456" s="18"/>
      <c r="AW456" s="18"/>
    </row>
    <row r="457" spans="1:49" hidden="1" outlineLevel="1">
      <c r="A457" s="36" t="s">
        <v>12</v>
      </c>
      <c r="N457" s="77">
        <v>422</v>
      </c>
      <c r="O457" s="77">
        <v>401</v>
      </c>
      <c r="P457" s="77">
        <v>355</v>
      </c>
      <c r="Q457" s="77">
        <v>391</v>
      </c>
      <c r="R457" s="51">
        <v>407</v>
      </c>
      <c r="S457" s="51">
        <v>406</v>
      </c>
      <c r="T457" s="51">
        <v>454</v>
      </c>
      <c r="U457" s="51">
        <v>405</v>
      </c>
      <c r="V457" s="51">
        <v>436</v>
      </c>
      <c r="W457" s="51">
        <v>474</v>
      </c>
      <c r="X457" s="51">
        <v>489</v>
      </c>
      <c r="Y457" s="51">
        <v>1212</v>
      </c>
      <c r="Z457" s="51">
        <v>449</v>
      </c>
      <c r="AA457" s="51">
        <v>457</v>
      </c>
      <c r="AT457" s="18"/>
      <c r="AU457" s="18"/>
      <c r="AV457" s="18"/>
      <c r="AW457" s="18"/>
    </row>
    <row r="458" spans="1:49" ht="16.5" hidden="1" outlineLevel="1" thickBot="1">
      <c r="A458" s="59" t="s">
        <v>87</v>
      </c>
      <c r="N458" s="564">
        <v>250</v>
      </c>
      <c r="O458" s="564">
        <v>146</v>
      </c>
      <c r="P458" s="564">
        <v>21</v>
      </c>
      <c r="Q458" s="564">
        <v>76</v>
      </c>
      <c r="R458" s="565">
        <v>182</v>
      </c>
      <c r="S458" s="565">
        <v>94</v>
      </c>
      <c r="T458" s="565">
        <v>259</v>
      </c>
      <c r="U458" s="565">
        <v>55</v>
      </c>
      <c r="V458" s="565">
        <v>357</v>
      </c>
      <c r="W458" s="565">
        <v>248</v>
      </c>
      <c r="X458" s="565">
        <v>93</v>
      </c>
      <c r="Y458" s="565">
        <v>-665</v>
      </c>
      <c r="Z458" s="565">
        <v>144</v>
      </c>
      <c r="AA458" s="565">
        <v>116</v>
      </c>
      <c r="AT458" s="18"/>
      <c r="AU458" s="18"/>
      <c r="AV458" s="18"/>
      <c r="AW458" s="18"/>
    </row>
    <row r="459" spans="1:49" hidden="1" outlineLevel="1">
      <c r="A459" s="35"/>
      <c r="N459" s="563"/>
      <c r="O459" s="563"/>
      <c r="P459" s="563"/>
      <c r="Q459" s="563"/>
      <c r="R459" s="573"/>
      <c r="S459" s="573"/>
      <c r="T459" s="573"/>
      <c r="U459" s="573"/>
      <c r="V459" s="573"/>
      <c r="W459" s="573"/>
      <c r="X459" s="573"/>
      <c r="Y459" s="573"/>
      <c r="Z459" s="573"/>
      <c r="AA459" s="573"/>
      <c r="AT459" s="18"/>
      <c r="AU459" s="18"/>
      <c r="AV459" s="18"/>
      <c r="AW459" s="18"/>
    </row>
    <row r="460" spans="1:49" ht="16.5" hidden="1" outlineLevel="1" thickBot="1">
      <c r="A460" s="33" t="s">
        <v>90</v>
      </c>
      <c r="N460" s="563"/>
      <c r="O460" s="563"/>
      <c r="P460" s="563"/>
      <c r="Q460" s="563"/>
      <c r="R460" s="566">
        <v>68.983050847457633</v>
      </c>
      <c r="S460" s="566">
        <v>80.715705765407549</v>
      </c>
      <c r="T460" s="566">
        <v>61.18598382749326</v>
      </c>
      <c r="U460" s="566">
        <v>87.473002159827217</v>
      </c>
      <c r="V460" s="566">
        <v>55.120101137800248</v>
      </c>
      <c r="W460" s="566">
        <v>64.665757162346523</v>
      </c>
      <c r="X460" s="566">
        <v>84.020618556701038</v>
      </c>
      <c r="Y460" s="566">
        <v>218.37837837837836</v>
      </c>
      <c r="Z460" s="566">
        <v>76.360544217687078</v>
      </c>
      <c r="AA460" s="566">
        <v>79.616724738675956</v>
      </c>
      <c r="AB460" s="120"/>
      <c r="AT460" s="18"/>
      <c r="AU460" s="18"/>
      <c r="AV460" s="18"/>
      <c r="AW460" s="18"/>
    </row>
    <row r="461" spans="1:49" hidden="1" outlineLevel="1">
      <c r="A461" s="35"/>
      <c r="N461" s="563"/>
      <c r="O461" s="563"/>
      <c r="P461" s="563"/>
      <c r="Q461" s="563"/>
      <c r="R461" s="567"/>
      <c r="S461" s="567"/>
      <c r="T461" s="567"/>
      <c r="U461" s="567"/>
      <c r="V461" s="567"/>
      <c r="W461" s="567"/>
      <c r="X461" s="567"/>
      <c r="Y461" s="567"/>
      <c r="Z461" s="567"/>
      <c r="AA461" s="567"/>
      <c r="AT461" s="18"/>
      <c r="AU461" s="18"/>
      <c r="AV461" s="18"/>
      <c r="AW461" s="18"/>
    </row>
    <row r="462" spans="1:49" s="826" customFormat="1" ht="21.75" collapsed="1" thickBot="1">
      <c r="A462" s="825" t="s">
        <v>121</v>
      </c>
      <c r="N462" s="827"/>
      <c r="O462" s="827"/>
      <c r="P462" s="827"/>
      <c r="Q462" s="827"/>
      <c r="R462" s="827"/>
      <c r="S462" s="827"/>
      <c r="T462" s="827"/>
      <c r="U462" s="827"/>
      <c r="V462" s="827"/>
      <c r="W462" s="827"/>
      <c r="X462" s="827"/>
      <c r="Y462" s="827"/>
      <c r="Z462" s="827"/>
      <c r="AA462" s="827"/>
      <c r="AB462" s="828"/>
      <c r="AC462" s="828"/>
      <c r="AD462" s="828"/>
      <c r="AE462" s="828"/>
      <c r="AF462" s="828"/>
      <c r="AG462" s="828"/>
      <c r="AH462" s="828"/>
      <c r="AI462" s="828"/>
      <c r="AJ462" s="828"/>
      <c r="AK462" s="828"/>
      <c r="AL462" s="828"/>
      <c r="AM462" s="828"/>
      <c r="AN462" s="828"/>
      <c r="AO462" s="828"/>
      <c r="AP462" s="828"/>
      <c r="AQ462" s="828"/>
      <c r="AR462" s="828"/>
      <c r="AS462" s="828"/>
      <c r="AT462" s="828"/>
      <c r="AU462" s="828"/>
      <c r="AV462" s="828"/>
      <c r="AW462" s="828"/>
    </row>
    <row r="463" spans="1:49" s="378" customFormat="1">
      <c r="A463" s="377" t="s">
        <v>82</v>
      </c>
      <c r="N463" s="583"/>
      <c r="O463" s="379"/>
      <c r="P463" s="379"/>
      <c r="Q463" s="379"/>
      <c r="R463" s="379"/>
      <c r="S463" s="379"/>
      <c r="T463" s="379"/>
      <c r="U463" s="379"/>
      <c r="V463" s="379"/>
      <c r="W463" s="379"/>
      <c r="X463" s="379"/>
      <c r="Y463" s="379"/>
      <c r="Z463" s="379"/>
      <c r="AA463" s="379"/>
      <c r="AB463" s="380"/>
      <c r="AC463" s="380"/>
      <c r="AD463" s="380"/>
      <c r="AE463" s="380"/>
      <c r="AF463" s="380"/>
      <c r="AG463" s="380"/>
      <c r="AH463" s="380"/>
      <c r="AI463" s="380"/>
      <c r="AJ463" s="380"/>
      <c r="AK463" s="380"/>
      <c r="AL463" s="380"/>
      <c r="AM463" s="380"/>
      <c r="AN463" s="380"/>
      <c r="AO463" s="380"/>
      <c r="AP463" s="380"/>
      <c r="AQ463" s="380"/>
      <c r="AR463" s="380"/>
      <c r="AS463" s="380"/>
      <c r="AT463" s="380"/>
      <c r="AU463" s="380"/>
      <c r="AV463" s="380"/>
      <c r="AW463" s="380"/>
    </row>
    <row r="464" spans="1:49" s="543" customFormat="1">
      <c r="A464" s="801" t="s">
        <v>122</v>
      </c>
      <c r="N464" s="584"/>
      <c r="O464" s="544">
        <f t="shared" ref="O464:Q466" si="528">O469/N469-1</f>
        <v>-0.24970691676436108</v>
      </c>
      <c r="P464" s="544">
        <f t="shared" si="528"/>
        <v>-0.234375</v>
      </c>
      <c r="Q464" s="544">
        <f t="shared" si="528"/>
        <v>-0.25918367346938775</v>
      </c>
      <c r="R464" s="544">
        <f>R469/N469-1</f>
        <v>-0.66354044548651814</v>
      </c>
      <c r="S464" s="544">
        <f t="shared" ref="R464:Z466" si="529">S469/O469-1</f>
        <v>-0.52968749999999998</v>
      </c>
      <c r="T464" s="544">
        <f t="shared" si="529"/>
        <v>-0.47959183673469385</v>
      </c>
      <c r="U464" s="544">
        <f t="shared" si="529"/>
        <v>-3.443526170798894E-2</v>
      </c>
      <c r="V464" s="544">
        <f t="shared" si="529"/>
        <v>0.34843205574912894</v>
      </c>
      <c r="W464" s="544">
        <f t="shared" si="529"/>
        <v>0.13455149501661134</v>
      </c>
      <c r="X464" s="544">
        <f t="shared" si="529"/>
        <v>0.33137254901960778</v>
      </c>
      <c r="Y464" s="544">
        <f t="shared" si="529"/>
        <v>-0.15977175463623394</v>
      </c>
      <c r="Z464" s="544">
        <f t="shared" si="529"/>
        <v>-0.16020671834625322</v>
      </c>
      <c r="AA464" s="544">
        <f t="shared" ref="AA464:AB466" si="530">AA469/W469-1</f>
        <v>-6.0029282576866794E-2</v>
      </c>
      <c r="AB464" s="544">
        <f t="shared" si="530"/>
        <v>-0.48748159057437412</v>
      </c>
      <c r="AC464" s="544">
        <f t="shared" ref="AC464:AC466" si="531">AC469/Y469-1</f>
        <v>-0.12224108658743638</v>
      </c>
      <c r="AD464" s="544">
        <f t="shared" ref="AD464:AD466" si="532">AD469/Z469-1</f>
        <v>-0.24923076923076926</v>
      </c>
      <c r="AE464" s="544">
        <f t="shared" ref="AE464:AE466" si="533">AE469/AA469-1</f>
        <v>-0.21962616822429903</v>
      </c>
      <c r="AF464" s="544">
        <f t="shared" ref="AF464:AF466" si="534">AF469/AB469-1</f>
        <v>0.10057471264367823</v>
      </c>
      <c r="AG464" s="545"/>
      <c r="AH464" s="545"/>
      <c r="AI464" s="545"/>
      <c r="AJ464" s="545"/>
      <c r="AK464" s="545"/>
      <c r="AL464" s="545"/>
      <c r="AM464" s="545"/>
      <c r="AN464" s="545"/>
      <c r="AO464" s="545"/>
      <c r="AP464" s="545"/>
      <c r="AQ464" s="545"/>
      <c r="AR464" s="545"/>
      <c r="AS464" s="545"/>
      <c r="AT464" s="545"/>
      <c r="AU464" s="545"/>
      <c r="AV464" s="545"/>
      <c r="AW464" s="545"/>
    </row>
    <row r="465" spans="1:49" s="674" customFormat="1">
      <c r="A465" s="802" t="s">
        <v>123</v>
      </c>
      <c r="N465" s="675"/>
      <c r="O465" s="546">
        <f t="shared" si="528"/>
        <v>6.110458284371334E-2</v>
      </c>
      <c r="P465" s="546">
        <f t="shared" si="528"/>
        <v>-0.17940199335548168</v>
      </c>
      <c r="Q465" s="546">
        <f t="shared" si="528"/>
        <v>7.0175438596491224E-2</v>
      </c>
      <c r="R465" s="546">
        <f t="shared" si="529"/>
        <v>0.23031727379553457</v>
      </c>
      <c r="S465" s="546">
        <f t="shared" si="529"/>
        <v>6.8660022148394173E-2</v>
      </c>
      <c r="T465" s="546">
        <f t="shared" si="529"/>
        <v>0.23886639676113353</v>
      </c>
      <c r="U465" s="546">
        <f t="shared" si="529"/>
        <v>-0.17150063051702391</v>
      </c>
      <c r="V465" s="546">
        <f t="shared" si="529"/>
        <v>0.17191977077363907</v>
      </c>
      <c r="W465" s="546">
        <f t="shared" si="529"/>
        <v>-1.0362694300518616E-3</v>
      </c>
      <c r="X465" s="546">
        <f t="shared" si="529"/>
        <v>-0.14270152505446621</v>
      </c>
      <c r="Y465" s="546">
        <f t="shared" si="529"/>
        <v>-0.42617960426179602</v>
      </c>
      <c r="Z465" s="546">
        <f t="shared" si="529"/>
        <v>-0.59576202118989408</v>
      </c>
      <c r="AA465" s="546">
        <f t="shared" si="530"/>
        <v>-0.2043568464730291</v>
      </c>
      <c r="AB465" s="546">
        <f t="shared" si="530"/>
        <v>-2.1601016518424387E-2</v>
      </c>
      <c r="AC465" s="546">
        <f t="shared" si="531"/>
        <v>0.50132625994694968</v>
      </c>
      <c r="AD465" s="546">
        <f t="shared" si="532"/>
        <v>0.74596774193548376</v>
      </c>
      <c r="AE465" s="546">
        <f t="shared" si="533"/>
        <v>5.7366362451108266E-2</v>
      </c>
      <c r="AF465" s="546">
        <f t="shared" si="534"/>
        <v>-9.3506493506493538E-2</v>
      </c>
      <c r="AG465" s="676"/>
      <c r="AH465" s="676"/>
      <c r="AI465" s="676"/>
      <c r="AJ465" s="676"/>
      <c r="AK465" s="676"/>
      <c r="AL465" s="676"/>
      <c r="AM465" s="676"/>
      <c r="AN465" s="676"/>
      <c r="AO465" s="676"/>
      <c r="AP465" s="676"/>
      <c r="AQ465" s="676"/>
      <c r="AR465" s="676"/>
      <c r="AS465" s="676"/>
      <c r="AT465" s="676"/>
      <c r="AU465" s="676"/>
      <c r="AV465" s="676"/>
      <c r="AW465" s="676"/>
    </row>
    <row r="466" spans="1:49" s="674" customFormat="1">
      <c r="A466" s="802" t="s">
        <v>124</v>
      </c>
      <c r="N466" s="675"/>
      <c r="O466" s="546">
        <f t="shared" si="528"/>
        <v>0.31075697211155373</v>
      </c>
      <c r="P466" s="546">
        <f t="shared" si="528"/>
        <v>-0.37689969604863227</v>
      </c>
      <c r="Q466" s="546">
        <f t="shared" si="528"/>
        <v>0.57560975609756104</v>
      </c>
      <c r="R466" s="546">
        <f t="shared" si="529"/>
        <v>0.58565737051792821</v>
      </c>
      <c r="S466" s="546">
        <f t="shared" si="529"/>
        <v>0.30699088145896658</v>
      </c>
      <c r="T466" s="546">
        <f t="shared" si="529"/>
        <v>1.5024390243902439</v>
      </c>
      <c r="U466" s="546">
        <f t="shared" si="529"/>
        <v>-5.8823529411764719E-2</v>
      </c>
      <c r="V466" s="546">
        <f t="shared" si="529"/>
        <v>-0.53015075376884424</v>
      </c>
      <c r="W466" s="546">
        <f t="shared" si="529"/>
        <v>-0.27674418604651163</v>
      </c>
      <c r="X466" s="546">
        <f t="shared" si="529"/>
        <v>-0.6257309941520468</v>
      </c>
      <c r="Y466" s="546">
        <f t="shared" si="529"/>
        <v>-0.13486842105263153</v>
      </c>
      <c r="Z466" s="546">
        <f t="shared" si="529"/>
        <v>-0.24598930481283421</v>
      </c>
      <c r="AA466" s="546">
        <f t="shared" si="530"/>
        <v>-5.7877813504823128E-2</v>
      </c>
      <c r="AB466" s="546">
        <f t="shared" si="530"/>
        <v>0.46875</v>
      </c>
      <c r="AC466" s="546">
        <f t="shared" si="531"/>
        <v>-8.365019011406849E-2</v>
      </c>
      <c r="AD466" s="546">
        <f t="shared" si="532"/>
        <v>1.2127659574468086</v>
      </c>
      <c r="AE466" s="546">
        <f t="shared" si="533"/>
        <v>-0.15017064846416384</v>
      </c>
      <c r="AF466" s="546">
        <f t="shared" si="534"/>
        <v>-0.14893617021276595</v>
      </c>
      <c r="AG466" s="676"/>
      <c r="AH466" s="676"/>
      <c r="AI466" s="676"/>
      <c r="AJ466" s="676"/>
      <c r="AK466" s="676"/>
      <c r="AL466" s="676"/>
      <c r="AM466" s="676"/>
      <c r="AN466" s="676"/>
      <c r="AO466" s="676"/>
      <c r="AP466" s="676"/>
      <c r="AQ466" s="676"/>
      <c r="AR466" s="676"/>
      <c r="AS466" s="676"/>
      <c r="AT466" s="676"/>
      <c r="AU466" s="676"/>
      <c r="AV466" s="676"/>
      <c r="AW466" s="676"/>
    </row>
    <row r="467" spans="1:49" s="674" customFormat="1">
      <c r="A467" s="802" t="s">
        <v>125</v>
      </c>
      <c r="N467" s="675"/>
      <c r="O467" s="546">
        <f t="shared" ref="O467:AB467" si="535">O472/N472-1</f>
        <v>0</v>
      </c>
      <c r="P467" s="546">
        <f t="shared" si="535"/>
        <v>-0.17391304347826086</v>
      </c>
      <c r="Q467" s="546">
        <f t="shared" si="535"/>
        <v>-1.4210526315789473</v>
      </c>
      <c r="R467" s="546">
        <f t="shared" si="535"/>
        <v>-2.9375</v>
      </c>
      <c r="S467" s="546">
        <f t="shared" si="535"/>
        <v>0.32258064516129026</v>
      </c>
      <c r="T467" s="546">
        <f t="shared" si="535"/>
        <v>-0.51219512195121952</v>
      </c>
      <c r="U467" s="546">
        <f t="shared" si="535"/>
        <v>4.05</v>
      </c>
      <c r="V467" s="546">
        <f t="shared" si="535"/>
        <v>-0.63366336633663367</v>
      </c>
      <c r="W467" s="546">
        <f t="shared" si="535"/>
        <v>-0.13513513513513509</v>
      </c>
      <c r="X467" s="546">
        <f t="shared" si="535"/>
        <v>1.46875</v>
      </c>
      <c r="Y467" s="546">
        <f t="shared" si="535"/>
        <v>-0.25316455696202533</v>
      </c>
      <c r="Z467" s="546">
        <f t="shared" si="535"/>
        <v>-0.28813559322033899</v>
      </c>
      <c r="AA467" s="546">
        <f t="shared" si="535"/>
        <v>0.71428571428571419</v>
      </c>
      <c r="AB467" s="546">
        <f t="shared" si="535"/>
        <v>-0.40277777777777779</v>
      </c>
      <c r="AC467" s="546">
        <f t="shared" ref="AC467:AC468" si="536">AC472/AB472-1</f>
        <v>0.37209302325581395</v>
      </c>
      <c r="AD467" s="546">
        <f t="shared" ref="AD467:AD468" si="537">AD472/AC472-1</f>
        <v>-3.3898305084745783E-2</v>
      </c>
      <c r="AE467" s="546">
        <f t="shared" ref="AE467:AE468" si="538">AE472/AD472-1</f>
        <v>-0.22807017543859653</v>
      </c>
      <c r="AF467" s="546">
        <f t="shared" ref="AF467:AF468" si="539">AF472/AE472-1</f>
        <v>0.34090909090909083</v>
      </c>
      <c r="AG467" s="676"/>
      <c r="AH467" s="676"/>
      <c r="AI467" s="676"/>
      <c r="AJ467" s="676"/>
      <c r="AK467" s="676"/>
      <c r="AL467" s="676"/>
      <c r="AM467" s="676"/>
      <c r="AN467" s="676"/>
      <c r="AO467" s="676"/>
      <c r="AP467" s="676"/>
      <c r="AQ467" s="676"/>
      <c r="AR467" s="676"/>
      <c r="AS467" s="676"/>
      <c r="AT467" s="676"/>
      <c r="AU467" s="676"/>
      <c r="AV467" s="676"/>
      <c r="AW467" s="676"/>
    </row>
    <row r="468" spans="1:49" s="547" customFormat="1">
      <c r="A468" s="812" t="s">
        <v>5</v>
      </c>
      <c r="N468" s="585"/>
      <c r="O468" s="548">
        <f t="shared" ref="O468:AB468" si="540">O473/N473-1</f>
        <v>-0.10716871832005792</v>
      </c>
      <c r="P468" s="548">
        <f t="shared" si="540"/>
        <v>-0.2343876723438767</v>
      </c>
      <c r="Q468" s="548">
        <f t="shared" si="540"/>
        <v>-1.5889830508474589E-2</v>
      </c>
      <c r="R468" s="548">
        <f t="shared" si="540"/>
        <v>6.9967707212055918E-2</v>
      </c>
      <c r="S468" s="548">
        <f t="shared" si="540"/>
        <v>-1.6096579476861161E-2</v>
      </c>
      <c r="T468" s="548">
        <f t="shared" si="540"/>
        <v>-1.7893660531697386E-2</v>
      </c>
      <c r="U468" s="548">
        <f t="shared" si="540"/>
        <v>-0.18740239458615304</v>
      </c>
      <c r="V468" s="548">
        <f t="shared" si="540"/>
        <v>0.37796284433055738</v>
      </c>
      <c r="W468" s="548">
        <f t="shared" si="540"/>
        <v>-0.10460251046025104</v>
      </c>
      <c r="X468" s="548">
        <f t="shared" si="540"/>
        <v>-0.18016614745586712</v>
      </c>
      <c r="Y468" s="548">
        <f t="shared" si="540"/>
        <v>-0.25902469917669413</v>
      </c>
      <c r="Z468" s="548">
        <f t="shared" si="540"/>
        <v>6.4102564102564097E-2</v>
      </c>
      <c r="AA468" s="548">
        <f t="shared" si="540"/>
        <v>0.30923694779116473</v>
      </c>
      <c r="AB468" s="548">
        <f t="shared" si="540"/>
        <v>-0.16748466257668715</v>
      </c>
      <c r="AC468" s="548">
        <f t="shared" si="536"/>
        <v>-6.7796610169491567E-2</v>
      </c>
      <c r="AD468" s="548">
        <f t="shared" si="537"/>
        <v>0.27193675889328062</v>
      </c>
      <c r="AE468" s="548">
        <f t="shared" si="538"/>
        <v>-5.717837165941575E-2</v>
      </c>
      <c r="AF468" s="548">
        <f t="shared" si="539"/>
        <v>-0.16809492419248517</v>
      </c>
      <c r="AG468" s="549"/>
      <c r="AH468" s="549"/>
      <c r="AI468" s="549"/>
      <c r="AJ468" s="549"/>
      <c r="AK468" s="549"/>
      <c r="AL468" s="549"/>
      <c r="AM468" s="549"/>
      <c r="AN468" s="549"/>
      <c r="AO468" s="549"/>
      <c r="AP468" s="549"/>
      <c r="AQ468" s="549"/>
      <c r="AR468" s="549"/>
      <c r="AS468" s="549"/>
      <c r="AT468" s="549"/>
      <c r="AU468" s="549"/>
      <c r="AV468" s="549"/>
      <c r="AW468" s="549"/>
    </row>
    <row r="469" spans="1:49" s="381" customFormat="1">
      <c r="A469" s="678" t="s">
        <v>122</v>
      </c>
      <c r="N469" s="679">
        <v>1706</v>
      </c>
      <c r="O469" s="679">
        <v>1280</v>
      </c>
      <c r="P469" s="679">
        <v>980</v>
      </c>
      <c r="Q469" s="679">
        <v>726</v>
      </c>
      <c r="R469" s="680">
        <v>574</v>
      </c>
      <c r="S469" s="680">
        <v>602</v>
      </c>
      <c r="T469" s="680">
        <v>510</v>
      </c>
      <c r="U469" s="680">
        <v>701</v>
      </c>
      <c r="V469" s="1161">
        <v>774</v>
      </c>
      <c r="W469" s="1159">
        <v>683</v>
      </c>
      <c r="X469" s="1159">
        <v>679</v>
      </c>
      <c r="Y469" s="1159">
        <v>589</v>
      </c>
      <c r="Z469" s="1159">
        <v>650</v>
      </c>
      <c r="AA469" s="1159">
        <v>642</v>
      </c>
      <c r="AB469" s="1159">
        <v>348</v>
      </c>
      <c r="AC469" s="1159">
        <v>517</v>
      </c>
      <c r="AD469" s="1159">
        <v>488</v>
      </c>
      <c r="AE469" s="1159">
        <v>501</v>
      </c>
      <c r="AF469" s="1159">
        <v>383</v>
      </c>
      <c r="AG469" s="681">
        <f>SUM($X469:$AF469)/SUM($X$473:$AF$473)*SUM(AG$473)</f>
        <v>528.45636484891338</v>
      </c>
      <c r="AH469" s="681">
        <f t="shared" ref="AH469:AQ469" si="541">SUM($X469:$AA469)/SUM($X$473:$AA$473)*SUM(AH$473)</f>
        <v>623.93052488935973</v>
      </c>
      <c r="AI469" s="681">
        <f t="shared" si="541"/>
        <v>614.46553182033563</v>
      </c>
      <c r="AJ469" s="681">
        <f t="shared" si="541"/>
        <v>605.14412219565827</v>
      </c>
      <c r="AK469" s="681">
        <f t="shared" si="541"/>
        <v>595.96411786206966</v>
      </c>
      <c r="AL469" s="681">
        <f t="shared" si="541"/>
        <v>586.92337370878147</v>
      </c>
      <c r="AM469" s="681">
        <f t="shared" si="541"/>
        <v>578.01977716622264</v>
      </c>
      <c r="AN469" s="681">
        <f t="shared" si="541"/>
        <v>569.25124771239075</v>
      </c>
      <c r="AO469" s="681">
        <f t="shared" si="541"/>
        <v>560.61573638669233</v>
      </c>
      <c r="AP469" s="681">
        <f t="shared" si="541"/>
        <v>552.11122531115745</v>
      </c>
      <c r="AQ469" s="681">
        <f t="shared" si="541"/>
        <v>543.73572721891844</v>
      </c>
      <c r="AR469" s="681">
        <f t="shared" ref="AH469:AW472" si="542">SUM($X469:$AA469)/SUM($X$473:$AA$473)*SUM(AR$473)</f>
        <v>535.4872849898411</v>
      </c>
      <c r="AS469" s="681">
        <f t="shared" si="542"/>
        <v>527.36397119319986</v>
      </c>
      <c r="AT469" s="681">
        <f t="shared" si="542"/>
        <v>519.36388763729144</v>
      </c>
      <c r="AU469" s="681">
        <f t="shared" si="542"/>
        <v>511.48516492588044</v>
      </c>
      <c r="AV469" s="681">
        <f t="shared" si="542"/>
        <v>503.72596202137345</v>
      </c>
      <c r="AW469" s="681">
        <f t="shared" si="542"/>
        <v>496.08446581461993</v>
      </c>
    </row>
    <row r="470" spans="1:49" s="393" customFormat="1">
      <c r="A470" s="392" t="s">
        <v>123</v>
      </c>
      <c r="N470" s="590">
        <v>851</v>
      </c>
      <c r="O470" s="590">
        <v>903</v>
      </c>
      <c r="P470" s="590">
        <v>741</v>
      </c>
      <c r="Q470" s="590">
        <v>793</v>
      </c>
      <c r="R470" s="591">
        <v>1047</v>
      </c>
      <c r="S470" s="591">
        <v>965</v>
      </c>
      <c r="T470" s="591">
        <v>918</v>
      </c>
      <c r="U470" s="591">
        <v>657</v>
      </c>
      <c r="V470" s="1162">
        <v>1227</v>
      </c>
      <c r="W470" s="1160">
        <v>964</v>
      </c>
      <c r="X470" s="1160">
        <v>787</v>
      </c>
      <c r="Y470" s="1160">
        <v>377</v>
      </c>
      <c r="Z470" s="1160">
        <v>496</v>
      </c>
      <c r="AA470" s="1160">
        <v>767</v>
      </c>
      <c r="AB470" s="1160">
        <v>770</v>
      </c>
      <c r="AC470" s="1160">
        <v>566</v>
      </c>
      <c r="AD470" s="1160">
        <v>866</v>
      </c>
      <c r="AE470" s="1160">
        <v>811</v>
      </c>
      <c r="AF470" s="1160">
        <v>698</v>
      </c>
      <c r="AG470" s="677">
        <f>SUM($X470:$AF470)/SUM($X$473:$AF$473)*SUM(AG$473)</f>
        <v>676.18619292112362</v>
      </c>
      <c r="AH470" s="677">
        <f t="shared" si="542"/>
        <v>591.51538433846724</v>
      </c>
      <c r="AI470" s="677">
        <f t="shared" si="542"/>
        <v>582.5421272374823</v>
      </c>
      <c r="AJ470" s="677">
        <f t="shared" si="542"/>
        <v>573.70499397221204</v>
      </c>
      <c r="AK470" s="677">
        <f t="shared" si="542"/>
        <v>565.00191955126684</v>
      </c>
      <c r="AL470" s="677">
        <f t="shared" si="542"/>
        <v>556.43087030906747</v>
      </c>
      <c r="AM470" s="677">
        <f t="shared" si="542"/>
        <v>547.98984343063375</v>
      </c>
      <c r="AN470" s="677">
        <f t="shared" si="542"/>
        <v>539.67686648358301</v>
      </c>
      <c r="AO470" s="677">
        <f t="shared" si="542"/>
        <v>531.4899969572275</v>
      </c>
      <c r="AP470" s="677">
        <f t="shared" si="542"/>
        <v>523.42732180866369</v>
      </c>
      <c r="AQ470" s="677">
        <f t="shared" si="542"/>
        <v>515.48695701574809</v>
      </c>
      <c r="AR470" s="677">
        <f t="shared" si="542"/>
        <v>507.66704713685328</v>
      </c>
      <c r="AS470" s="677">
        <f t="shared" si="542"/>
        <v>499.96576487730312</v>
      </c>
      <c r="AT470" s="677">
        <f t="shared" si="542"/>
        <v>492.38131066238532</v>
      </c>
      <c r="AU470" s="677">
        <f t="shared" si="542"/>
        <v>484.91191221684062</v>
      </c>
      <c r="AV470" s="677">
        <f t="shared" si="542"/>
        <v>477.55582415073178</v>
      </c>
      <c r="AW470" s="677">
        <f t="shared" si="542"/>
        <v>470.31132755159479</v>
      </c>
    </row>
    <row r="471" spans="1:49" s="393" customFormat="1">
      <c r="A471" s="392" t="s">
        <v>607</v>
      </c>
      <c r="N471" s="590">
        <v>251</v>
      </c>
      <c r="O471" s="590">
        <v>329</v>
      </c>
      <c r="P471" s="590">
        <v>205</v>
      </c>
      <c r="Q471" s="590">
        <v>323</v>
      </c>
      <c r="R471" s="591">
        <v>398</v>
      </c>
      <c r="S471" s="591">
        <v>430</v>
      </c>
      <c r="T471" s="591">
        <v>513</v>
      </c>
      <c r="U471" s="591">
        <v>304</v>
      </c>
      <c r="V471" s="1162">
        <v>187</v>
      </c>
      <c r="W471" s="1160">
        <v>311</v>
      </c>
      <c r="X471" s="1160">
        <v>192</v>
      </c>
      <c r="Y471" s="1160">
        <v>263</v>
      </c>
      <c r="Z471" s="1160">
        <v>141</v>
      </c>
      <c r="AA471" s="1160">
        <v>293</v>
      </c>
      <c r="AB471" s="1160">
        <v>282</v>
      </c>
      <c r="AC471" s="1160">
        <v>241</v>
      </c>
      <c r="AD471" s="1160">
        <v>312</v>
      </c>
      <c r="AE471" s="1160">
        <v>249</v>
      </c>
      <c r="AF471" s="1160">
        <v>240</v>
      </c>
      <c r="AG471" s="677">
        <f>SUM($X471:$AF471)/SUM($X$473:$AF$473)*SUM(AG$473)</f>
        <v>243.79277369410988</v>
      </c>
      <c r="AH471" s="677">
        <f t="shared" si="542"/>
        <v>216.66962368228158</v>
      </c>
      <c r="AI471" s="677">
        <f t="shared" si="542"/>
        <v>213.38275694854627</v>
      </c>
      <c r="AJ471" s="677">
        <f t="shared" si="542"/>
        <v>210.14575180935165</v>
      </c>
      <c r="AK471" s="677">
        <f t="shared" si="542"/>
        <v>206.9578518669453</v>
      </c>
      <c r="AL471" s="677">
        <f t="shared" si="542"/>
        <v>203.81831219808859</v>
      </c>
      <c r="AM471" s="677">
        <f t="shared" si="542"/>
        <v>200.72639917998904</v>
      </c>
      <c r="AN471" s="677">
        <f t="shared" si="542"/>
        <v>197.68139031887321</v>
      </c>
      <c r="AO471" s="677">
        <f t="shared" si="542"/>
        <v>194.68257408115997</v>
      </c>
      <c r="AP471" s="677">
        <f t="shared" si="542"/>
        <v>191.72924972719491</v>
      </c>
      <c r="AQ471" s="677">
        <f t="shared" si="542"/>
        <v>188.82072714750726</v>
      </c>
      <c r="AR471" s="677">
        <f t="shared" si="542"/>
        <v>185.9563267015503</v>
      </c>
      <c r="AS471" s="677">
        <f t="shared" si="542"/>
        <v>183.13537905888853</v>
      </c>
      <c r="AT471" s="677">
        <f t="shared" si="542"/>
        <v>180.3572250427938</v>
      </c>
      <c r="AU471" s="677">
        <f t="shared" si="542"/>
        <v>177.62121547621396</v>
      </c>
      <c r="AV471" s="677">
        <f t="shared" si="542"/>
        <v>174.92671103007854</v>
      </c>
      <c r="AW471" s="677">
        <f t="shared" si="542"/>
        <v>172.27308207390513</v>
      </c>
    </row>
    <row r="472" spans="1:49" s="383" customFormat="1">
      <c r="A472" s="385" t="s">
        <v>125</v>
      </c>
      <c r="N472" s="586">
        <v>-46</v>
      </c>
      <c r="O472" s="586">
        <v>-46</v>
      </c>
      <c r="P472" s="586">
        <v>-38</v>
      </c>
      <c r="Q472" s="586">
        <v>16</v>
      </c>
      <c r="R472" s="587">
        <v>-31</v>
      </c>
      <c r="S472" s="587">
        <v>-41</v>
      </c>
      <c r="T472" s="587">
        <v>-20</v>
      </c>
      <c r="U472" s="587">
        <v>-101</v>
      </c>
      <c r="V472" s="1163">
        <v>-37</v>
      </c>
      <c r="W472" s="587">
        <v>-32</v>
      </c>
      <c r="X472" s="587">
        <v>-79</v>
      </c>
      <c r="Y472" s="587">
        <v>-59</v>
      </c>
      <c r="Z472" s="587">
        <v>-42</v>
      </c>
      <c r="AA472" s="587">
        <v>-72</v>
      </c>
      <c r="AB472" s="587">
        <v>-43</v>
      </c>
      <c r="AC472" s="587">
        <v>-59</v>
      </c>
      <c r="AD472" s="587">
        <v>-57</v>
      </c>
      <c r="AE472" s="587">
        <v>-44</v>
      </c>
      <c r="AF472" s="587">
        <v>-59</v>
      </c>
      <c r="AG472" s="386">
        <f>SUM($X472:$AF472)/SUM($X$473:$AF$473)*SUM(AG$473)</f>
        <v>-56.624259231257341</v>
      </c>
      <c r="AH472" s="386">
        <f t="shared" si="542"/>
        <v>-61.418161043796346</v>
      </c>
      <c r="AI472" s="386">
        <f t="shared" si="542"/>
        <v>-60.486450788564291</v>
      </c>
      <c r="AJ472" s="386">
        <f t="shared" si="542"/>
        <v>-59.568874528635106</v>
      </c>
      <c r="AK472" s="386">
        <f t="shared" si="542"/>
        <v>-58.665217852047483</v>
      </c>
      <c r="AL472" s="386">
        <f t="shared" si="542"/>
        <v>-57.775269599458177</v>
      </c>
      <c r="AM472" s="386">
        <f t="shared" si="542"/>
        <v>-56.898821814800037</v>
      </c>
      <c r="AN472" s="386">
        <f t="shared" si="542"/>
        <v>-56.035669696688466</v>
      </c>
      <c r="AO472" s="386">
        <f t="shared" si="542"/>
        <v>-55.185611550565021</v>
      </c>
      <c r="AP472" s="386">
        <f t="shared" si="542"/>
        <v>-54.348448741567061</v>
      </c>
      <c r="AQ472" s="386">
        <f t="shared" si="542"/>
        <v>-53.523985648112287</v>
      </c>
      <c r="AR472" s="386">
        <f t="shared" si="542"/>
        <v>-52.712029616187479</v>
      </c>
      <c r="AS472" s="386">
        <f t="shared" si="542"/>
        <v>-51.912390914330608</v>
      </c>
      <c r="AT472" s="386">
        <f t="shared" si="542"/>
        <v>-51.124882689295873</v>
      </c>
      <c r="AU472" s="386">
        <f t="shared" si="542"/>
        <v>-50.349320922391357</v>
      </c>
      <c r="AV472" s="386">
        <f t="shared" si="542"/>
        <v>-49.585524386478944</v>
      </c>
      <c r="AW472" s="386">
        <f t="shared" si="542"/>
        <v>-48.833314603626647</v>
      </c>
    </row>
    <row r="473" spans="1:49" s="388" customFormat="1" ht="16.5" thickBot="1">
      <c r="A473" s="387" t="s">
        <v>5</v>
      </c>
      <c r="N473" s="593">
        <v>2762</v>
      </c>
      <c r="O473" s="593">
        <v>2466</v>
      </c>
      <c r="P473" s="593">
        <v>1888</v>
      </c>
      <c r="Q473" s="593">
        <v>1858</v>
      </c>
      <c r="R473" s="594">
        <v>1988</v>
      </c>
      <c r="S473" s="594">
        <v>1956</v>
      </c>
      <c r="T473" s="594">
        <v>1921</v>
      </c>
      <c r="U473" s="594">
        <v>1561</v>
      </c>
      <c r="V473" s="1164">
        <v>2151</v>
      </c>
      <c r="W473" s="594">
        <v>1926</v>
      </c>
      <c r="X473" s="594">
        <v>1579</v>
      </c>
      <c r="Y473" s="594">
        <v>1170</v>
      </c>
      <c r="Z473" s="594">
        <v>1245</v>
      </c>
      <c r="AA473" s="594">
        <v>1630</v>
      </c>
      <c r="AB473" s="594">
        <f>SUM(AB469:AB472)</f>
        <v>1357</v>
      </c>
      <c r="AC473" s="594">
        <f t="shared" ref="AC473" si="543">SUM(AC469:AC472)</f>
        <v>1265</v>
      </c>
      <c r="AD473" s="594">
        <f t="shared" ref="AD473" si="544">SUM(AD469:AD472)</f>
        <v>1609</v>
      </c>
      <c r="AE473" s="594">
        <f t="shared" ref="AE473" si="545">SUM(AE469:AE472)</f>
        <v>1517</v>
      </c>
      <c r="AF473" s="594">
        <f t="shared" ref="AF473" si="546">SUM(AF469:AF472)</f>
        <v>1262</v>
      </c>
      <c r="AG473" s="1343">
        <f>AVERAGE(AC473:AF473)*(1+Assumptions!AG24)</f>
        <v>1391.8110722328895</v>
      </c>
      <c r="AH473" s="1343">
        <f>AG473*(1+Assumptions!AH24)</f>
        <v>1370.6973718663121</v>
      </c>
      <c r="AI473" s="1343">
        <f>AH473*(1+Assumptions!AI24)</f>
        <v>1349.9039652177999</v>
      </c>
      <c r="AJ473" s="1343">
        <f>AI473*(1+Assumptions!AJ24)</f>
        <v>1329.4259934485867</v>
      </c>
      <c r="AK473" s="1343">
        <f>AJ473*(1+Assumptions!AK24)</f>
        <v>1309.2586714282343</v>
      </c>
      <c r="AL473" s="1343">
        <f>AK473*(1+Assumptions!AL24)</f>
        <v>1289.3972866164793</v>
      </c>
      <c r="AM473" s="1343">
        <f>AL473*(1+Assumptions!AM24)</f>
        <v>1269.8371979620454</v>
      </c>
      <c r="AN473" s="1343">
        <f>AM473*(1+Assumptions!AN24)</f>
        <v>1250.5738348181585</v>
      </c>
      <c r="AO473" s="1343">
        <f>AN473*(1+Assumptions!AO24)</f>
        <v>1231.6026958745147</v>
      </c>
      <c r="AP473" s="1343">
        <f>AO473*(1+Assumptions!AP24)</f>
        <v>1212.919348105449</v>
      </c>
      <c r="AQ473" s="1343">
        <f>AP473*(1+Assumptions!AQ24)</f>
        <v>1194.5194257340615</v>
      </c>
      <c r="AR473" s="1343">
        <f>AQ473*(1+Assumptions!AR24)</f>
        <v>1176.3986292120571</v>
      </c>
      <c r="AS473" s="1343">
        <f>AR473*(1+Assumptions!AS24)</f>
        <v>1158.5527242150608</v>
      </c>
      <c r="AT473" s="1343">
        <f>AS473*(1+Assumptions!AT24)</f>
        <v>1140.9775406531746</v>
      </c>
      <c r="AU473" s="1343">
        <f>AT473*(1+Assumptions!AU24)</f>
        <v>1123.6689716965436</v>
      </c>
      <c r="AV473" s="1343">
        <f>AU473*(1+Assumptions!AV24)</f>
        <v>1106.6229728157048</v>
      </c>
      <c r="AW473" s="1343">
        <f>AV473*(1+Assumptions!AW24)</f>
        <v>1089.8355608364932</v>
      </c>
    </row>
    <row r="474" spans="1:49" s="388" customFormat="1" ht="16.5" thickBot="1">
      <c r="A474" s="387" t="s">
        <v>6</v>
      </c>
      <c r="N474" s="389">
        <v>0</v>
      </c>
      <c r="O474" s="389">
        <v>7</v>
      </c>
      <c r="P474" s="389">
        <v>2</v>
      </c>
      <c r="Q474" s="389">
        <v>8</v>
      </c>
      <c r="R474" s="390">
        <v>1</v>
      </c>
      <c r="S474" s="390">
        <v>-5</v>
      </c>
      <c r="T474" s="390">
        <v>-1</v>
      </c>
      <c r="U474" s="390">
        <v>12</v>
      </c>
      <c r="V474" s="390">
        <v>4</v>
      </c>
      <c r="W474" s="390">
        <v>-4</v>
      </c>
      <c r="X474" s="390">
        <v>14</v>
      </c>
      <c r="Y474" s="390">
        <v>-4</v>
      </c>
      <c r="Z474" s="390">
        <v>23</v>
      </c>
      <c r="AA474" s="390">
        <v>-17</v>
      </c>
      <c r="AB474" s="390">
        <v>-5</v>
      </c>
      <c r="AC474" s="390">
        <v>-4</v>
      </c>
      <c r="AD474" s="390">
        <v>5</v>
      </c>
      <c r="AE474" s="390">
        <v>12</v>
      </c>
      <c r="AF474" s="390">
        <v>6</v>
      </c>
      <c r="AG474" s="391">
        <f>AVERAGE(AC474:AF474)</f>
        <v>4.75</v>
      </c>
      <c r="AH474" s="391">
        <f t="shared" ref="AH474:AS474" si="547">AG474</f>
        <v>4.75</v>
      </c>
      <c r="AI474" s="391">
        <f t="shared" si="547"/>
        <v>4.75</v>
      </c>
      <c r="AJ474" s="391">
        <f t="shared" si="547"/>
        <v>4.75</v>
      </c>
      <c r="AK474" s="391">
        <f t="shared" si="547"/>
        <v>4.75</v>
      </c>
      <c r="AL474" s="391">
        <f t="shared" si="547"/>
        <v>4.75</v>
      </c>
      <c r="AM474" s="391">
        <f t="shared" si="547"/>
        <v>4.75</v>
      </c>
      <c r="AN474" s="391">
        <f t="shared" si="547"/>
        <v>4.75</v>
      </c>
      <c r="AO474" s="391">
        <f t="shared" si="547"/>
        <v>4.75</v>
      </c>
      <c r="AP474" s="391">
        <f t="shared" si="547"/>
        <v>4.75</v>
      </c>
      <c r="AQ474" s="391">
        <f t="shared" si="547"/>
        <v>4.75</v>
      </c>
      <c r="AR474" s="391">
        <f t="shared" si="547"/>
        <v>4.75</v>
      </c>
      <c r="AS474" s="391">
        <f t="shared" si="547"/>
        <v>4.75</v>
      </c>
      <c r="AT474" s="391">
        <f t="shared" ref="AT474" si="548">AS474</f>
        <v>4.75</v>
      </c>
      <c r="AU474" s="391">
        <f t="shared" ref="AU474" si="549">AT474</f>
        <v>4.75</v>
      </c>
      <c r="AV474" s="391">
        <f t="shared" ref="AV474" si="550">AU474</f>
        <v>4.75</v>
      </c>
      <c r="AW474" s="391">
        <f t="shared" ref="AW474" si="551">AV474</f>
        <v>4.75</v>
      </c>
    </row>
    <row r="475" spans="1:49" s="378" customFormat="1">
      <c r="A475" s="392" t="s">
        <v>7</v>
      </c>
      <c r="N475" s="588">
        <v>911</v>
      </c>
      <c r="O475" s="588">
        <v>879</v>
      </c>
      <c r="P475" s="588">
        <v>657</v>
      </c>
      <c r="Q475" s="588">
        <v>824</v>
      </c>
      <c r="R475" s="589">
        <v>819</v>
      </c>
      <c r="S475" s="589">
        <v>818</v>
      </c>
      <c r="T475" s="589">
        <v>762</v>
      </c>
      <c r="U475" s="589">
        <v>639</v>
      </c>
      <c r="V475" s="589">
        <v>824</v>
      </c>
      <c r="W475" s="589">
        <v>821</v>
      </c>
      <c r="X475" s="589">
        <v>536</v>
      </c>
      <c r="Y475" s="589">
        <v>924</v>
      </c>
      <c r="Z475" s="589">
        <v>671</v>
      </c>
      <c r="AA475" s="589">
        <v>778</v>
      </c>
      <c r="AB475" s="589">
        <v>642</v>
      </c>
      <c r="AC475" s="589">
        <v>634</v>
      </c>
      <c r="AD475" s="589">
        <v>690</v>
      </c>
      <c r="AE475" s="589">
        <v>629</v>
      </c>
      <c r="AF475" s="589">
        <v>568</v>
      </c>
      <c r="AG475" s="380"/>
      <c r="AH475" s="380"/>
      <c r="AI475" s="380"/>
      <c r="AJ475" s="380"/>
      <c r="AK475" s="380"/>
      <c r="AL475" s="380"/>
      <c r="AM475" s="380"/>
      <c r="AN475" s="380"/>
      <c r="AO475" s="380"/>
      <c r="AP475" s="380"/>
      <c r="AQ475" s="380"/>
      <c r="AR475" s="380"/>
      <c r="AS475" s="380"/>
      <c r="AT475" s="380"/>
      <c r="AU475" s="380"/>
      <c r="AV475" s="380"/>
      <c r="AW475" s="380"/>
    </row>
    <row r="476" spans="1:49" s="378" customFormat="1">
      <c r="A476" s="392" t="s">
        <v>8</v>
      </c>
      <c r="B476" s="393"/>
      <c r="C476" s="393"/>
      <c r="D476" s="393"/>
      <c r="E476" s="393"/>
      <c r="F476" s="393"/>
      <c r="G476" s="393"/>
      <c r="H476" s="393"/>
      <c r="I476" s="393"/>
      <c r="J476" s="393"/>
      <c r="K476" s="393"/>
      <c r="L476" s="393"/>
      <c r="M476" s="393"/>
      <c r="N476" s="590">
        <v>527</v>
      </c>
      <c r="O476" s="590">
        <v>506</v>
      </c>
      <c r="P476" s="590">
        <v>505</v>
      </c>
      <c r="Q476" s="590">
        <v>552</v>
      </c>
      <c r="R476" s="591">
        <v>466</v>
      </c>
      <c r="S476" s="591">
        <v>424</v>
      </c>
      <c r="T476" s="591">
        <v>458</v>
      </c>
      <c r="U476" s="591">
        <v>499</v>
      </c>
      <c r="V476" s="591">
        <v>454</v>
      </c>
      <c r="W476" s="591">
        <v>576</v>
      </c>
      <c r="X476" s="591">
        <v>625</v>
      </c>
      <c r="Y476" s="591">
        <v>667</v>
      </c>
      <c r="Z476" s="591">
        <v>517</v>
      </c>
      <c r="AA476" s="591">
        <v>543</v>
      </c>
      <c r="AB476" s="591">
        <v>466</v>
      </c>
      <c r="AC476" s="591">
        <v>475</v>
      </c>
      <c r="AD476" s="591">
        <v>438</v>
      </c>
      <c r="AE476" s="591">
        <v>460</v>
      </c>
      <c r="AF476" s="591">
        <v>451</v>
      </c>
      <c r="AG476" s="380"/>
      <c r="AH476" s="380"/>
      <c r="AI476" s="380"/>
      <c r="AJ476" s="380"/>
      <c r="AK476" s="380"/>
      <c r="AL476" s="380"/>
      <c r="AM476" s="380"/>
      <c r="AN476" s="380"/>
      <c r="AO476" s="380"/>
      <c r="AP476" s="380"/>
      <c r="AQ476" s="380"/>
      <c r="AR476" s="380"/>
      <c r="AS476" s="380"/>
      <c r="AT476" s="380"/>
      <c r="AU476" s="380"/>
      <c r="AV476" s="380"/>
      <c r="AW476" s="380"/>
    </row>
    <row r="477" spans="1:49" s="378" customFormat="1">
      <c r="A477" s="392" t="s">
        <v>9</v>
      </c>
      <c r="B477" s="393"/>
      <c r="C477" s="393"/>
      <c r="D477" s="393"/>
      <c r="E477" s="393"/>
      <c r="F477" s="393"/>
      <c r="G477" s="393"/>
      <c r="H477" s="393"/>
      <c r="I477" s="393"/>
      <c r="J477" s="393"/>
      <c r="K477" s="393"/>
      <c r="L477" s="393"/>
      <c r="M477" s="393"/>
      <c r="N477" s="590">
        <v>155</v>
      </c>
      <c r="O477" s="590">
        <v>156</v>
      </c>
      <c r="P477" s="590">
        <v>146</v>
      </c>
      <c r="Q477" s="590">
        <v>127</v>
      </c>
      <c r="R477" s="591">
        <v>124</v>
      </c>
      <c r="S477" s="591">
        <v>117</v>
      </c>
      <c r="T477" s="591">
        <v>135</v>
      </c>
      <c r="U477" s="591">
        <v>144</v>
      </c>
      <c r="V477" s="591">
        <v>142</v>
      </c>
      <c r="W477" s="591">
        <v>142</v>
      </c>
      <c r="X477" s="591">
        <v>141</v>
      </c>
      <c r="Y477" s="591">
        <v>138</v>
      </c>
      <c r="Z477" s="591">
        <v>132</v>
      </c>
      <c r="AA477" s="591">
        <v>122</v>
      </c>
      <c r="AB477" s="591">
        <v>115</v>
      </c>
      <c r="AC477" s="591">
        <v>140</v>
      </c>
      <c r="AD477" s="591">
        <v>139</v>
      </c>
      <c r="AE477" s="591">
        <v>127</v>
      </c>
      <c r="AF477" s="591">
        <v>139</v>
      </c>
      <c r="AG477" s="380"/>
      <c r="AH477" s="380"/>
      <c r="AI477" s="380"/>
      <c r="AJ477" s="380"/>
      <c r="AK477" s="380"/>
      <c r="AL477" s="380"/>
      <c r="AM477" s="380"/>
      <c r="AN477" s="380"/>
      <c r="AO477" s="380"/>
      <c r="AP477" s="380"/>
      <c r="AQ477" s="380"/>
      <c r="AR477" s="380"/>
      <c r="AS477" s="380"/>
      <c r="AT477" s="380"/>
      <c r="AU477" s="380"/>
      <c r="AV477" s="380"/>
      <c r="AW477" s="380"/>
    </row>
    <row r="478" spans="1:49" s="393" customFormat="1">
      <c r="A478" s="392" t="s">
        <v>71</v>
      </c>
      <c r="N478" s="672">
        <v>0</v>
      </c>
      <c r="O478" s="672">
        <v>0</v>
      </c>
      <c r="P478" s="672">
        <v>0</v>
      </c>
      <c r="Q478" s="672">
        <v>0</v>
      </c>
      <c r="R478" s="591">
        <v>0</v>
      </c>
      <c r="S478" s="591">
        <v>0</v>
      </c>
      <c r="T478" s="591">
        <v>0</v>
      </c>
      <c r="U478" s="591">
        <v>0</v>
      </c>
      <c r="V478" s="591">
        <v>0</v>
      </c>
      <c r="W478" s="591">
        <v>0</v>
      </c>
      <c r="X478" s="591">
        <v>0</v>
      </c>
      <c r="Y478" s="591">
        <v>2661</v>
      </c>
      <c r="Z478" s="591">
        <v>0</v>
      </c>
      <c r="AA478" s="591">
        <v>0</v>
      </c>
      <c r="AB478" s="591">
        <v>0</v>
      </c>
      <c r="AC478" s="591">
        <v>0</v>
      </c>
      <c r="AD478" s="591">
        <v>0</v>
      </c>
      <c r="AE478" s="591">
        <v>0</v>
      </c>
      <c r="AF478" s="591">
        <v>0</v>
      </c>
      <c r="AG478" s="673"/>
      <c r="AH478" s="673"/>
      <c r="AI478" s="673"/>
      <c r="AJ478" s="673"/>
      <c r="AK478" s="673"/>
      <c r="AL478" s="673"/>
      <c r="AM478" s="673"/>
      <c r="AN478" s="673"/>
      <c r="AO478" s="673"/>
      <c r="AP478" s="673"/>
      <c r="AQ478" s="673"/>
      <c r="AR478" s="673"/>
      <c r="AS478" s="673"/>
      <c r="AT478" s="673"/>
      <c r="AU478" s="673"/>
      <c r="AV478" s="673"/>
      <c r="AW478" s="673"/>
    </row>
    <row r="479" spans="1:49" s="383" customFormat="1">
      <c r="A479" s="385" t="s">
        <v>10</v>
      </c>
      <c r="N479" s="592">
        <v>0</v>
      </c>
      <c r="O479" s="592">
        <v>0</v>
      </c>
      <c r="P479" s="592">
        <v>0</v>
      </c>
      <c r="Q479" s="592">
        <v>0</v>
      </c>
      <c r="R479" s="592">
        <v>0</v>
      </c>
      <c r="S479" s="592">
        <v>0</v>
      </c>
      <c r="T479" s="592">
        <v>0</v>
      </c>
      <c r="U479" s="592">
        <v>0</v>
      </c>
      <c r="V479" s="592">
        <v>0</v>
      </c>
      <c r="W479" s="592">
        <v>0</v>
      </c>
      <c r="X479" s="592">
        <v>0</v>
      </c>
      <c r="Y479" s="592">
        <v>96</v>
      </c>
      <c r="Z479" s="592">
        <v>100</v>
      </c>
      <c r="AA479" s="592">
        <v>50</v>
      </c>
      <c r="AB479" s="592">
        <v>52</v>
      </c>
      <c r="AC479" s="592">
        <v>15</v>
      </c>
      <c r="AD479" s="592">
        <v>20</v>
      </c>
      <c r="AE479" s="592">
        <v>32</v>
      </c>
      <c r="AF479" s="592">
        <v>27</v>
      </c>
      <c r="AG479" s="1026">
        <f>SUM($AA479:$AB479)/SUM($AA$479:$AB$479,$Z$552:$AA$552)*AG19</f>
        <v>88.805970149253739</v>
      </c>
      <c r="AH479" s="384"/>
      <c r="AI479" s="384"/>
      <c r="AJ479" s="384"/>
      <c r="AK479" s="384"/>
      <c r="AL479" s="384"/>
      <c r="AM479" s="384"/>
      <c r="AN479" s="384"/>
      <c r="AO479" s="384"/>
      <c r="AP479" s="384"/>
      <c r="AQ479" s="384"/>
      <c r="AR479" s="384"/>
      <c r="AS479" s="384"/>
      <c r="AT479" s="384"/>
      <c r="AU479" s="384"/>
      <c r="AV479" s="384"/>
      <c r="AW479" s="384"/>
    </row>
    <row r="480" spans="1:49" s="378" customFormat="1">
      <c r="A480" s="382" t="s">
        <v>11</v>
      </c>
      <c r="N480" s="590">
        <v>682</v>
      </c>
      <c r="O480" s="590">
        <v>662</v>
      </c>
      <c r="P480" s="590">
        <v>651</v>
      </c>
      <c r="Q480" s="590">
        <v>679</v>
      </c>
      <c r="R480" s="591">
        <v>590</v>
      </c>
      <c r="S480" s="591">
        <v>541</v>
      </c>
      <c r="T480" s="591">
        <v>593</v>
      </c>
      <c r="U480" s="591">
        <v>643</v>
      </c>
      <c r="V480" s="591">
        <v>596</v>
      </c>
      <c r="W480" s="591">
        <v>718</v>
      </c>
      <c r="X480" s="591">
        <v>766</v>
      </c>
      <c r="Y480" s="591">
        <v>3562</v>
      </c>
      <c r="Z480" s="591">
        <v>749</v>
      </c>
      <c r="AA480" s="591">
        <v>715</v>
      </c>
      <c r="AB480" s="591">
        <v>633</v>
      </c>
      <c r="AC480" s="591">
        <v>630</v>
      </c>
      <c r="AD480" s="591">
        <v>597</v>
      </c>
      <c r="AE480" s="591">
        <v>619</v>
      </c>
      <c r="AF480" s="591">
        <v>617</v>
      </c>
      <c r="AG480" s="380"/>
      <c r="AH480" s="380"/>
      <c r="AI480" s="380"/>
      <c r="AJ480" s="380"/>
      <c r="AK480" s="380"/>
      <c r="AL480" s="380"/>
      <c r="AM480" s="380"/>
      <c r="AN480" s="380"/>
      <c r="AO480" s="380"/>
      <c r="AP480" s="380"/>
      <c r="AQ480" s="380"/>
      <c r="AR480" s="380"/>
      <c r="AS480" s="380"/>
      <c r="AT480" s="380"/>
      <c r="AU480" s="380"/>
      <c r="AV480" s="380"/>
      <c r="AW480" s="380"/>
    </row>
    <row r="481" spans="1:49" s="388" customFormat="1" ht="16.5" thickBot="1">
      <c r="A481" s="394" t="s">
        <v>12</v>
      </c>
      <c r="N481" s="593">
        <v>1593</v>
      </c>
      <c r="O481" s="593">
        <v>1541</v>
      </c>
      <c r="P481" s="593">
        <v>1308</v>
      </c>
      <c r="Q481" s="593">
        <v>1503</v>
      </c>
      <c r="R481" s="594">
        <v>1409</v>
      </c>
      <c r="S481" s="594">
        <v>1359</v>
      </c>
      <c r="T481" s="594">
        <v>1355</v>
      </c>
      <c r="U481" s="594">
        <v>1282</v>
      </c>
      <c r="V481" s="594">
        <v>1420</v>
      </c>
      <c r="W481" s="594">
        <v>1539</v>
      </c>
      <c r="X481" s="594">
        <v>1302</v>
      </c>
      <c r="Y481" s="594">
        <v>4486</v>
      </c>
      <c r="Z481" s="594">
        <v>1420</v>
      </c>
      <c r="AA481" s="594">
        <v>1493</v>
      </c>
      <c r="AB481" s="594">
        <f>SUM(AB475:AB479)</f>
        <v>1275</v>
      </c>
      <c r="AC481" s="594">
        <f>SUM(AC475:AC479)</f>
        <v>1264</v>
      </c>
      <c r="AD481" s="594">
        <f t="shared" ref="AD481:AF481" si="552">SUM(AD475:AD479)</f>
        <v>1287</v>
      </c>
      <c r="AE481" s="594">
        <f t="shared" si="552"/>
        <v>1248</v>
      </c>
      <c r="AF481" s="594">
        <f t="shared" si="552"/>
        <v>1185</v>
      </c>
      <c r="AG481" s="1343">
        <f t="shared" ref="AG481" si="553">AG473*AG486+AG479</f>
        <v>1310.7993898368641</v>
      </c>
      <c r="AH481" s="1343">
        <f t="shared" ref="AH481:AS481" si="554">AH473*AH486</f>
        <v>1197.4385649095088</v>
      </c>
      <c r="AI481" s="1343">
        <f t="shared" si="554"/>
        <v>1173.3771177745746</v>
      </c>
      <c r="AJ481" s="1343">
        <f t="shared" si="554"/>
        <v>1149.7991637015753</v>
      </c>
      <c r="AK481" s="899">
        <f t="shared" si="554"/>
        <v>1126.6949873338399</v>
      </c>
      <c r="AL481" s="1343">
        <f t="shared" si="554"/>
        <v>1104.0550685360206</v>
      </c>
      <c r="AM481" s="1343">
        <f t="shared" si="554"/>
        <v>1081.870078471296</v>
      </c>
      <c r="AN481" s="1343">
        <f t="shared" si="554"/>
        <v>1060.1308757574002</v>
      </c>
      <c r="AO481" s="1343">
        <f t="shared" si="554"/>
        <v>1038.8285026998931</v>
      </c>
      <c r="AP481" s="1343">
        <f t="shared" si="554"/>
        <v>1017.954181601119</v>
      </c>
      <c r="AQ481" s="1343">
        <f t="shared" si="554"/>
        <v>997.49931114333344</v>
      </c>
      <c r="AR481" s="1343">
        <f t="shared" si="554"/>
        <v>977.45546284450859</v>
      </c>
      <c r="AS481" s="1343">
        <f t="shared" si="554"/>
        <v>957.81437758535526</v>
      </c>
      <c r="AT481" s="1343">
        <f t="shared" ref="AT481:AW481" si="555">AT473*AT486</f>
        <v>938.56796220613148</v>
      </c>
      <c r="AU481" s="1343">
        <f t="shared" si="555"/>
        <v>919.7082861718352</v>
      </c>
      <c r="AV481" s="1343">
        <f t="shared" si="555"/>
        <v>901.2275783044073</v>
      </c>
      <c r="AW481" s="1343">
        <f t="shared" si="555"/>
        <v>883.11822358059726</v>
      </c>
    </row>
    <row r="482" spans="1:49" s="388" customFormat="1" ht="16.5" thickBot="1">
      <c r="A482" s="395" t="s">
        <v>87</v>
      </c>
      <c r="N482" s="593">
        <v>1169</v>
      </c>
      <c r="O482" s="593">
        <v>918</v>
      </c>
      <c r="P482" s="593">
        <v>578</v>
      </c>
      <c r="Q482" s="593">
        <v>347</v>
      </c>
      <c r="R482" s="594">
        <v>578</v>
      </c>
      <c r="S482" s="594">
        <v>602</v>
      </c>
      <c r="T482" s="594">
        <v>567</v>
      </c>
      <c r="U482" s="594">
        <v>267</v>
      </c>
      <c r="V482" s="594">
        <v>727</v>
      </c>
      <c r="W482" s="594">
        <v>391</v>
      </c>
      <c r="X482" s="594">
        <v>263</v>
      </c>
      <c r="Y482" s="594">
        <v>-3312</v>
      </c>
      <c r="Z482" s="594">
        <v>-198</v>
      </c>
      <c r="AA482" s="594">
        <v>154</v>
      </c>
      <c r="AB482" s="594">
        <f>AB473-AB474-AB481</f>
        <v>87</v>
      </c>
      <c r="AC482" s="594">
        <f t="shared" ref="AC482:AS482" si="556">AC473-AC474-AC481</f>
        <v>5</v>
      </c>
      <c r="AD482" s="594">
        <f t="shared" ref="AD482:AF482" si="557">AD473-AD474-AD481</f>
        <v>317</v>
      </c>
      <c r="AE482" s="594">
        <f t="shared" si="557"/>
        <v>257</v>
      </c>
      <c r="AF482" s="594">
        <f t="shared" si="557"/>
        <v>71</v>
      </c>
      <c r="AG482" s="1343">
        <f t="shared" si="556"/>
        <v>76.261682396025435</v>
      </c>
      <c r="AH482" s="1343">
        <f t="shared" si="556"/>
        <v>168.50880695680326</v>
      </c>
      <c r="AI482" s="1343">
        <f t="shared" si="556"/>
        <v>171.77684744322528</v>
      </c>
      <c r="AJ482" s="1343">
        <f t="shared" si="556"/>
        <v>174.87682974701147</v>
      </c>
      <c r="AK482" s="1343">
        <f t="shared" si="556"/>
        <v>177.81368409439438</v>
      </c>
      <c r="AL482" s="1343">
        <f t="shared" si="556"/>
        <v>180.59221808045868</v>
      </c>
      <c r="AM482" s="1343">
        <f t="shared" si="556"/>
        <v>183.21711949074938</v>
      </c>
      <c r="AN482" s="1343">
        <f t="shared" si="556"/>
        <v>185.69295906075831</v>
      </c>
      <c r="AO482" s="1343">
        <f t="shared" si="556"/>
        <v>188.02419317462159</v>
      </c>
      <c r="AP482" s="1343">
        <f t="shared" si="556"/>
        <v>190.21516650433</v>
      </c>
      <c r="AQ482" s="1343">
        <f t="shared" si="556"/>
        <v>192.2701145907281</v>
      </c>
      <c r="AR482" s="1343">
        <f t="shared" si="556"/>
        <v>194.19316636754854</v>
      </c>
      <c r="AS482" s="1343">
        <f t="shared" si="556"/>
        <v>195.98834662970557</v>
      </c>
      <c r="AT482" s="1343">
        <f t="shared" ref="AT482:AW482" si="558">AT473-AT474-AT481</f>
        <v>197.65957844704315</v>
      </c>
      <c r="AU482" s="1343">
        <f t="shared" si="558"/>
        <v>199.21068552470842</v>
      </c>
      <c r="AV482" s="1343">
        <f t="shared" si="558"/>
        <v>200.64539451129747</v>
      </c>
      <c r="AW482" s="1343">
        <f t="shared" si="558"/>
        <v>201.96733725589593</v>
      </c>
    </row>
    <row r="483" spans="1:49" s="378" customFormat="1">
      <c r="A483" s="396"/>
      <c r="N483" s="583"/>
      <c r="O483" s="583"/>
      <c r="P483" s="583"/>
      <c r="Q483" s="583"/>
      <c r="R483" s="595"/>
      <c r="S483" s="595"/>
      <c r="T483" s="595"/>
      <c r="U483" s="595"/>
      <c r="V483" s="595"/>
      <c r="W483" s="595"/>
      <c r="X483" s="595"/>
      <c r="Y483" s="595"/>
      <c r="Z483" s="595"/>
      <c r="AA483" s="595"/>
      <c r="AB483" s="595"/>
      <c r="AC483" s="595"/>
      <c r="AD483" s="595"/>
      <c r="AE483" s="595"/>
      <c r="AF483" s="595"/>
      <c r="AG483" s="380"/>
      <c r="AH483" s="380"/>
      <c r="AI483" s="380"/>
      <c r="AJ483" s="380"/>
      <c r="AK483" s="380"/>
      <c r="AL483" s="380"/>
      <c r="AM483" s="380"/>
      <c r="AN483" s="380"/>
      <c r="AO483" s="380"/>
      <c r="AP483" s="380"/>
      <c r="AQ483" s="380"/>
      <c r="AR483" s="380"/>
      <c r="AS483" s="380"/>
      <c r="AT483" s="380"/>
      <c r="AU483" s="380"/>
      <c r="AV483" s="380"/>
      <c r="AW483" s="380"/>
    </row>
    <row r="484" spans="1:49" s="378" customFormat="1">
      <c r="A484" s="377" t="s">
        <v>88</v>
      </c>
      <c r="N484" s="583"/>
      <c r="O484" s="583"/>
      <c r="P484" s="583"/>
      <c r="Q484" s="583"/>
      <c r="R484" s="397"/>
      <c r="S484" s="397"/>
      <c r="T484" s="397"/>
      <c r="U484" s="397"/>
      <c r="V484" s="397"/>
      <c r="W484" s="397"/>
      <c r="X484" s="397"/>
      <c r="Y484" s="397"/>
      <c r="Z484" s="397"/>
      <c r="AA484" s="397"/>
      <c r="AB484" s="397"/>
      <c r="AC484" s="397"/>
      <c r="AD484" s="397"/>
      <c r="AE484" s="397"/>
      <c r="AF484" s="397"/>
      <c r="AG484" s="380"/>
      <c r="AH484" s="380"/>
      <c r="AI484" s="380"/>
      <c r="AJ484" s="380"/>
      <c r="AK484" s="380"/>
      <c r="AL484" s="380"/>
      <c r="AM484" s="380"/>
      <c r="AN484" s="380"/>
      <c r="AO484" s="380"/>
      <c r="AP484" s="380"/>
      <c r="AQ484" s="380"/>
      <c r="AR484" s="380"/>
      <c r="AS484" s="380"/>
      <c r="AT484" s="380"/>
      <c r="AU484" s="380"/>
      <c r="AV484" s="380"/>
      <c r="AW484" s="380"/>
    </row>
    <row r="485" spans="1:49" s="378" customFormat="1">
      <c r="A485" s="398" t="s">
        <v>89</v>
      </c>
      <c r="N485" s="399"/>
      <c r="O485" s="399"/>
      <c r="P485" s="399"/>
      <c r="Q485" s="399"/>
      <c r="R485" s="400"/>
      <c r="S485" s="400"/>
      <c r="T485" s="400"/>
      <c r="U485" s="401">
        <v>5.7</v>
      </c>
      <c r="V485" s="401">
        <v>15.9</v>
      </c>
      <c r="W485" s="401">
        <v>9.1999999999999993</v>
      </c>
      <c r="X485" s="401">
        <v>6.6</v>
      </c>
      <c r="Y485" s="402">
        <v>0</v>
      </c>
      <c r="Z485" s="402">
        <v>0</v>
      </c>
      <c r="AA485" s="402">
        <v>4.3</v>
      </c>
      <c r="AB485" s="402"/>
      <c r="AC485" s="402">
        <v>2.5</v>
      </c>
      <c r="AD485" s="402">
        <v>0.3</v>
      </c>
      <c r="AE485" s="402">
        <v>9</v>
      </c>
      <c r="AF485" s="402">
        <v>7.4</v>
      </c>
      <c r="AG485" s="380"/>
      <c r="AH485" s="380"/>
      <c r="AI485" s="380"/>
      <c r="AJ485" s="380"/>
      <c r="AK485" s="380"/>
      <c r="AL485" s="380"/>
      <c r="AM485" s="380"/>
      <c r="AN485" s="380"/>
      <c r="AO485" s="380"/>
      <c r="AP485" s="380"/>
      <c r="AQ485" s="380"/>
      <c r="AR485" s="380"/>
      <c r="AS485" s="380"/>
      <c r="AT485" s="380"/>
      <c r="AU485" s="380"/>
      <c r="AV485" s="380"/>
      <c r="AW485" s="380"/>
    </row>
    <row r="486" spans="1:49" s="541" customFormat="1" ht="16.5" thickBot="1">
      <c r="A486" s="540" t="s">
        <v>90</v>
      </c>
      <c r="N486" s="596">
        <v>0.57700000000000007</v>
      </c>
      <c r="O486" s="596">
        <v>0.625</v>
      </c>
      <c r="P486" s="596">
        <v>0.69299999999999995</v>
      </c>
      <c r="Q486" s="596">
        <v>0.80900000000000005</v>
      </c>
      <c r="R486" s="596">
        <v>0.70875251509054327</v>
      </c>
      <c r="S486" s="596">
        <v>0.69478527607361973</v>
      </c>
      <c r="T486" s="596">
        <v>0.70536179073399263</v>
      </c>
      <c r="U486" s="596">
        <v>0.82126841768097369</v>
      </c>
      <c r="V486" s="596">
        <v>0.66015806601580662</v>
      </c>
      <c r="W486" s="596">
        <v>0.7990654205607477</v>
      </c>
      <c r="X486" s="596">
        <v>0.82457251424952505</v>
      </c>
      <c r="Y486" s="596">
        <f>(Y481-Y478)/Y473</f>
        <v>1.5598290598290598</v>
      </c>
      <c r="Z486" s="596">
        <v>1.1405622489959839</v>
      </c>
      <c r="AA486" s="596">
        <v>0.91595092024539881</v>
      </c>
      <c r="AB486" s="596">
        <f>AB481/AB473</f>
        <v>0.93957258658806186</v>
      </c>
      <c r="AC486" s="596">
        <v>0.99900000000000011</v>
      </c>
      <c r="AD486" s="596">
        <v>0.8</v>
      </c>
      <c r="AE486" s="596">
        <v>0.82299999999999995</v>
      </c>
      <c r="AF486" s="596">
        <v>0.93900000000000006</v>
      </c>
      <c r="AG486" s="542">
        <f>Assumptions!AG25</f>
        <v>0.8779880000000001</v>
      </c>
      <c r="AH486" s="542">
        <f>Assumptions!AH25</f>
        <v>0.87359806000000007</v>
      </c>
      <c r="AI486" s="542">
        <f>Assumptions!AI25</f>
        <v>0.86923006970000005</v>
      </c>
      <c r="AJ486" s="542">
        <f>Assumptions!AJ25</f>
        <v>0.8648839193515</v>
      </c>
      <c r="AK486" s="542">
        <f>Assumptions!AK25</f>
        <v>0.86055949975474244</v>
      </c>
      <c r="AL486" s="542">
        <f>Assumptions!AL25</f>
        <v>0.85625670225596873</v>
      </c>
      <c r="AM486" s="542">
        <f>Assumptions!AM25</f>
        <v>0.85197541874468885</v>
      </c>
      <c r="AN486" s="542">
        <f>Assumptions!AN25</f>
        <v>0.84771554165096541</v>
      </c>
      <c r="AO486" s="542">
        <f>Assumptions!AO25</f>
        <v>0.84347696394271054</v>
      </c>
      <c r="AP486" s="542">
        <f>Assumptions!AP25</f>
        <v>0.83925957912299698</v>
      </c>
      <c r="AQ486" s="542">
        <f>Assumptions!AQ25</f>
        <v>0.83506328122738194</v>
      </c>
      <c r="AR486" s="542">
        <f>Assumptions!AR25</f>
        <v>0.83088796482124505</v>
      </c>
      <c r="AS486" s="542">
        <f>Assumptions!AS25</f>
        <v>0.82673352499713881</v>
      </c>
      <c r="AT486" s="542">
        <f>Assumptions!AT25</f>
        <v>0.82259985737215313</v>
      </c>
      <c r="AU486" s="542">
        <f>Assumptions!AU25</f>
        <v>0.81848685808529231</v>
      </c>
      <c r="AV486" s="542">
        <f>Assumptions!AV25</f>
        <v>0.81439442379486582</v>
      </c>
      <c r="AW486" s="542">
        <f>Assumptions!AW25</f>
        <v>0.81032245167589145</v>
      </c>
    </row>
    <row r="487" spans="1:49" s="378" customFormat="1">
      <c r="A487" s="403"/>
      <c r="N487" s="583"/>
      <c r="O487" s="583"/>
      <c r="P487" s="583"/>
      <c r="Q487" s="583"/>
      <c r="R487" s="397"/>
      <c r="S487" s="397"/>
      <c r="T487" s="397"/>
      <c r="U487" s="397"/>
      <c r="V487" s="397"/>
      <c r="W487" s="397"/>
      <c r="X487" s="397"/>
      <c r="Y487" s="397"/>
      <c r="Z487" s="397"/>
      <c r="AA487" s="397"/>
      <c r="AB487" s="397"/>
      <c r="AC487" s="397"/>
      <c r="AD487" s="397"/>
      <c r="AE487" s="397"/>
      <c r="AF487" s="397"/>
      <c r="AG487" s="380"/>
      <c r="AH487" s="380"/>
      <c r="AI487" s="380"/>
      <c r="AJ487" s="380"/>
      <c r="AK487" s="380"/>
      <c r="AL487" s="380"/>
      <c r="AM487" s="380"/>
      <c r="AN487" s="380"/>
      <c r="AO487" s="380"/>
      <c r="AP487" s="380"/>
      <c r="AQ487" s="380"/>
      <c r="AR487" s="380"/>
      <c r="AS487" s="380"/>
      <c r="AT487" s="380"/>
      <c r="AU487" s="380"/>
      <c r="AV487" s="380"/>
      <c r="AW487" s="380"/>
    </row>
    <row r="488" spans="1:49" s="378" customFormat="1">
      <c r="A488" s="377" t="s">
        <v>91</v>
      </c>
      <c r="N488" s="583"/>
      <c r="O488" s="583"/>
      <c r="P488" s="583"/>
      <c r="Q488" s="583"/>
      <c r="R488" s="597"/>
      <c r="S488" s="597"/>
      <c r="T488" s="597"/>
      <c r="U488" s="597"/>
      <c r="V488" s="597"/>
      <c r="W488" s="597"/>
      <c r="X488" s="597"/>
      <c r="Y488" s="597"/>
      <c r="Z488" s="597"/>
      <c r="AA488" s="597"/>
      <c r="AB488" s="597"/>
      <c r="AC488" s="597"/>
      <c r="AD488" s="597"/>
      <c r="AE488" s="597"/>
      <c r="AF488" s="597"/>
      <c r="AG488" s="380"/>
      <c r="AH488" s="380"/>
      <c r="AI488" s="380"/>
      <c r="AJ488" s="380"/>
      <c r="AK488" s="380"/>
      <c r="AL488" s="380"/>
      <c r="AM488" s="380"/>
      <c r="AN488" s="380"/>
      <c r="AO488" s="380"/>
      <c r="AP488" s="380"/>
      <c r="AQ488" s="380"/>
      <c r="AR488" s="380"/>
      <c r="AS488" s="380"/>
      <c r="AT488" s="380"/>
      <c r="AU488" s="380"/>
      <c r="AV488" s="380"/>
      <c r="AW488" s="380"/>
    </row>
    <row r="489" spans="1:49" s="378" customFormat="1">
      <c r="A489" s="404" t="s">
        <v>36</v>
      </c>
      <c r="N489" s="405">
        <v>417271</v>
      </c>
      <c r="O489" s="405">
        <v>408071</v>
      </c>
      <c r="P489" s="405">
        <v>376363</v>
      </c>
      <c r="Q489" s="405">
        <v>359563</v>
      </c>
      <c r="R489" s="406">
        <v>321870</v>
      </c>
      <c r="S489" s="406">
        <v>340764</v>
      </c>
      <c r="T489" s="406">
        <v>357300</v>
      </c>
      <c r="U489" s="406">
        <v>337443</v>
      </c>
      <c r="V489" s="406">
        <v>301309</v>
      </c>
      <c r="W489" s="406">
        <v>287616</v>
      </c>
      <c r="X489" s="406">
        <v>263634</v>
      </c>
      <c r="Y489" s="406">
        <v>234276</v>
      </c>
      <c r="Z489" s="406">
        <v>237716</v>
      </c>
      <c r="AA489" s="406">
        <v>239419</v>
      </c>
      <c r="AB489" s="406">
        <v>245492</v>
      </c>
      <c r="AC489" s="406">
        <v>239700</v>
      </c>
      <c r="AD489" s="406">
        <v>242745</v>
      </c>
      <c r="AE489" s="406">
        <v>228858</v>
      </c>
      <c r="AF489" s="406">
        <v>239910</v>
      </c>
      <c r="AG489" s="380"/>
      <c r="AH489" s="380"/>
      <c r="AI489" s="380"/>
      <c r="AJ489" s="380"/>
      <c r="AK489" s="380"/>
      <c r="AL489" s="380"/>
      <c r="AM489" s="380"/>
      <c r="AN489" s="380"/>
      <c r="AO489" s="380"/>
      <c r="AP489" s="380"/>
      <c r="AQ489" s="380"/>
      <c r="AR489" s="380"/>
      <c r="AS489" s="380"/>
      <c r="AT489" s="380"/>
      <c r="AU489" s="380"/>
      <c r="AV489" s="380"/>
      <c r="AW489" s="380"/>
    </row>
    <row r="490" spans="1:49" s="378" customFormat="1">
      <c r="A490" s="404" t="s">
        <v>92</v>
      </c>
      <c r="N490" s="405">
        <v>85627</v>
      </c>
      <c r="O490" s="405">
        <v>83033</v>
      </c>
      <c r="P490" s="405">
        <v>73260</v>
      </c>
      <c r="Q490" s="405">
        <v>73300</v>
      </c>
      <c r="R490" s="406">
        <v>58557</v>
      </c>
      <c r="S490" s="406">
        <v>58979</v>
      </c>
      <c r="T490" s="406">
        <v>60241</v>
      </c>
      <c r="U490" s="406">
        <v>60290</v>
      </c>
      <c r="V490" s="406">
        <v>61225</v>
      </c>
      <c r="W490" s="406">
        <v>60727</v>
      </c>
      <c r="X490" s="406">
        <v>61555</v>
      </c>
      <c r="Y490" s="406">
        <v>62838</v>
      </c>
      <c r="Z490" s="406">
        <v>56698</v>
      </c>
      <c r="AA490" s="406">
        <v>50750</v>
      </c>
      <c r="AB490" s="406">
        <v>51127</v>
      </c>
      <c r="AC490" s="406">
        <v>51713</v>
      </c>
      <c r="AD490" s="406">
        <v>52061</v>
      </c>
      <c r="AE490" s="406">
        <v>51333</v>
      </c>
      <c r="AF490" s="406">
        <v>55993</v>
      </c>
      <c r="AG490" s="380"/>
      <c r="AH490" s="380"/>
      <c r="AI490" s="380"/>
      <c r="AJ490" s="380"/>
      <c r="AK490" s="380"/>
      <c r="AL490" s="380"/>
      <c r="AM490" s="380"/>
      <c r="AN490" s="380"/>
      <c r="AO490" s="380"/>
      <c r="AP490" s="380"/>
      <c r="AQ490" s="380"/>
      <c r="AR490" s="380"/>
      <c r="AS490" s="380"/>
      <c r="AT490" s="380"/>
      <c r="AU490" s="380"/>
      <c r="AV490" s="380"/>
      <c r="AW490" s="380"/>
    </row>
    <row r="491" spans="1:49" s="378" customFormat="1">
      <c r="A491" s="404" t="s">
        <v>126</v>
      </c>
      <c r="N491" s="405">
        <v>90424</v>
      </c>
      <c r="O491" s="405">
        <v>87759</v>
      </c>
      <c r="P491" s="405">
        <v>81018</v>
      </c>
      <c r="Q491" s="405">
        <v>82373</v>
      </c>
      <c r="R491" s="406">
        <v>66289.692647308548</v>
      </c>
      <c r="S491" s="406">
        <v>66507.668019846635</v>
      </c>
      <c r="T491" s="406">
        <v>63046.572475143905</v>
      </c>
      <c r="U491" s="406">
        <v>60921.758637066378</v>
      </c>
      <c r="V491" s="406">
        <v>63034.078039740547</v>
      </c>
      <c r="W491" s="406">
        <v>64980</v>
      </c>
      <c r="X491" s="406">
        <v>62997.646095588992</v>
      </c>
      <c r="Y491" s="406">
        <v>63527.27088914725</v>
      </c>
      <c r="Z491" s="406">
        <v>59205</v>
      </c>
      <c r="AA491" s="406">
        <v>52094</v>
      </c>
      <c r="AB491" s="406">
        <v>52741</v>
      </c>
      <c r="AC491" s="406">
        <v>50556</v>
      </c>
      <c r="AD491" s="406">
        <v>52012</v>
      </c>
      <c r="AE491" s="406">
        <v>53603</v>
      </c>
      <c r="AF491" s="406">
        <v>57868</v>
      </c>
      <c r="AG491" s="380"/>
      <c r="AH491" s="380"/>
      <c r="AI491" s="380"/>
      <c r="AJ491" s="380"/>
      <c r="AK491" s="380"/>
      <c r="AL491" s="380"/>
      <c r="AM491" s="380"/>
      <c r="AN491" s="380"/>
      <c r="AO491" s="380"/>
      <c r="AP491" s="380"/>
      <c r="AQ491" s="380"/>
      <c r="AR491" s="380"/>
      <c r="AS491" s="380"/>
      <c r="AT491" s="380"/>
      <c r="AU491" s="380"/>
      <c r="AV491" s="380"/>
      <c r="AW491" s="380"/>
    </row>
    <row r="492" spans="1:49" s="378" customFormat="1">
      <c r="A492" s="398" t="s">
        <v>93</v>
      </c>
      <c r="N492" s="598"/>
      <c r="O492" s="598"/>
      <c r="P492" s="598"/>
      <c r="Q492" s="598"/>
      <c r="R492" s="599"/>
      <c r="S492" s="599"/>
      <c r="T492" s="599"/>
      <c r="U492" s="407">
        <v>372949</v>
      </c>
      <c r="V492" s="407">
        <v>357034</v>
      </c>
      <c r="W492" s="406">
        <v>332361</v>
      </c>
      <c r="X492" s="407">
        <v>306069</v>
      </c>
      <c r="Y492" s="407">
        <v>276656</v>
      </c>
      <c r="Z492" s="406">
        <v>280029</v>
      </c>
      <c r="AA492" s="406">
        <v>279099</v>
      </c>
      <c r="AB492" s="406">
        <v>286694</v>
      </c>
      <c r="AC492" s="406">
        <v>284143</v>
      </c>
      <c r="AD492" s="406">
        <v>287456</v>
      </c>
      <c r="AE492" s="406">
        <v>276483</v>
      </c>
      <c r="AF492" s="406">
        <v>281531</v>
      </c>
      <c r="AG492" s="380"/>
      <c r="AH492" s="380"/>
      <c r="AI492" s="380"/>
      <c r="AJ492" s="380"/>
      <c r="AK492" s="380"/>
      <c r="AL492" s="380"/>
      <c r="AM492" s="380"/>
      <c r="AN492" s="380"/>
      <c r="AO492" s="380"/>
      <c r="AP492" s="380"/>
      <c r="AQ492" s="380"/>
      <c r="AR492" s="380"/>
      <c r="AS492" s="380"/>
      <c r="AT492" s="380"/>
      <c r="AU492" s="380"/>
      <c r="AV492" s="380"/>
      <c r="AW492" s="380"/>
    </row>
    <row r="493" spans="1:49" s="378" customFormat="1" ht="16.5" thickBot="1">
      <c r="A493" s="408" t="s">
        <v>127</v>
      </c>
      <c r="N493" s="600"/>
      <c r="O493" s="600"/>
      <c r="P493" s="600"/>
      <c r="Q493" s="600"/>
      <c r="R493" s="601"/>
      <c r="S493" s="601"/>
      <c r="T493" s="601"/>
      <c r="U493" s="409">
        <v>376857.00716429373</v>
      </c>
      <c r="V493" s="409">
        <v>367583.65077730874</v>
      </c>
      <c r="W493" s="410">
        <v>355637</v>
      </c>
      <c r="X493" s="409">
        <v>313242.24746699416</v>
      </c>
      <c r="Y493" s="409">
        <v>279690.64348177728</v>
      </c>
      <c r="Z493" s="410">
        <v>292413</v>
      </c>
      <c r="AA493" s="410">
        <v>286490</v>
      </c>
      <c r="AB493" s="410">
        <v>295744</v>
      </c>
      <c r="AC493" s="410">
        <v>277787</v>
      </c>
      <c r="AD493" s="410">
        <v>287183</v>
      </c>
      <c r="AE493" s="410">
        <v>288710</v>
      </c>
      <c r="AF493" s="410">
        <v>290958</v>
      </c>
      <c r="AG493" s="380"/>
      <c r="AH493" s="380"/>
      <c r="AI493" s="380"/>
      <c r="AJ493" s="380"/>
      <c r="AK493" s="380"/>
      <c r="AL493" s="380"/>
      <c r="AM493" s="380"/>
      <c r="AN493" s="380"/>
      <c r="AO493" s="380"/>
      <c r="AP493" s="380"/>
      <c r="AQ493" s="380"/>
      <c r="AR493" s="380"/>
      <c r="AS493" s="380"/>
      <c r="AT493" s="380"/>
      <c r="AU493" s="380"/>
      <c r="AV493" s="380"/>
      <c r="AW493" s="380"/>
    </row>
    <row r="494" spans="1:49" s="378" customFormat="1">
      <c r="A494" s="403"/>
      <c r="N494" s="583"/>
      <c r="O494" s="583"/>
      <c r="P494" s="583"/>
      <c r="Q494" s="583"/>
      <c r="R494" s="597"/>
      <c r="S494" s="597"/>
      <c r="T494" s="597"/>
      <c r="U494" s="597"/>
      <c r="V494" s="597"/>
      <c r="W494" s="597"/>
      <c r="X494" s="597"/>
      <c r="Y494" s="597"/>
      <c r="Z494" s="597"/>
      <c r="AA494" s="597"/>
      <c r="AB494" s="597"/>
      <c r="AC494" s="597"/>
      <c r="AD494" s="597"/>
      <c r="AE494" s="597"/>
      <c r="AF494" s="597"/>
      <c r="AG494" s="380"/>
      <c r="AH494" s="380"/>
      <c r="AI494" s="380"/>
      <c r="AJ494" s="380"/>
      <c r="AK494" s="380"/>
      <c r="AL494" s="380"/>
      <c r="AM494" s="380"/>
      <c r="AN494" s="380"/>
      <c r="AO494" s="380"/>
      <c r="AP494" s="380"/>
      <c r="AQ494" s="380"/>
      <c r="AR494" s="380"/>
      <c r="AS494" s="380"/>
      <c r="AT494" s="380"/>
      <c r="AU494" s="380"/>
      <c r="AV494" s="380"/>
      <c r="AW494" s="380"/>
    </row>
    <row r="495" spans="1:49" s="378" customFormat="1">
      <c r="A495" s="377" t="s">
        <v>104</v>
      </c>
      <c r="N495" s="583"/>
      <c r="O495" s="583"/>
      <c r="P495" s="583"/>
      <c r="Q495" s="583"/>
      <c r="R495" s="411"/>
      <c r="S495" s="411"/>
      <c r="T495" s="411"/>
      <c r="U495" s="411"/>
      <c r="V495" s="411"/>
      <c r="W495" s="411"/>
      <c r="X495" s="411"/>
      <c r="Y495" s="411"/>
      <c r="Z495" s="411"/>
      <c r="AA495" s="411"/>
      <c r="AB495" s="411"/>
      <c r="AC495" s="411"/>
      <c r="AD495" s="411"/>
      <c r="AE495" s="411"/>
      <c r="AF495" s="411"/>
      <c r="AG495" s="380"/>
      <c r="AH495" s="380"/>
      <c r="AI495" s="380"/>
      <c r="AJ495" s="380"/>
      <c r="AK495" s="380"/>
      <c r="AL495" s="380"/>
      <c r="AM495" s="380"/>
      <c r="AN495" s="380"/>
      <c r="AO495" s="380"/>
      <c r="AP495" s="380"/>
      <c r="AQ495" s="380"/>
      <c r="AR495" s="380"/>
      <c r="AS495" s="380"/>
      <c r="AT495" s="380"/>
      <c r="AU495" s="380"/>
      <c r="AV495" s="380"/>
      <c r="AW495" s="380"/>
    </row>
    <row r="496" spans="1:49" s="378" customFormat="1" ht="16.5" thickBot="1">
      <c r="A496" s="412" t="s">
        <v>105</v>
      </c>
      <c r="N496" s="413">
        <v>10611</v>
      </c>
      <c r="O496" s="413">
        <v>10990</v>
      </c>
      <c r="P496" s="413">
        <v>10560</v>
      </c>
      <c r="Q496" s="413">
        <v>10546</v>
      </c>
      <c r="R496" s="414">
        <v>10609</v>
      </c>
      <c r="S496" s="414">
        <v>10937</v>
      </c>
      <c r="T496" s="414">
        <v>11418</v>
      </c>
      <c r="U496" s="414">
        <v>12101</v>
      </c>
      <c r="V496" s="414">
        <v>12336</v>
      </c>
      <c r="W496" s="415">
        <v>12330</v>
      </c>
      <c r="X496" s="414">
        <v>12729</v>
      </c>
      <c r="Y496" s="414">
        <v>12314</v>
      </c>
      <c r="Z496" s="415">
        <v>10862</v>
      </c>
      <c r="AA496" s="415">
        <v>9924</v>
      </c>
      <c r="AB496" s="415">
        <v>9311</v>
      </c>
      <c r="AC496" s="415">
        <v>9030</v>
      </c>
      <c r="AD496" s="415">
        <v>9297</v>
      </c>
      <c r="AE496" s="415">
        <v>8960</v>
      </c>
      <c r="AF496" s="415">
        <v>9030</v>
      </c>
      <c r="AG496" s="380"/>
      <c r="AH496" s="380"/>
      <c r="AI496" s="380"/>
      <c r="AJ496" s="380"/>
      <c r="AK496" s="380"/>
      <c r="AL496" s="380"/>
      <c r="AM496" s="380"/>
      <c r="AN496" s="380"/>
      <c r="AO496" s="380"/>
      <c r="AP496" s="380"/>
      <c r="AQ496" s="380"/>
      <c r="AR496" s="380"/>
      <c r="AS496" s="380"/>
      <c r="AT496" s="380"/>
      <c r="AU496" s="380"/>
      <c r="AV496" s="380"/>
      <c r="AW496" s="380"/>
    </row>
    <row r="497" spans="1:49" s="378" customFormat="1" ht="16.5" thickBot="1">
      <c r="A497" s="416" t="s">
        <v>106</v>
      </c>
      <c r="N497" s="417">
        <v>45</v>
      </c>
      <c r="O497" s="417">
        <v>34.299999999999997</v>
      </c>
      <c r="P497" s="417">
        <v>22.8</v>
      </c>
      <c r="Q497" s="417">
        <v>14.1</v>
      </c>
      <c r="R497" s="418">
        <v>22.7</v>
      </c>
      <c r="S497" s="418">
        <v>22.9</v>
      </c>
      <c r="T497" s="418">
        <v>20.7</v>
      </c>
      <c r="U497" s="418">
        <v>9.6</v>
      </c>
      <c r="V497" s="418">
        <v>24.3</v>
      </c>
      <c r="W497" s="419">
        <v>13.4</v>
      </c>
      <c r="X497" s="418">
        <v>9</v>
      </c>
      <c r="Y497" s="418">
        <v>-106.8</v>
      </c>
      <c r="Z497" s="419">
        <v>-6.9</v>
      </c>
      <c r="AA497" s="419">
        <v>6.6</v>
      </c>
      <c r="AB497" s="419">
        <v>4.2</v>
      </c>
      <c r="AC497" s="419">
        <v>0.2</v>
      </c>
      <c r="AD497" s="419">
        <v>13.6</v>
      </c>
      <c r="AE497" s="419">
        <v>11.5</v>
      </c>
      <c r="AF497" s="419">
        <v>3.1</v>
      </c>
      <c r="AG497" s="380"/>
      <c r="AH497" s="380"/>
      <c r="AI497" s="380"/>
      <c r="AJ497" s="380"/>
      <c r="AK497" s="380"/>
      <c r="AL497" s="380"/>
      <c r="AM497" s="380"/>
      <c r="AN497" s="380"/>
      <c r="AO497" s="380"/>
      <c r="AP497" s="380"/>
      <c r="AQ497" s="380"/>
      <c r="AR497" s="380"/>
      <c r="AS497" s="380"/>
      <c r="AT497" s="380"/>
      <c r="AU497" s="380"/>
      <c r="AV497" s="380"/>
      <c r="AW497" s="380"/>
    </row>
    <row r="498" spans="1:49" s="378" customFormat="1">
      <c r="A498" s="420"/>
      <c r="N498" s="583"/>
      <c r="O498" s="583"/>
      <c r="P498" s="583"/>
      <c r="Q498" s="583"/>
      <c r="R498" s="421"/>
      <c r="S498" s="421"/>
      <c r="T498" s="421"/>
      <c r="U498" s="421"/>
      <c r="V498" s="421"/>
      <c r="W498" s="421"/>
      <c r="X498" s="421"/>
      <c r="Y498" s="421"/>
      <c r="Z498" s="421"/>
      <c r="AA498" s="421"/>
      <c r="AB498" s="421"/>
      <c r="AC498" s="421"/>
      <c r="AD498" s="421"/>
      <c r="AE498" s="421"/>
      <c r="AF498" s="421"/>
      <c r="AG498" s="380"/>
      <c r="AH498" s="380"/>
      <c r="AI498" s="380"/>
      <c r="AJ498" s="380"/>
      <c r="AK498" s="380"/>
      <c r="AL498" s="380"/>
      <c r="AM498" s="380"/>
      <c r="AN498" s="380"/>
      <c r="AO498" s="380"/>
      <c r="AP498" s="380"/>
      <c r="AQ498" s="380"/>
      <c r="AR498" s="380"/>
      <c r="AS498" s="380"/>
      <c r="AT498" s="380"/>
      <c r="AU498" s="380"/>
      <c r="AV498" s="380"/>
      <c r="AW498" s="380"/>
    </row>
    <row r="499" spans="1:49" s="378" customFormat="1">
      <c r="A499" s="377" t="s">
        <v>128</v>
      </c>
      <c r="N499" s="583"/>
      <c r="O499" s="583"/>
      <c r="P499" s="583"/>
      <c r="Q499" s="583"/>
      <c r="R499" s="602"/>
      <c r="S499" s="602"/>
      <c r="T499" s="602"/>
      <c r="U499" s="602"/>
      <c r="V499" s="602"/>
      <c r="W499" s="602"/>
      <c r="X499" s="602"/>
      <c r="Y499" s="602"/>
      <c r="Z499" s="602"/>
      <c r="AA499" s="602"/>
      <c r="AB499" s="602"/>
      <c r="AC499" s="602"/>
      <c r="AD499" s="602"/>
      <c r="AE499" s="602"/>
      <c r="AF499" s="602"/>
      <c r="AG499" s="380"/>
      <c r="AH499" s="380"/>
      <c r="AI499" s="380"/>
      <c r="AJ499" s="380"/>
      <c r="AK499" s="380"/>
      <c r="AL499" s="380"/>
      <c r="AM499" s="380"/>
      <c r="AN499" s="380"/>
      <c r="AO499" s="380"/>
      <c r="AP499" s="380"/>
      <c r="AQ499" s="380"/>
      <c r="AR499" s="380"/>
      <c r="AS499" s="380"/>
      <c r="AT499" s="380"/>
      <c r="AU499" s="380"/>
      <c r="AV499" s="380"/>
      <c r="AW499" s="380"/>
    </row>
    <row r="500" spans="1:49" s="378" customFormat="1" ht="16.5" thickBot="1">
      <c r="A500" s="422" t="s">
        <v>129</v>
      </c>
      <c r="N500" s="603">
        <v>41</v>
      </c>
      <c r="O500" s="603">
        <v>41</v>
      </c>
      <c r="P500" s="603">
        <v>40</v>
      </c>
      <c r="Q500" s="603">
        <v>41</v>
      </c>
      <c r="R500" s="409">
        <v>37</v>
      </c>
      <c r="S500" s="409">
        <v>54</v>
      </c>
      <c r="T500" s="409">
        <v>41</v>
      </c>
      <c r="U500" s="409">
        <v>42</v>
      </c>
      <c r="V500" s="409">
        <v>44</v>
      </c>
      <c r="W500" s="409">
        <v>40</v>
      </c>
      <c r="X500" s="409">
        <v>46</v>
      </c>
      <c r="Y500" s="409">
        <v>45</v>
      </c>
      <c r="Z500" s="409">
        <v>35</v>
      </c>
      <c r="AA500" s="409">
        <v>28</v>
      </c>
      <c r="AB500" s="409">
        <v>21</v>
      </c>
      <c r="AC500" s="409">
        <v>21</v>
      </c>
      <c r="AD500" s="409">
        <v>22</v>
      </c>
      <c r="AE500" s="409">
        <v>22</v>
      </c>
      <c r="AF500" s="409">
        <v>20</v>
      </c>
      <c r="AG500" s="380"/>
      <c r="AH500" s="380"/>
      <c r="AI500" s="380"/>
      <c r="AJ500" s="380"/>
      <c r="AK500" s="380"/>
      <c r="AL500" s="380"/>
      <c r="AM500" s="380"/>
      <c r="AN500" s="380"/>
      <c r="AO500" s="380"/>
      <c r="AP500" s="380"/>
      <c r="AQ500" s="380"/>
      <c r="AR500" s="380"/>
      <c r="AS500" s="380"/>
      <c r="AT500" s="380"/>
      <c r="AU500" s="380"/>
      <c r="AV500" s="380"/>
      <c r="AW500" s="380"/>
    </row>
    <row r="501" spans="1:49" s="378" customFormat="1">
      <c r="A501" s="420"/>
      <c r="N501" s="583"/>
      <c r="O501" s="583"/>
      <c r="P501" s="583"/>
      <c r="Q501" s="583"/>
      <c r="R501" s="423"/>
      <c r="S501" s="423"/>
      <c r="T501" s="423"/>
      <c r="U501" s="423"/>
      <c r="V501" s="423"/>
      <c r="W501" s="423"/>
      <c r="X501" s="423"/>
      <c r="Y501" s="423"/>
      <c r="Z501" s="423"/>
      <c r="AA501" s="423"/>
      <c r="AB501" s="380"/>
      <c r="AC501" s="380"/>
      <c r="AD501" s="380"/>
      <c r="AE501" s="380"/>
      <c r="AF501" s="380"/>
      <c r="AG501" s="380"/>
      <c r="AH501" s="380"/>
      <c r="AI501" s="380"/>
      <c r="AJ501" s="380"/>
      <c r="AK501" s="380"/>
      <c r="AL501" s="380"/>
      <c r="AM501" s="380"/>
      <c r="AN501" s="380"/>
      <c r="AO501" s="380"/>
      <c r="AP501" s="380"/>
      <c r="AQ501" s="380"/>
      <c r="AR501" s="380"/>
      <c r="AS501" s="380"/>
      <c r="AT501" s="380"/>
      <c r="AU501" s="380"/>
      <c r="AV501" s="380"/>
      <c r="AW501" s="380"/>
    </row>
    <row r="502" spans="1:49" s="830" customFormat="1" ht="21.75" thickBot="1">
      <c r="A502" s="829" t="s">
        <v>130</v>
      </c>
      <c r="N502" s="831"/>
      <c r="O502" s="831"/>
      <c r="P502" s="831"/>
      <c r="Q502" s="831"/>
      <c r="R502" s="831"/>
      <c r="S502" s="831"/>
      <c r="T502" s="831"/>
      <c r="U502" s="831"/>
      <c r="V502" s="831"/>
      <c r="W502" s="831"/>
      <c r="X502" s="831"/>
      <c r="Y502" s="831"/>
      <c r="Z502" s="831"/>
      <c r="AA502" s="831"/>
      <c r="AB502" s="832"/>
      <c r="AC502" s="832"/>
      <c r="AD502" s="832"/>
      <c r="AE502" s="832"/>
      <c r="AF502" s="832"/>
      <c r="AG502" s="832"/>
      <c r="AH502" s="832"/>
      <c r="AI502" s="832"/>
      <c r="AJ502" s="832"/>
      <c r="AK502" s="832"/>
      <c r="AL502" s="832"/>
      <c r="AM502" s="832"/>
      <c r="AN502" s="832"/>
      <c r="AO502" s="832"/>
      <c r="AP502" s="832"/>
      <c r="AQ502" s="832"/>
      <c r="AR502" s="832"/>
      <c r="AS502" s="832"/>
      <c r="AT502" s="832"/>
      <c r="AU502" s="832"/>
      <c r="AV502" s="832"/>
      <c r="AW502" s="832"/>
    </row>
    <row r="503" spans="1:49" s="425" customFormat="1">
      <c r="A503" s="424" t="s">
        <v>82</v>
      </c>
      <c r="N503" s="604"/>
      <c r="O503" s="604"/>
      <c r="P503" s="604"/>
      <c r="Q503" s="604"/>
      <c r="R503" s="604"/>
      <c r="S503" s="604"/>
      <c r="T503" s="604"/>
      <c r="U503" s="604"/>
      <c r="V503" s="604"/>
      <c r="W503" s="604"/>
      <c r="X503" s="604"/>
      <c r="Y503" s="604"/>
      <c r="Z503" s="604"/>
      <c r="AA503" s="604"/>
      <c r="AB503" s="426"/>
      <c r="AC503" s="426"/>
      <c r="AD503" s="427"/>
      <c r="AE503" s="427"/>
      <c r="AF503" s="427"/>
      <c r="AG503" s="427"/>
      <c r="AH503" s="427"/>
      <c r="AI503" s="427"/>
      <c r="AJ503" s="427"/>
      <c r="AK503" s="427"/>
      <c r="AL503" s="427"/>
      <c r="AM503" s="427"/>
      <c r="AN503" s="427"/>
      <c r="AO503" s="427"/>
      <c r="AP503" s="427"/>
      <c r="AQ503" s="427"/>
      <c r="AR503" s="427"/>
      <c r="AS503" s="427"/>
      <c r="AT503" s="427"/>
      <c r="AU503" s="427"/>
      <c r="AV503" s="427"/>
      <c r="AW503" s="427"/>
    </row>
    <row r="504" spans="1:49" s="550" customFormat="1">
      <c r="A504" s="798" t="s">
        <v>131</v>
      </c>
      <c r="N504" s="1166">
        <f>N509/N$513</f>
        <v>0.23960396039603959</v>
      </c>
      <c r="O504" s="1166">
        <f t="shared" ref="O504:AF507" si="559">O509/O$513</f>
        <v>0.258252427184466</v>
      </c>
      <c r="P504" s="1166">
        <f t="shared" si="559"/>
        <v>0.25201612903225806</v>
      </c>
      <c r="Q504" s="1166">
        <f t="shared" si="559"/>
        <v>0.3493975903614458</v>
      </c>
      <c r="R504" s="1166">
        <f t="shared" si="559"/>
        <v>0.28326996197718629</v>
      </c>
      <c r="S504" s="1166">
        <f t="shared" si="559"/>
        <v>0.1912751677852349</v>
      </c>
      <c r="T504" s="1166">
        <f t="shared" si="559"/>
        <v>0.27521008403361347</v>
      </c>
      <c r="U504" s="1166">
        <f t="shared" si="559"/>
        <v>0.37181996086105673</v>
      </c>
      <c r="V504" s="1166">
        <f t="shared" si="559"/>
        <v>0.2882205513784461</v>
      </c>
      <c r="W504" s="1166">
        <f t="shared" si="559"/>
        <v>0.323943661971831</v>
      </c>
      <c r="X504" s="1166">
        <f t="shared" si="559"/>
        <v>0.38750000000000001</v>
      </c>
      <c r="Y504" s="1166">
        <f t="shared" si="559"/>
        <v>0.59761904761904761</v>
      </c>
      <c r="Z504" s="1166">
        <f t="shared" si="559"/>
        <v>0.58247422680412375</v>
      </c>
      <c r="AA504" s="1166">
        <f t="shared" si="559"/>
        <v>0.32780847145488029</v>
      </c>
      <c r="AB504" s="1166">
        <f t="shared" si="559"/>
        <v>0.34475374732334046</v>
      </c>
      <c r="AC504" s="1166">
        <f t="shared" si="559"/>
        <v>0.46689895470383275</v>
      </c>
      <c r="AD504" s="1166">
        <f t="shared" si="559"/>
        <v>0.35973597359735976</v>
      </c>
      <c r="AE504" s="1166">
        <f t="shared" si="559"/>
        <v>0.32485322896281799</v>
      </c>
      <c r="AF504" s="1166">
        <f t="shared" si="559"/>
        <v>0.39387308533916848</v>
      </c>
      <c r="AG504" s="551">
        <f>AVERAGE(N504:AF504)</f>
        <v>0.34834348583085001</v>
      </c>
      <c r="AH504" s="551">
        <f>AG504</f>
        <v>0.34834348583085001</v>
      </c>
      <c r="AI504" s="551">
        <f t="shared" ref="AI504:AS504" si="560">AH504</f>
        <v>0.34834348583085001</v>
      </c>
      <c r="AJ504" s="551">
        <f t="shared" si="560"/>
        <v>0.34834348583085001</v>
      </c>
      <c r="AK504" s="551">
        <f t="shared" si="560"/>
        <v>0.34834348583085001</v>
      </c>
      <c r="AL504" s="551">
        <f t="shared" si="560"/>
        <v>0.34834348583085001</v>
      </c>
      <c r="AM504" s="551">
        <f t="shared" si="560"/>
        <v>0.34834348583085001</v>
      </c>
      <c r="AN504" s="551">
        <f t="shared" si="560"/>
        <v>0.34834348583085001</v>
      </c>
      <c r="AO504" s="551">
        <f t="shared" si="560"/>
        <v>0.34834348583085001</v>
      </c>
      <c r="AP504" s="551">
        <f t="shared" si="560"/>
        <v>0.34834348583085001</v>
      </c>
      <c r="AQ504" s="551">
        <f t="shared" si="560"/>
        <v>0.34834348583085001</v>
      </c>
      <c r="AR504" s="551">
        <f t="shared" si="560"/>
        <v>0.34834348583085001</v>
      </c>
      <c r="AS504" s="551">
        <f t="shared" si="560"/>
        <v>0.34834348583085001</v>
      </c>
      <c r="AT504" s="551">
        <f t="shared" ref="AT504:AT507" si="561">AS504</f>
        <v>0.34834348583085001</v>
      </c>
      <c r="AU504" s="551">
        <f t="shared" ref="AU504:AU507" si="562">AT504</f>
        <v>0.34834348583085001</v>
      </c>
      <c r="AV504" s="551">
        <f t="shared" ref="AV504:AV507" si="563">AU504</f>
        <v>0.34834348583085001</v>
      </c>
      <c r="AW504" s="551">
        <f t="shared" ref="AW504:AW507" si="564">AV504</f>
        <v>0.34834348583085001</v>
      </c>
    </row>
    <row r="505" spans="1:49" s="687" customFormat="1">
      <c r="A505" s="799" t="s">
        <v>132</v>
      </c>
      <c r="N505" s="552">
        <f t="shared" ref="N505:AC507" si="565">N510/N$513</f>
        <v>0.54851485148514856</v>
      </c>
      <c r="O505" s="552">
        <f t="shared" si="565"/>
        <v>0.56116504854368932</v>
      </c>
      <c r="P505" s="552">
        <f t="shared" si="565"/>
        <v>0.55846774193548387</v>
      </c>
      <c r="Q505" s="552">
        <f t="shared" si="565"/>
        <v>0.42570281124497994</v>
      </c>
      <c r="R505" s="552">
        <f t="shared" si="565"/>
        <v>0.51330798479087447</v>
      </c>
      <c r="S505" s="552">
        <f t="shared" si="565"/>
        <v>0.56879194630872487</v>
      </c>
      <c r="T505" s="552">
        <f t="shared" si="565"/>
        <v>0.53151260504201681</v>
      </c>
      <c r="U505" s="552">
        <f t="shared" si="565"/>
        <v>0.3953033268101761</v>
      </c>
      <c r="V505" s="552">
        <f t="shared" si="565"/>
        <v>0.53634085213032578</v>
      </c>
      <c r="W505" s="552">
        <f t="shared" si="565"/>
        <v>0.45070422535211269</v>
      </c>
      <c r="X505" s="552">
        <f t="shared" si="565"/>
        <v>0.54749999999999999</v>
      </c>
      <c r="Y505" s="552">
        <f t="shared" si="565"/>
        <v>0.3880952380952381</v>
      </c>
      <c r="Z505" s="552">
        <f t="shared" si="565"/>
        <v>0.46391752577319589</v>
      </c>
      <c r="AA505" s="552">
        <f t="shared" si="565"/>
        <v>0.55801104972375692</v>
      </c>
      <c r="AB505" s="552">
        <f t="shared" si="565"/>
        <v>0.51177730192719484</v>
      </c>
      <c r="AC505" s="552">
        <f t="shared" si="565"/>
        <v>0.39721254355400698</v>
      </c>
      <c r="AD505" s="552">
        <f t="shared" si="559"/>
        <v>0.48019801980198018</v>
      </c>
      <c r="AE505" s="552">
        <f t="shared" si="559"/>
        <v>0.50293542074363995</v>
      </c>
      <c r="AF505" s="552">
        <f t="shared" si="559"/>
        <v>0.50984682713347917</v>
      </c>
      <c r="AG505" s="688">
        <f t="shared" ref="AG505:AG507" si="566">AVERAGE(N505:AF505)</f>
        <v>0.49733185896821186</v>
      </c>
      <c r="AH505" s="688">
        <f t="shared" ref="AH505:AS507" si="567">AG505</f>
        <v>0.49733185896821186</v>
      </c>
      <c r="AI505" s="688">
        <f t="shared" si="567"/>
        <v>0.49733185896821186</v>
      </c>
      <c r="AJ505" s="688">
        <f t="shared" si="567"/>
        <v>0.49733185896821186</v>
      </c>
      <c r="AK505" s="688">
        <f t="shared" si="567"/>
        <v>0.49733185896821186</v>
      </c>
      <c r="AL505" s="688">
        <f t="shared" si="567"/>
        <v>0.49733185896821186</v>
      </c>
      <c r="AM505" s="688">
        <f t="shared" si="567"/>
        <v>0.49733185896821186</v>
      </c>
      <c r="AN505" s="688">
        <f t="shared" si="567"/>
        <v>0.49733185896821186</v>
      </c>
      <c r="AO505" s="688">
        <f t="shared" si="567"/>
        <v>0.49733185896821186</v>
      </c>
      <c r="AP505" s="688">
        <f t="shared" si="567"/>
        <v>0.49733185896821186</v>
      </c>
      <c r="AQ505" s="688">
        <f t="shared" si="567"/>
        <v>0.49733185896821186</v>
      </c>
      <c r="AR505" s="688">
        <f t="shared" si="567"/>
        <v>0.49733185896821186</v>
      </c>
      <c r="AS505" s="688">
        <f t="shared" si="567"/>
        <v>0.49733185896821186</v>
      </c>
      <c r="AT505" s="688">
        <f t="shared" si="561"/>
        <v>0.49733185896821186</v>
      </c>
      <c r="AU505" s="688">
        <f t="shared" si="562"/>
        <v>0.49733185896821186</v>
      </c>
      <c r="AV505" s="688">
        <f t="shared" si="563"/>
        <v>0.49733185896821186</v>
      </c>
      <c r="AW505" s="688">
        <f t="shared" si="564"/>
        <v>0.49733185896821186</v>
      </c>
    </row>
    <row r="506" spans="1:49" s="687" customFormat="1">
      <c r="A506" s="799" t="s">
        <v>133</v>
      </c>
      <c r="N506" s="552">
        <f t="shared" si="565"/>
        <v>0.17425742574257425</v>
      </c>
      <c r="O506" s="552">
        <f t="shared" si="559"/>
        <v>0.22524271844660193</v>
      </c>
      <c r="P506" s="552">
        <f t="shared" si="559"/>
        <v>0.16129032258064516</v>
      </c>
      <c r="Q506" s="552">
        <f t="shared" si="559"/>
        <v>0.23694779116465864</v>
      </c>
      <c r="R506" s="552">
        <f t="shared" si="559"/>
        <v>0.21102661596958175</v>
      </c>
      <c r="S506" s="552">
        <f t="shared" si="559"/>
        <v>0.22986577181208054</v>
      </c>
      <c r="T506" s="552">
        <f t="shared" si="559"/>
        <v>0.20588235294117646</v>
      </c>
      <c r="U506" s="552">
        <f t="shared" si="559"/>
        <v>0.28962818003913893</v>
      </c>
      <c r="V506" s="552">
        <f t="shared" si="559"/>
        <v>0.23558897243107768</v>
      </c>
      <c r="W506" s="552">
        <f t="shared" si="559"/>
        <v>0.22535211267605634</v>
      </c>
      <c r="X506" s="552">
        <f t="shared" si="559"/>
        <v>0.13</v>
      </c>
      <c r="Y506" s="552">
        <f t="shared" si="559"/>
        <v>0.24285714285714285</v>
      </c>
      <c r="Z506" s="552">
        <f t="shared" si="559"/>
        <v>0.1134020618556701</v>
      </c>
      <c r="AA506" s="552">
        <f t="shared" si="559"/>
        <v>0.17495395948434622</v>
      </c>
      <c r="AB506" s="552">
        <f t="shared" si="559"/>
        <v>0.15845824411134904</v>
      </c>
      <c r="AC506" s="552">
        <f t="shared" si="559"/>
        <v>0.17247386759581881</v>
      </c>
      <c r="AD506" s="552">
        <f t="shared" si="559"/>
        <v>0.16996699669966997</v>
      </c>
      <c r="AE506" s="552">
        <f t="shared" si="559"/>
        <v>0.20547945205479451</v>
      </c>
      <c r="AF506" s="552">
        <f t="shared" si="559"/>
        <v>0.14223194748358861</v>
      </c>
      <c r="AG506" s="688">
        <f t="shared" si="566"/>
        <v>0.1949950492603143</v>
      </c>
      <c r="AH506" s="688">
        <f t="shared" si="567"/>
        <v>0.1949950492603143</v>
      </c>
      <c r="AI506" s="688">
        <f t="shared" si="567"/>
        <v>0.1949950492603143</v>
      </c>
      <c r="AJ506" s="688">
        <f t="shared" si="567"/>
        <v>0.1949950492603143</v>
      </c>
      <c r="AK506" s="688">
        <f t="shared" si="567"/>
        <v>0.1949950492603143</v>
      </c>
      <c r="AL506" s="688">
        <f t="shared" si="567"/>
        <v>0.1949950492603143</v>
      </c>
      <c r="AM506" s="688">
        <f t="shared" si="567"/>
        <v>0.1949950492603143</v>
      </c>
      <c r="AN506" s="688">
        <f t="shared" si="567"/>
        <v>0.1949950492603143</v>
      </c>
      <c r="AO506" s="688">
        <f t="shared" si="567"/>
        <v>0.1949950492603143</v>
      </c>
      <c r="AP506" s="688">
        <f t="shared" si="567"/>
        <v>0.1949950492603143</v>
      </c>
      <c r="AQ506" s="688">
        <f t="shared" si="567"/>
        <v>0.1949950492603143</v>
      </c>
      <c r="AR506" s="688">
        <f t="shared" si="567"/>
        <v>0.1949950492603143</v>
      </c>
      <c r="AS506" s="688">
        <f t="shared" si="567"/>
        <v>0.1949950492603143</v>
      </c>
      <c r="AT506" s="688">
        <f t="shared" si="561"/>
        <v>0.1949950492603143</v>
      </c>
      <c r="AU506" s="688">
        <f t="shared" si="562"/>
        <v>0.1949950492603143</v>
      </c>
      <c r="AV506" s="688">
        <f t="shared" si="563"/>
        <v>0.1949950492603143</v>
      </c>
      <c r="AW506" s="688">
        <f t="shared" si="564"/>
        <v>0.1949950492603143</v>
      </c>
    </row>
    <row r="507" spans="1:49" s="687" customFormat="1">
      <c r="A507" s="799" t="s">
        <v>125</v>
      </c>
      <c r="N507" s="552">
        <f t="shared" si="565"/>
        <v>3.7623762376237622E-2</v>
      </c>
      <c r="O507" s="552">
        <f t="shared" si="559"/>
        <v>-4.4660194174757278E-2</v>
      </c>
      <c r="P507" s="552">
        <f t="shared" si="559"/>
        <v>2.8225806451612902E-2</v>
      </c>
      <c r="Q507" s="552">
        <f t="shared" si="559"/>
        <v>-1.2048192771084338E-2</v>
      </c>
      <c r="R507" s="552">
        <f t="shared" si="559"/>
        <v>-7.6045627376425855E-3</v>
      </c>
      <c r="S507" s="552">
        <f t="shared" si="559"/>
        <v>1.0067114093959731E-2</v>
      </c>
      <c r="T507" s="552">
        <f t="shared" si="559"/>
        <v>-1.2605042016806723E-2</v>
      </c>
      <c r="U507" s="552">
        <f t="shared" si="559"/>
        <v>-5.6751467710371817E-2</v>
      </c>
      <c r="V507" s="552">
        <f t="shared" si="559"/>
        <v>-6.0150375939849621E-2</v>
      </c>
      <c r="W507" s="552">
        <f t="shared" si="559"/>
        <v>0</v>
      </c>
      <c r="X507" s="552">
        <f t="shared" si="559"/>
        <v>-6.5000000000000002E-2</v>
      </c>
      <c r="Y507" s="552">
        <f t="shared" si="559"/>
        <v>-0.22857142857142856</v>
      </c>
      <c r="Z507" s="552">
        <f t="shared" si="559"/>
        <v>-0.15979381443298968</v>
      </c>
      <c r="AA507" s="552">
        <f t="shared" si="559"/>
        <v>-6.0773480662983423E-2</v>
      </c>
      <c r="AB507" s="552">
        <f t="shared" si="559"/>
        <v>-1.4989293361884369E-2</v>
      </c>
      <c r="AC507" s="552">
        <f t="shared" si="559"/>
        <v>-3.6585365853658534E-2</v>
      </c>
      <c r="AD507" s="552">
        <f t="shared" si="559"/>
        <v>-9.9009900990099011E-3</v>
      </c>
      <c r="AE507" s="552">
        <f t="shared" si="559"/>
        <v>-3.3268101761252444E-2</v>
      </c>
      <c r="AF507" s="552">
        <f t="shared" si="559"/>
        <v>-4.5951859956236324E-2</v>
      </c>
      <c r="AG507" s="1167">
        <f t="shared" si="566"/>
        <v>-4.0670394059376072E-2</v>
      </c>
      <c r="AH507" s="1167">
        <f t="shared" si="567"/>
        <v>-4.0670394059376072E-2</v>
      </c>
      <c r="AI507" s="1167">
        <f t="shared" si="567"/>
        <v>-4.0670394059376072E-2</v>
      </c>
      <c r="AJ507" s="1167">
        <f t="shared" si="567"/>
        <v>-4.0670394059376072E-2</v>
      </c>
      <c r="AK507" s="1167">
        <f t="shared" si="567"/>
        <v>-4.0670394059376072E-2</v>
      </c>
      <c r="AL507" s="1167">
        <f t="shared" si="567"/>
        <v>-4.0670394059376072E-2</v>
      </c>
      <c r="AM507" s="1167">
        <f t="shared" si="567"/>
        <v>-4.0670394059376072E-2</v>
      </c>
      <c r="AN507" s="1167">
        <f t="shared" si="567"/>
        <v>-4.0670394059376072E-2</v>
      </c>
      <c r="AO507" s="1167">
        <f t="shared" si="567"/>
        <v>-4.0670394059376072E-2</v>
      </c>
      <c r="AP507" s="1167">
        <f t="shared" si="567"/>
        <v>-4.0670394059376072E-2</v>
      </c>
      <c r="AQ507" s="1167">
        <f t="shared" si="567"/>
        <v>-4.0670394059376072E-2</v>
      </c>
      <c r="AR507" s="1167">
        <f t="shared" si="567"/>
        <v>-4.0670394059376072E-2</v>
      </c>
      <c r="AS507" s="1167">
        <f t="shared" si="567"/>
        <v>-4.0670394059376072E-2</v>
      </c>
      <c r="AT507" s="1167">
        <f t="shared" si="561"/>
        <v>-4.0670394059376072E-2</v>
      </c>
      <c r="AU507" s="1167">
        <f t="shared" si="562"/>
        <v>-4.0670394059376072E-2</v>
      </c>
      <c r="AV507" s="1167">
        <f t="shared" si="563"/>
        <v>-4.0670394059376072E-2</v>
      </c>
      <c r="AW507" s="1167">
        <f t="shared" si="564"/>
        <v>-4.0670394059376072E-2</v>
      </c>
    </row>
    <row r="508" spans="1:49" s="694" customFormat="1">
      <c r="A508" s="800" t="s">
        <v>5</v>
      </c>
      <c r="N508" s="695"/>
      <c r="O508" s="696"/>
      <c r="P508" s="696"/>
      <c r="Q508" s="696"/>
      <c r="R508" s="696">
        <f t="shared" ref="R508:AC508" si="568">R513/Q513-1</f>
        <v>5.6224899598393607E-2</v>
      </c>
      <c r="S508" s="696">
        <f t="shared" si="568"/>
        <v>0.13307984790874516</v>
      </c>
      <c r="T508" s="696">
        <f t="shared" si="568"/>
        <v>-0.20134228187919467</v>
      </c>
      <c r="U508" s="696">
        <f t="shared" si="568"/>
        <v>7.3529411764705843E-2</v>
      </c>
      <c r="V508" s="696">
        <f t="shared" si="568"/>
        <v>-0.21917808219178081</v>
      </c>
      <c r="W508" s="696">
        <f t="shared" si="568"/>
        <v>0.42355889724310769</v>
      </c>
      <c r="X508" s="696">
        <f t="shared" si="568"/>
        <v>-0.29577464788732399</v>
      </c>
      <c r="Y508" s="696">
        <f t="shared" si="568"/>
        <v>5.0000000000000044E-2</v>
      </c>
      <c r="Z508" s="696">
        <f t="shared" si="568"/>
        <v>-7.6190476190476142E-2</v>
      </c>
      <c r="AA508" s="696">
        <f t="shared" si="568"/>
        <v>0.39948453608247414</v>
      </c>
      <c r="AB508" s="696">
        <f t="shared" si="568"/>
        <v>-0.13996316758747696</v>
      </c>
      <c r="AC508" s="696">
        <f t="shared" si="568"/>
        <v>0.22912205567451815</v>
      </c>
      <c r="AD508" s="696">
        <f t="shared" ref="AD508" si="569">AD513/AC513-1</f>
        <v>5.5749128919860613E-2</v>
      </c>
      <c r="AE508" s="696">
        <f t="shared" ref="AE508" si="570">AE513/AD513-1</f>
        <v>-0.15676567656765672</v>
      </c>
      <c r="AF508" s="696">
        <f t="shared" ref="AF508" si="571">AF513/AE513-1</f>
        <v>-0.10567514677103718</v>
      </c>
      <c r="AG508" s="697"/>
      <c r="AH508" s="697"/>
      <c r="AI508" s="697"/>
      <c r="AJ508" s="697"/>
      <c r="AK508" s="697"/>
      <c r="AL508" s="697"/>
      <c r="AM508" s="697"/>
      <c r="AN508" s="697"/>
      <c r="AO508" s="697"/>
      <c r="AP508" s="697"/>
      <c r="AQ508" s="697"/>
      <c r="AR508" s="697"/>
      <c r="AS508" s="697"/>
      <c r="AT508" s="697"/>
      <c r="AU508" s="697"/>
      <c r="AV508" s="697"/>
      <c r="AW508" s="697"/>
    </row>
    <row r="509" spans="1:49" s="428" customFormat="1">
      <c r="A509" s="703" t="s">
        <v>131</v>
      </c>
      <c r="N509" s="704">
        <v>121</v>
      </c>
      <c r="O509" s="704">
        <v>133</v>
      </c>
      <c r="P509" s="704">
        <v>125</v>
      </c>
      <c r="Q509" s="704">
        <v>174</v>
      </c>
      <c r="R509" s="705">
        <v>149</v>
      </c>
      <c r="S509" s="705">
        <v>114</v>
      </c>
      <c r="T509" s="705">
        <v>131</v>
      </c>
      <c r="U509" s="705">
        <v>190</v>
      </c>
      <c r="V509" s="705">
        <v>115</v>
      </c>
      <c r="W509" s="705">
        <v>184</v>
      </c>
      <c r="X509" s="705">
        <v>155</v>
      </c>
      <c r="Y509" s="705">
        <v>251</v>
      </c>
      <c r="Z509" s="705">
        <v>226</v>
      </c>
      <c r="AA509" s="705">
        <v>178</v>
      </c>
      <c r="AB509" s="705">
        <v>161</v>
      </c>
      <c r="AC509" s="705">
        <v>268</v>
      </c>
      <c r="AD509" s="705">
        <v>218</v>
      </c>
      <c r="AE509" s="705">
        <v>166</v>
      </c>
      <c r="AF509" s="705">
        <v>180</v>
      </c>
      <c r="AG509" s="430">
        <f>AG$513*AG504</f>
        <v>187.86547137987682</v>
      </c>
      <c r="AH509" s="430">
        <f t="shared" ref="AH509:AS509" si="572">AH$513*AH504</f>
        <v>188.67395529076009</v>
      </c>
      <c r="AI509" s="430">
        <f t="shared" si="572"/>
        <v>189.4859185330466</v>
      </c>
      <c r="AJ509" s="430">
        <f t="shared" si="572"/>
        <v>190.30137608012893</v>
      </c>
      <c r="AK509" s="430">
        <f t="shared" si="572"/>
        <v>191.12034296983813</v>
      </c>
      <c r="AL509" s="430">
        <f t="shared" si="572"/>
        <v>191.94283430472086</v>
      </c>
      <c r="AM509" s="430">
        <f t="shared" si="572"/>
        <v>192.76886525231799</v>
      </c>
      <c r="AN509" s="430">
        <f t="shared" si="572"/>
        <v>193.59845104544431</v>
      </c>
      <c r="AO509" s="430">
        <f t="shared" si="572"/>
        <v>194.43160698246939</v>
      </c>
      <c r="AP509" s="430">
        <f t="shared" si="572"/>
        <v>195.26834842759982</v>
      </c>
      <c r="AQ509" s="430">
        <f t="shared" si="572"/>
        <v>196.10869081116235</v>
      </c>
      <c r="AR509" s="430">
        <f t="shared" si="572"/>
        <v>196.95264962988855</v>
      </c>
      <c r="AS509" s="430">
        <f t="shared" si="572"/>
        <v>197.80024044720065</v>
      </c>
      <c r="AT509" s="430">
        <f t="shared" ref="AT509:AW509" si="573">AT$513*AT504</f>
        <v>198.65147889349842</v>
      </c>
      <c r="AU509" s="430">
        <f t="shared" si="573"/>
        <v>199.50638066644743</v>
      </c>
      <c r="AV509" s="430">
        <f t="shared" si="573"/>
        <v>200.36496153126862</v>
      </c>
      <c r="AW509" s="430">
        <f t="shared" si="573"/>
        <v>201.22723732102895</v>
      </c>
    </row>
    <row r="510" spans="1:49" s="684" customFormat="1">
      <c r="A510" s="429" t="s">
        <v>132</v>
      </c>
      <c r="N510" s="692">
        <v>277</v>
      </c>
      <c r="O510" s="692">
        <v>289</v>
      </c>
      <c r="P510" s="692">
        <v>277</v>
      </c>
      <c r="Q510" s="692">
        <v>212</v>
      </c>
      <c r="R510" s="693">
        <v>270</v>
      </c>
      <c r="S510" s="693">
        <v>339</v>
      </c>
      <c r="T510" s="693">
        <v>253</v>
      </c>
      <c r="U510" s="693">
        <v>202</v>
      </c>
      <c r="V510" s="693">
        <v>214</v>
      </c>
      <c r="W510" s="693">
        <v>256</v>
      </c>
      <c r="X510" s="693">
        <v>219</v>
      </c>
      <c r="Y510" s="693">
        <v>163</v>
      </c>
      <c r="Z510" s="693">
        <v>180</v>
      </c>
      <c r="AA510" s="693">
        <v>303</v>
      </c>
      <c r="AB510" s="693">
        <v>239</v>
      </c>
      <c r="AC510" s="693">
        <v>228</v>
      </c>
      <c r="AD510" s="693">
        <v>291</v>
      </c>
      <c r="AE510" s="693">
        <v>257</v>
      </c>
      <c r="AF510" s="693">
        <v>233</v>
      </c>
      <c r="AG510" s="685">
        <f t="shared" ref="AG510:AS510" si="574">AG$513*AG505</f>
        <v>268.21653889822522</v>
      </c>
      <c r="AH510" s="685">
        <f t="shared" si="574"/>
        <v>269.37081570459759</v>
      </c>
      <c r="AI510" s="685">
        <f t="shared" si="574"/>
        <v>270.53005997103492</v>
      </c>
      <c r="AJ510" s="685">
        <f t="shared" si="574"/>
        <v>271.69429307512991</v>
      </c>
      <c r="AK510" s="685">
        <f t="shared" si="574"/>
        <v>272.8635364864744</v>
      </c>
      <c r="AL510" s="685">
        <f t="shared" si="574"/>
        <v>274.03781176705508</v>
      </c>
      <c r="AM510" s="685">
        <f t="shared" si="574"/>
        <v>275.21714057165121</v>
      </c>
      <c r="AN510" s="685">
        <f t="shared" si="574"/>
        <v>276.40154464823405</v>
      </c>
      <c r="AO510" s="685">
        <f t="shared" si="574"/>
        <v>277.59104583836768</v>
      </c>
      <c r="AP510" s="685">
        <f t="shared" si="574"/>
        <v>278.78566607761201</v>
      </c>
      <c r="AQ510" s="685">
        <f t="shared" si="574"/>
        <v>279.98542739592722</v>
      </c>
      <c r="AR510" s="685">
        <f t="shared" si="574"/>
        <v>281.19035191807984</v>
      </c>
      <c r="AS510" s="685">
        <f t="shared" si="574"/>
        <v>282.40046186405112</v>
      </c>
      <c r="AT510" s="685">
        <f t="shared" ref="AT510:AW510" si="575">AT$513*AT505</f>
        <v>283.61577954944642</v>
      </c>
      <c r="AU510" s="685">
        <f t="shared" si="575"/>
        <v>284.83632738590694</v>
      </c>
      <c r="AV510" s="685">
        <f t="shared" si="575"/>
        <v>286.06212788152294</v>
      </c>
      <c r="AW510" s="685">
        <f t="shared" si="575"/>
        <v>287.29320364124885</v>
      </c>
    </row>
    <row r="511" spans="1:49" s="684" customFormat="1">
      <c r="A511" s="429" t="s">
        <v>133</v>
      </c>
      <c r="N511" s="605">
        <v>88</v>
      </c>
      <c r="O511" s="605">
        <v>116</v>
      </c>
      <c r="P511" s="605">
        <v>80</v>
      </c>
      <c r="Q511" s="605">
        <v>118</v>
      </c>
      <c r="R511" s="606">
        <v>111</v>
      </c>
      <c r="S511" s="606">
        <v>137</v>
      </c>
      <c r="T511" s="606">
        <v>98</v>
      </c>
      <c r="U511" s="606">
        <v>148</v>
      </c>
      <c r="V511" s="606">
        <v>94</v>
      </c>
      <c r="W511" s="606">
        <v>128</v>
      </c>
      <c r="X511" s="606">
        <v>52</v>
      </c>
      <c r="Y511" s="606">
        <v>102</v>
      </c>
      <c r="Z511" s="606">
        <v>44</v>
      </c>
      <c r="AA511" s="606">
        <v>95</v>
      </c>
      <c r="AB511" s="606">
        <v>74</v>
      </c>
      <c r="AC511" s="606">
        <v>99</v>
      </c>
      <c r="AD511" s="606">
        <v>103</v>
      </c>
      <c r="AE511" s="606">
        <v>105</v>
      </c>
      <c r="AF511" s="606">
        <v>65</v>
      </c>
      <c r="AG511" s="685">
        <f t="shared" ref="AG511:AS511" si="576">AG$513*AG506</f>
        <v>105.16297372019629</v>
      </c>
      <c r="AH511" s="685">
        <f t="shared" si="576"/>
        <v>105.61554529521179</v>
      </c>
      <c r="AI511" s="685">
        <f t="shared" si="576"/>
        <v>106.07006452369565</v>
      </c>
      <c r="AJ511" s="685">
        <f t="shared" si="576"/>
        <v>106.52653978742494</v>
      </c>
      <c r="AK511" s="685">
        <f t="shared" si="576"/>
        <v>106.98497950424787</v>
      </c>
      <c r="AL511" s="685">
        <f t="shared" si="576"/>
        <v>107.44539212823913</v>
      </c>
      <c r="AM511" s="685">
        <f t="shared" si="576"/>
        <v>107.90778614985565</v>
      </c>
      <c r="AN511" s="685">
        <f t="shared" si="576"/>
        <v>108.37217009609334</v>
      </c>
      <c r="AO511" s="685">
        <f t="shared" si="576"/>
        <v>108.83855253064422</v>
      </c>
      <c r="AP511" s="685">
        <f t="shared" si="576"/>
        <v>109.3069420540544</v>
      </c>
      <c r="AQ511" s="685">
        <f t="shared" si="576"/>
        <v>109.77734730388266</v>
      </c>
      <c r="AR511" s="685">
        <f t="shared" si="576"/>
        <v>110.2497769548597</v>
      </c>
      <c r="AS511" s="685">
        <f t="shared" si="576"/>
        <v>110.7242397190482</v>
      </c>
      <c r="AT511" s="685">
        <f t="shared" ref="AT511:AW511" si="577">AT$513*AT506</f>
        <v>111.2007443460034</v>
      </c>
      <c r="AU511" s="685">
        <f t="shared" si="577"/>
        <v>111.67929962293449</v>
      </c>
      <c r="AV511" s="685">
        <f t="shared" si="577"/>
        <v>112.15991437486663</v>
      </c>
      <c r="AW511" s="685">
        <f t="shared" si="577"/>
        <v>112.64259746480371</v>
      </c>
    </row>
    <row r="512" spans="1:49" s="699" customFormat="1">
      <c r="A512" s="698" t="s">
        <v>125</v>
      </c>
      <c r="N512" s="700">
        <v>19</v>
      </c>
      <c r="O512" s="700">
        <v>-23</v>
      </c>
      <c r="P512" s="700">
        <v>14</v>
      </c>
      <c r="Q512" s="700">
        <v>-6</v>
      </c>
      <c r="R512" s="701">
        <v>-4</v>
      </c>
      <c r="S512" s="701">
        <v>6</v>
      </c>
      <c r="T512" s="701">
        <v>-6</v>
      </c>
      <c r="U512" s="701">
        <v>-29</v>
      </c>
      <c r="V512" s="701">
        <v>-24</v>
      </c>
      <c r="W512" s="701">
        <v>0</v>
      </c>
      <c r="X512" s="701">
        <v>-26</v>
      </c>
      <c r="Y512" s="701">
        <v>-96</v>
      </c>
      <c r="Z512" s="701">
        <v>-62</v>
      </c>
      <c r="AA512" s="701">
        <v>-33</v>
      </c>
      <c r="AB512" s="701">
        <v>-7</v>
      </c>
      <c r="AC512" s="701">
        <v>-21</v>
      </c>
      <c r="AD512" s="701">
        <v>-6</v>
      </c>
      <c r="AE512" s="701">
        <v>-17</v>
      </c>
      <c r="AF512" s="701">
        <v>-21</v>
      </c>
      <c r="AG512" s="702">
        <f t="shared" ref="AG512:AS512" si="578">AG$513*AG507</f>
        <v>-21.933990621200142</v>
      </c>
      <c r="AH512" s="702">
        <f t="shared" si="578"/>
        <v>-22.028384116654379</v>
      </c>
      <c r="AI512" s="702">
        <f t="shared" si="578"/>
        <v>-22.123183836955612</v>
      </c>
      <c r="AJ512" s="702">
        <f t="shared" si="578"/>
        <v>-22.218391530302963</v>
      </c>
      <c r="AK512" s="702">
        <f t="shared" si="578"/>
        <v>-22.31400895241898</v>
      </c>
      <c r="AL512" s="702">
        <f t="shared" si="578"/>
        <v>-22.410037866582016</v>
      </c>
      <c r="AM512" s="702">
        <f t="shared" si="578"/>
        <v>-22.506480043658723</v>
      </c>
      <c r="AN512" s="702">
        <f t="shared" si="578"/>
        <v>-22.603337262136723</v>
      </c>
      <c r="AO512" s="702">
        <f t="shared" si="578"/>
        <v>-22.700611308157416</v>
      </c>
      <c r="AP512" s="702">
        <f t="shared" si="578"/>
        <v>-22.798303975548908</v>
      </c>
      <c r="AQ512" s="702">
        <f t="shared" si="578"/>
        <v>-22.896417065859083</v>
      </c>
      <c r="AR512" s="702">
        <f t="shared" si="578"/>
        <v>-22.994952388388835</v>
      </c>
      <c r="AS512" s="702">
        <f t="shared" si="578"/>
        <v>-23.093911760225431</v>
      </c>
      <c r="AT512" s="702">
        <f t="shared" ref="AT512:AW512" si="579">AT$513*AT507</f>
        <v>-23.19329700627603</v>
      </c>
      <c r="AU512" s="702">
        <f t="shared" si="579"/>
        <v>-23.293109959301304</v>
      </c>
      <c r="AV512" s="702">
        <f t="shared" si="579"/>
        <v>-23.393352459949281</v>
      </c>
      <c r="AW512" s="702">
        <f t="shared" si="579"/>
        <v>-23.494026356789256</v>
      </c>
    </row>
    <row r="513" spans="1:49" s="434" customFormat="1" ht="16.5" thickBot="1">
      <c r="A513" s="686" t="s">
        <v>5</v>
      </c>
      <c r="N513" s="609">
        <v>505</v>
      </c>
      <c r="O513" s="609">
        <v>515</v>
      </c>
      <c r="P513" s="609">
        <v>496</v>
      </c>
      <c r="Q513" s="609">
        <v>498</v>
      </c>
      <c r="R513" s="610">
        <v>526</v>
      </c>
      <c r="S513" s="610">
        <v>596</v>
      </c>
      <c r="T513" s="610">
        <v>476</v>
      </c>
      <c r="U513" s="610">
        <v>511</v>
      </c>
      <c r="V513" s="610">
        <v>399</v>
      </c>
      <c r="W513" s="610">
        <v>568</v>
      </c>
      <c r="X513" s="610">
        <v>400</v>
      </c>
      <c r="Y513" s="610">
        <v>420</v>
      </c>
      <c r="Z513" s="610">
        <v>388</v>
      </c>
      <c r="AA513" s="610">
        <v>543</v>
      </c>
      <c r="AB513" s="610">
        <f>SUM(AB509:AB512)</f>
        <v>467</v>
      </c>
      <c r="AC513" s="610">
        <f>SUM(AC509:AC512)</f>
        <v>574</v>
      </c>
      <c r="AD513" s="610">
        <f t="shared" ref="AD513:AF513" si="580">SUM(AD509:AD512)</f>
        <v>606</v>
      </c>
      <c r="AE513" s="610">
        <f t="shared" si="580"/>
        <v>511</v>
      </c>
      <c r="AF513" s="610">
        <f t="shared" si="580"/>
        <v>457</v>
      </c>
      <c r="AG513" s="1345">
        <f>AVERAGE(AC513:AF513)*(1+Assumptions!AG124)</f>
        <v>539.31099337709816</v>
      </c>
      <c r="AH513" s="1345">
        <f>AG513*(1+Assumptions!AH124)</f>
        <v>541.63193217391506</v>
      </c>
      <c r="AI513" s="1345">
        <f>AH513*(1+Assumptions!AI124)</f>
        <v>543.96285919082152</v>
      </c>
      <c r="AJ513" s="1345">
        <f>AI513*(1+Assumptions!AJ124)</f>
        <v>546.30381741238079</v>
      </c>
      <c r="AK513" s="1345">
        <f>AJ513*(1+Assumptions!AK124)</f>
        <v>548.65485000814135</v>
      </c>
      <c r="AL513" s="1345">
        <f>AK513*(1+Assumptions!AL124)</f>
        <v>551.016000333433</v>
      </c>
      <c r="AM513" s="1345">
        <f>AL513*(1+Assumptions!AM124)</f>
        <v>553.38731193016611</v>
      </c>
      <c r="AN513" s="1345">
        <f>AM513*(1+Assumptions!AN124)</f>
        <v>555.76882852763492</v>
      </c>
      <c r="AO513" s="1345">
        <f>AN513*(1+Assumptions!AO124)</f>
        <v>558.16059404332384</v>
      </c>
      <c r="AP513" s="1345">
        <f>AO513*(1+Assumptions!AP124)</f>
        <v>560.56265258371729</v>
      </c>
      <c r="AQ513" s="1345">
        <f>AP513*(1+Assumptions!AQ124)</f>
        <v>562.97504844511309</v>
      </c>
      <c r="AR513" s="1345">
        <f>AQ513*(1+Assumptions!AR124)</f>
        <v>565.39782611443923</v>
      </c>
      <c r="AS513" s="1345">
        <f>AR513*(1+Assumptions!AS124)</f>
        <v>567.83103027007451</v>
      </c>
      <c r="AT513" s="1345">
        <f>AS513*(1+Assumptions!AT124)</f>
        <v>570.27470578267219</v>
      </c>
      <c r="AU513" s="1345">
        <f>AT513*(1+Assumptions!AU124)</f>
        <v>572.7288977159875</v>
      </c>
      <c r="AV513" s="1345">
        <f>AU513*(1+Assumptions!AV124)</f>
        <v>575.19365132770884</v>
      </c>
      <c r="AW513" s="1345">
        <f>AV513*(1+Assumptions!AW124)</f>
        <v>577.66901207029218</v>
      </c>
    </row>
    <row r="514" spans="1:49" s="434" customFormat="1" ht="16.5" thickBot="1">
      <c r="A514" s="433" t="s">
        <v>6</v>
      </c>
      <c r="N514" s="435">
        <v>0</v>
      </c>
      <c r="O514" s="435">
        <v>0</v>
      </c>
      <c r="P514" s="435">
        <v>0</v>
      </c>
      <c r="Q514" s="435">
        <v>0</v>
      </c>
      <c r="R514" s="436">
        <v>1</v>
      </c>
      <c r="S514" s="436">
        <v>-2</v>
      </c>
      <c r="T514" s="436">
        <v>-1</v>
      </c>
      <c r="U514" s="436">
        <v>1</v>
      </c>
      <c r="V514" s="436">
        <v>0</v>
      </c>
      <c r="W514" s="436">
        <v>0</v>
      </c>
      <c r="X514" s="436">
        <v>0</v>
      </c>
      <c r="Y514" s="436">
        <v>0</v>
      </c>
      <c r="Z514" s="436">
        <v>29</v>
      </c>
      <c r="AA514" s="436">
        <v>0</v>
      </c>
      <c r="AB514" s="436">
        <v>-9</v>
      </c>
      <c r="AC514" s="436">
        <v>0</v>
      </c>
      <c r="AD514" s="436">
        <v>6</v>
      </c>
      <c r="AE514" s="436">
        <v>13</v>
      </c>
      <c r="AF514" s="436">
        <v>12</v>
      </c>
      <c r="AG514" s="437">
        <f t="shared" ref="AG514:AS514" si="581">AF514</f>
        <v>12</v>
      </c>
      <c r="AH514" s="437">
        <f t="shared" si="581"/>
        <v>12</v>
      </c>
      <c r="AI514" s="437">
        <f t="shared" si="581"/>
        <v>12</v>
      </c>
      <c r="AJ514" s="437">
        <f t="shared" si="581"/>
        <v>12</v>
      </c>
      <c r="AK514" s="437">
        <f t="shared" si="581"/>
        <v>12</v>
      </c>
      <c r="AL514" s="437">
        <f t="shared" si="581"/>
        <v>12</v>
      </c>
      <c r="AM514" s="437">
        <f t="shared" si="581"/>
        <v>12</v>
      </c>
      <c r="AN514" s="437">
        <f t="shared" si="581"/>
        <v>12</v>
      </c>
      <c r="AO514" s="437">
        <f t="shared" si="581"/>
        <v>12</v>
      </c>
      <c r="AP514" s="437">
        <f t="shared" si="581"/>
        <v>12</v>
      </c>
      <c r="AQ514" s="437">
        <f t="shared" si="581"/>
        <v>12</v>
      </c>
      <c r="AR514" s="437">
        <f t="shared" si="581"/>
        <v>12</v>
      </c>
      <c r="AS514" s="437">
        <f t="shared" si="581"/>
        <v>12</v>
      </c>
      <c r="AT514" s="437">
        <f t="shared" ref="AT514" si="582">AS514</f>
        <v>12</v>
      </c>
      <c r="AU514" s="437">
        <f t="shared" ref="AU514" si="583">AT514</f>
        <v>12</v>
      </c>
      <c r="AV514" s="437">
        <f t="shared" ref="AV514" si="584">AU514</f>
        <v>12</v>
      </c>
      <c r="AW514" s="437">
        <f t="shared" ref="AW514" si="585">AV514</f>
        <v>12</v>
      </c>
    </row>
    <row r="515" spans="1:49" s="425" customFormat="1">
      <c r="A515" s="439" t="s">
        <v>7</v>
      </c>
      <c r="N515" s="682">
        <v>294</v>
      </c>
      <c r="O515" s="682">
        <v>280</v>
      </c>
      <c r="P515" s="682">
        <v>218</v>
      </c>
      <c r="Q515" s="682">
        <v>264</v>
      </c>
      <c r="R515" s="683">
        <v>315</v>
      </c>
      <c r="S515" s="683">
        <v>332</v>
      </c>
      <c r="T515" s="683">
        <v>294</v>
      </c>
      <c r="U515" s="683">
        <v>246</v>
      </c>
      <c r="V515" s="683">
        <v>341</v>
      </c>
      <c r="W515" s="683">
        <v>329</v>
      </c>
      <c r="X515" s="683">
        <v>228</v>
      </c>
      <c r="Y515" s="683">
        <v>367</v>
      </c>
      <c r="Z515" s="683">
        <v>287</v>
      </c>
      <c r="AA515" s="683">
        <v>308</v>
      </c>
      <c r="AB515" s="683">
        <v>313</v>
      </c>
      <c r="AC515" s="683">
        <v>329</v>
      </c>
      <c r="AD515" s="683">
        <v>348</v>
      </c>
      <c r="AE515" s="683">
        <v>303</v>
      </c>
      <c r="AF515" s="683">
        <v>293</v>
      </c>
      <c r="AG515" s="427"/>
      <c r="AH515" s="427"/>
      <c r="AI515" s="427"/>
      <c r="AJ515" s="427"/>
      <c r="AK515" s="427"/>
      <c r="AL515" s="427"/>
      <c r="AM515" s="427"/>
      <c r="AN515" s="427"/>
      <c r="AO515" s="427"/>
      <c r="AP515" s="427"/>
      <c r="AQ515" s="427"/>
      <c r="AR515" s="427"/>
      <c r="AS515" s="427"/>
      <c r="AT515" s="427"/>
      <c r="AU515" s="427"/>
      <c r="AV515" s="427"/>
      <c r="AW515" s="427"/>
    </row>
    <row r="516" spans="1:49" s="684" customFormat="1">
      <c r="A516" s="429" t="s">
        <v>8</v>
      </c>
      <c r="N516" s="605">
        <v>93</v>
      </c>
      <c r="O516" s="605">
        <v>88</v>
      </c>
      <c r="P516" s="605">
        <v>88</v>
      </c>
      <c r="Q516" s="605">
        <v>107</v>
      </c>
      <c r="R516" s="606">
        <v>88</v>
      </c>
      <c r="S516" s="606">
        <v>101</v>
      </c>
      <c r="T516" s="606">
        <v>102</v>
      </c>
      <c r="U516" s="606">
        <v>119</v>
      </c>
      <c r="V516" s="606">
        <v>105</v>
      </c>
      <c r="W516" s="606">
        <v>93</v>
      </c>
      <c r="X516" s="606">
        <v>106</v>
      </c>
      <c r="Y516" s="606">
        <v>128</v>
      </c>
      <c r="Z516" s="606">
        <v>106</v>
      </c>
      <c r="AA516" s="606">
        <v>108</v>
      </c>
      <c r="AB516" s="606">
        <v>109</v>
      </c>
      <c r="AC516" s="606">
        <v>101</v>
      </c>
      <c r="AD516" s="606">
        <v>101</v>
      </c>
      <c r="AE516" s="606">
        <v>104</v>
      </c>
      <c r="AF516" s="606">
        <v>99</v>
      </c>
      <c r="AG516" s="689"/>
      <c r="AH516" s="689"/>
      <c r="AI516" s="689"/>
      <c r="AJ516" s="689"/>
      <c r="AK516" s="689"/>
      <c r="AL516" s="689"/>
      <c r="AM516" s="689"/>
      <c r="AN516" s="689"/>
      <c r="AO516" s="689"/>
      <c r="AP516" s="689"/>
      <c r="AQ516" s="689"/>
      <c r="AR516" s="689"/>
      <c r="AS516" s="689"/>
      <c r="AT516" s="689"/>
      <c r="AU516" s="689"/>
      <c r="AV516" s="689"/>
      <c r="AW516" s="689"/>
    </row>
    <row r="517" spans="1:49" s="684" customFormat="1">
      <c r="A517" s="429" t="s">
        <v>9</v>
      </c>
      <c r="N517" s="605">
        <v>0</v>
      </c>
      <c r="O517" s="605">
        <v>1</v>
      </c>
      <c r="P517" s="605">
        <v>0</v>
      </c>
      <c r="Q517" s="605">
        <v>0</v>
      </c>
      <c r="R517" s="606">
        <v>0</v>
      </c>
      <c r="S517" s="606">
        <v>1</v>
      </c>
      <c r="T517" s="606">
        <v>1</v>
      </c>
      <c r="U517" s="606">
        <v>0</v>
      </c>
      <c r="V517" s="606">
        <v>0</v>
      </c>
      <c r="W517" s="606">
        <v>1</v>
      </c>
      <c r="X517" s="606">
        <v>1</v>
      </c>
      <c r="Y517" s="606">
        <v>0</v>
      </c>
      <c r="Z517" s="606">
        <v>1</v>
      </c>
      <c r="AA517" s="606">
        <v>0</v>
      </c>
      <c r="AB517" s="606">
        <v>0</v>
      </c>
      <c r="AC517" s="606">
        <v>1</v>
      </c>
      <c r="AD517" s="606">
        <v>0</v>
      </c>
      <c r="AE517" s="606">
        <v>3</v>
      </c>
      <c r="AF517" s="606">
        <v>2</v>
      </c>
      <c r="AG517" s="689"/>
      <c r="AH517" s="689"/>
      <c r="AI517" s="689"/>
      <c r="AJ517" s="689"/>
      <c r="AK517" s="689"/>
      <c r="AL517" s="689"/>
      <c r="AM517" s="689"/>
      <c r="AN517" s="689"/>
      <c r="AO517" s="689"/>
      <c r="AP517" s="689"/>
      <c r="AQ517" s="689"/>
      <c r="AR517" s="689"/>
      <c r="AS517" s="689"/>
      <c r="AT517" s="689"/>
      <c r="AU517" s="689"/>
      <c r="AV517" s="689"/>
      <c r="AW517" s="689"/>
    </row>
    <row r="518" spans="1:49" s="684" customFormat="1">
      <c r="A518" s="429" t="s">
        <v>71</v>
      </c>
      <c r="N518" s="690">
        <v>0</v>
      </c>
      <c r="O518" s="690">
        <v>0</v>
      </c>
      <c r="P518" s="690">
        <v>0</v>
      </c>
      <c r="Q518" s="690">
        <v>0</v>
      </c>
      <c r="R518" s="606">
        <v>0</v>
      </c>
      <c r="S518" s="606">
        <v>0</v>
      </c>
      <c r="T518" s="606">
        <v>0</v>
      </c>
      <c r="U518" s="606">
        <v>0</v>
      </c>
      <c r="V518" s="606">
        <v>0</v>
      </c>
      <c r="W518" s="606">
        <v>0</v>
      </c>
      <c r="X518" s="606">
        <v>0</v>
      </c>
      <c r="Y518" s="606">
        <v>380</v>
      </c>
      <c r="Z518" s="606">
        <v>0</v>
      </c>
      <c r="AA518" s="606">
        <v>0</v>
      </c>
      <c r="AB518" s="606">
        <v>0</v>
      </c>
      <c r="AC518" s="606">
        <v>0</v>
      </c>
      <c r="AD518" s="606">
        <v>0</v>
      </c>
      <c r="AE518" s="606">
        <v>0</v>
      </c>
      <c r="AF518" s="606">
        <v>0</v>
      </c>
      <c r="AG518" s="689"/>
      <c r="AH518" s="689"/>
      <c r="AI518" s="689"/>
      <c r="AJ518" s="689"/>
      <c r="AK518" s="689"/>
      <c r="AL518" s="689"/>
      <c r="AM518" s="689"/>
      <c r="AN518" s="689"/>
      <c r="AO518" s="689"/>
      <c r="AP518" s="689"/>
      <c r="AQ518" s="689"/>
      <c r="AR518" s="689"/>
      <c r="AS518" s="689"/>
      <c r="AT518" s="689"/>
      <c r="AU518" s="689"/>
      <c r="AV518" s="689"/>
      <c r="AW518" s="689"/>
    </row>
    <row r="519" spans="1:49" s="684" customFormat="1">
      <c r="A519" s="429" t="s">
        <v>10</v>
      </c>
      <c r="N519" s="691">
        <v>0</v>
      </c>
      <c r="O519" s="691">
        <v>0</v>
      </c>
      <c r="P519" s="691">
        <v>0</v>
      </c>
      <c r="Q519" s="691">
        <v>0</v>
      </c>
      <c r="R519" s="691">
        <v>0</v>
      </c>
      <c r="S519" s="691">
        <v>0</v>
      </c>
      <c r="T519" s="691">
        <v>0</v>
      </c>
      <c r="U519" s="691">
        <v>0</v>
      </c>
      <c r="V519" s="691">
        <v>0</v>
      </c>
      <c r="W519" s="691">
        <v>0</v>
      </c>
      <c r="X519" s="691">
        <v>0</v>
      </c>
      <c r="Y519" s="691">
        <v>22</v>
      </c>
      <c r="Z519" s="691">
        <v>27</v>
      </c>
      <c r="AA519" s="691">
        <v>-8</v>
      </c>
      <c r="AB519" s="691">
        <v>15</v>
      </c>
      <c r="AC519" s="691">
        <v>-6</v>
      </c>
      <c r="AD519" s="691">
        <v>2</v>
      </c>
      <c r="AE519" s="691">
        <v>10</v>
      </c>
      <c r="AF519" s="691">
        <v>16</v>
      </c>
      <c r="AG519" s="689"/>
      <c r="AH519" s="689"/>
      <c r="AI519" s="689"/>
      <c r="AJ519" s="689"/>
      <c r="AK519" s="689"/>
      <c r="AL519" s="689"/>
      <c r="AM519" s="689"/>
      <c r="AN519" s="689"/>
      <c r="AO519" s="689"/>
      <c r="AP519" s="689"/>
      <c r="AQ519" s="689"/>
      <c r="AR519" s="689"/>
      <c r="AS519" s="689"/>
      <c r="AT519" s="689"/>
      <c r="AU519" s="689"/>
      <c r="AV519" s="689"/>
      <c r="AW519" s="689"/>
    </row>
    <row r="520" spans="1:49" s="425" customFormat="1">
      <c r="A520" s="429" t="s">
        <v>11</v>
      </c>
      <c r="N520" s="605">
        <v>93</v>
      </c>
      <c r="O520" s="605">
        <v>89</v>
      </c>
      <c r="P520" s="605">
        <v>88</v>
      </c>
      <c r="Q520" s="605">
        <v>107</v>
      </c>
      <c r="R520" s="606">
        <v>88</v>
      </c>
      <c r="S520" s="606">
        <v>102</v>
      </c>
      <c r="T520" s="606">
        <v>103</v>
      </c>
      <c r="U520" s="606">
        <v>119</v>
      </c>
      <c r="V520" s="606">
        <v>105</v>
      </c>
      <c r="W520" s="606">
        <v>94</v>
      </c>
      <c r="X520" s="606">
        <v>107</v>
      </c>
      <c r="Y520" s="606">
        <v>530</v>
      </c>
      <c r="Z520" s="606">
        <v>134</v>
      </c>
      <c r="AA520" s="606">
        <v>100</v>
      </c>
      <c r="AB520" s="606">
        <v>124</v>
      </c>
      <c r="AC520" s="606">
        <v>96</v>
      </c>
      <c r="AD520" s="606">
        <v>103</v>
      </c>
      <c r="AE520" s="606">
        <v>117</v>
      </c>
      <c r="AF520" s="606">
        <v>117</v>
      </c>
      <c r="AG520" s="427"/>
      <c r="AH520" s="427"/>
      <c r="AI520" s="427"/>
      <c r="AJ520" s="427"/>
      <c r="AK520" s="427"/>
      <c r="AL520" s="427"/>
      <c r="AM520" s="427"/>
      <c r="AN520" s="427"/>
      <c r="AO520" s="427"/>
      <c r="AP520" s="427"/>
      <c r="AQ520" s="427"/>
      <c r="AR520" s="427"/>
      <c r="AS520" s="427"/>
      <c r="AT520" s="427"/>
      <c r="AU520" s="427"/>
      <c r="AV520" s="427"/>
      <c r="AW520" s="427"/>
    </row>
    <row r="521" spans="1:49" s="432" customFormat="1" ht="16.5" thickBot="1">
      <c r="A521" s="431" t="s">
        <v>12</v>
      </c>
      <c r="N521" s="607">
        <v>387</v>
      </c>
      <c r="O521" s="607">
        <v>369</v>
      </c>
      <c r="P521" s="607">
        <v>306</v>
      </c>
      <c r="Q521" s="607">
        <v>371</v>
      </c>
      <c r="R521" s="608">
        <v>403</v>
      </c>
      <c r="S521" s="608">
        <v>434</v>
      </c>
      <c r="T521" s="608">
        <v>397</v>
      </c>
      <c r="U521" s="608">
        <v>365</v>
      </c>
      <c r="V521" s="608">
        <v>446</v>
      </c>
      <c r="W521" s="608">
        <v>423</v>
      </c>
      <c r="X521" s="608">
        <v>335</v>
      </c>
      <c r="Y521" s="608">
        <v>897</v>
      </c>
      <c r="Z521" s="608">
        <v>421</v>
      </c>
      <c r="AA521" s="608">
        <v>408</v>
      </c>
      <c r="AB521" s="608">
        <f>SUM(AB515:AB519)</f>
        <v>437</v>
      </c>
      <c r="AC521" s="608">
        <f>SUM(AC515:AC519)</f>
        <v>425</v>
      </c>
      <c r="AD521" s="608">
        <f t="shared" ref="AD521:AF521" si="586">SUM(AD515:AD519)</f>
        <v>451</v>
      </c>
      <c r="AE521" s="608">
        <f t="shared" si="586"/>
        <v>420</v>
      </c>
      <c r="AF521" s="608">
        <f t="shared" si="586"/>
        <v>410</v>
      </c>
      <c r="AG521" s="1344">
        <f t="shared" ref="AG521:AS521" si="587">AG513*AG526</f>
        <v>444.42407789133819</v>
      </c>
      <c r="AH521" s="1344">
        <f t="shared" si="587"/>
        <v>444.10498505332782</v>
      </c>
      <c r="AI521" s="1344">
        <f t="shared" si="587"/>
        <v>443.78612132135447</v>
      </c>
      <c r="AJ521" s="1344">
        <f t="shared" si="587"/>
        <v>443.46748653092197</v>
      </c>
      <c r="AK521" s="1344">
        <f t="shared" si="587"/>
        <v>443.14908051765218</v>
      </c>
      <c r="AL521" s="1344">
        <f t="shared" si="587"/>
        <v>442.830903117285</v>
      </c>
      <c r="AM521" s="1344">
        <f t="shared" si="587"/>
        <v>442.5129541656782</v>
      </c>
      <c r="AN521" s="1344">
        <f t="shared" si="587"/>
        <v>442.1952334988074</v>
      </c>
      <c r="AO521" s="1344">
        <f t="shared" si="587"/>
        <v>441.87774095276609</v>
      </c>
      <c r="AP521" s="1344">
        <f t="shared" si="587"/>
        <v>441.56047636376536</v>
      </c>
      <c r="AQ521" s="1344">
        <f t="shared" si="587"/>
        <v>441.24343956813391</v>
      </c>
      <c r="AR521" s="1344">
        <f t="shared" si="587"/>
        <v>440.92663040231798</v>
      </c>
      <c r="AS521" s="1344">
        <f t="shared" si="587"/>
        <v>440.61004870288133</v>
      </c>
      <c r="AT521" s="1344">
        <f t="shared" ref="AT521:AW521" si="588">AT513*AT526</f>
        <v>440.29369430650479</v>
      </c>
      <c r="AU521" s="1344">
        <f t="shared" si="588"/>
        <v>439.97756704998682</v>
      </c>
      <c r="AV521" s="1344">
        <f t="shared" si="588"/>
        <v>439.66166677024268</v>
      </c>
      <c r="AW521" s="1344">
        <f t="shared" si="588"/>
        <v>439.34599330430518</v>
      </c>
    </row>
    <row r="522" spans="1:49" s="434" customFormat="1" ht="16.5" thickBot="1">
      <c r="A522" s="440" t="s">
        <v>87</v>
      </c>
      <c r="N522" s="609">
        <v>118</v>
      </c>
      <c r="O522" s="609">
        <v>146</v>
      </c>
      <c r="P522" s="609">
        <v>190</v>
      </c>
      <c r="Q522" s="609">
        <v>127</v>
      </c>
      <c r="R522" s="610">
        <v>122</v>
      </c>
      <c r="S522" s="610">
        <v>164</v>
      </c>
      <c r="T522" s="610">
        <v>80</v>
      </c>
      <c r="U522" s="610">
        <v>145</v>
      </c>
      <c r="V522" s="610">
        <v>-47</v>
      </c>
      <c r="W522" s="610">
        <v>145</v>
      </c>
      <c r="X522" s="610">
        <v>65</v>
      </c>
      <c r="Y522" s="610">
        <v>-477</v>
      </c>
      <c r="Z522" s="610">
        <v>-62</v>
      </c>
      <c r="AA522" s="610">
        <v>135</v>
      </c>
      <c r="AB522" s="610">
        <f t="shared" ref="AB522:AS522" si="589">AB513-AB514-AB521</f>
        <v>39</v>
      </c>
      <c r="AC522" s="610">
        <f t="shared" si="589"/>
        <v>149</v>
      </c>
      <c r="AD522" s="610">
        <f t="shared" ref="AD522:AF522" si="590">AD513-AD514-AD521</f>
        <v>149</v>
      </c>
      <c r="AE522" s="610">
        <f t="shared" si="590"/>
        <v>78</v>
      </c>
      <c r="AF522" s="610">
        <f t="shared" si="590"/>
        <v>35</v>
      </c>
      <c r="AG522" s="1345">
        <f t="shared" si="589"/>
        <v>82.886915485759971</v>
      </c>
      <c r="AH522" s="1345">
        <f t="shared" si="589"/>
        <v>85.526947120587238</v>
      </c>
      <c r="AI522" s="1345">
        <f t="shared" si="589"/>
        <v>88.176737869467047</v>
      </c>
      <c r="AJ522" s="1345">
        <f t="shared" si="589"/>
        <v>90.836330881458821</v>
      </c>
      <c r="AK522" s="1345">
        <f t="shared" si="589"/>
        <v>93.505769490489172</v>
      </c>
      <c r="AL522" s="1345">
        <f t="shared" si="589"/>
        <v>96.185097216147994</v>
      </c>
      <c r="AM522" s="1345">
        <f t="shared" si="589"/>
        <v>98.874357764487911</v>
      </c>
      <c r="AN522" s="1345">
        <f t="shared" si="589"/>
        <v>101.57359502882753</v>
      </c>
      <c r="AO522" s="1345">
        <f t="shared" si="589"/>
        <v>104.28285309055775</v>
      </c>
      <c r="AP522" s="1345">
        <f t="shared" si="589"/>
        <v>107.00217621995193</v>
      </c>
      <c r="AQ522" s="1345">
        <f t="shared" si="589"/>
        <v>109.73160887697918</v>
      </c>
      <c r="AR522" s="1345">
        <f t="shared" si="589"/>
        <v>112.47119571212124</v>
      </c>
      <c r="AS522" s="1345">
        <f t="shared" si="589"/>
        <v>115.22098156719318</v>
      </c>
      <c r="AT522" s="1345">
        <f t="shared" ref="AT522:AW522" si="591">AT513-AT514-AT521</f>
        <v>117.9810114761674</v>
      </c>
      <c r="AU522" s="1345">
        <f t="shared" si="591"/>
        <v>120.75133066600068</v>
      </c>
      <c r="AV522" s="1345">
        <f t="shared" si="591"/>
        <v>123.53198455746616</v>
      </c>
      <c r="AW522" s="1345">
        <f t="shared" si="591"/>
        <v>126.323018765987</v>
      </c>
    </row>
    <row r="523" spans="1:49" s="425" customFormat="1">
      <c r="A523" s="441"/>
      <c r="N523" s="611"/>
      <c r="O523" s="611"/>
      <c r="P523" s="611"/>
      <c r="Q523" s="611"/>
      <c r="R523" s="611"/>
      <c r="S523" s="611"/>
      <c r="T523" s="611"/>
      <c r="U523" s="611"/>
      <c r="V523" s="611"/>
      <c r="W523" s="611"/>
      <c r="X523" s="611"/>
      <c r="Y523" s="611"/>
      <c r="Z523" s="611"/>
      <c r="AA523" s="611"/>
      <c r="AB523" s="611"/>
      <c r="AC523" s="611"/>
      <c r="AD523" s="611"/>
      <c r="AE523" s="611"/>
      <c r="AF523" s="611"/>
      <c r="AG523" s="427"/>
      <c r="AH523" s="427"/>
      <c r="AI523" s="427"/>
      <c r="AJ523" s="427"/>
      <c r="AK523" s="427"/>
      <c r="AL523" s="427"/>
      <c r="AM523" s="427"/>
      <c r="AN523" s="427"/>
      <c r="AO523" s="427"/>
      <c r="AP523" s="427"/>
      <c r="AQ523" s="427"/>
      <c r="AR523" s="427"/>
      <c r="AS523" s="427"/>
      <c r="AT523" s="427"/>
      <c r="AU523" s="427"/>
      <c r="AV523" s="427"/>
      <c r="AW523" s="427"/>
    </row>
    <row r="524" spans="1:49" s="425" customFormat="1">
      <c r="A524" s="424" t="s">
        <v>88</v>
      </c>
      <c r="N524" s="442"/>
      <c r="O524" s="442"/>
      <c r="P524" s="442"/>
      <c r="Q524" s="442"/>
      <c r="R524" s="442"/>
      <c r="S524" s="442"/>
      <c r="T524" s="442"/>
      <c r="U524" s="442"/>
      <c r="V524" s="442"/>
      <c r="W524" s="442"/>
      <c r="X524" s="442"/>
      <c r="Y524" s="442"/>
      <c r="Z524" s="442"/>
      <c r="AA524" s="442"/>
      <c r="AB524" s="442"/>
      <c r="AC524" s="442"/>
      <c r="AD524" s="442"/>
      <c r="AE524" s="442"/>
      <c r="AF524" s="442"/>
      <c r="AG524" s="427"/>
      <c r="AH524" s="427"/>
      <c r="AI524" s="427"/>
      <c r="AJ524" s="427"/>
      <c r="AK524" s="427"/>
      <c r="AL524" s="427"/>
      <c r="AM524" s="427"/>
      <c r="AN524" s="427"/>
      <c r="AO524" s="427"/>
      <c r="AP524" s="427"/>
      <c r="AQ524" s="427"/>
      <c r="AR524" s="427"/>
      <c r="AS524" s="427"/>
      <c r="AT524" s="427"/>
      <c r="AU524" s="427"/>
      <c r="AV524" s="427"/>
      <c r="AW524" s="427"/>
    </row>
    <row r="525" spans="1:49" s="425" customFormat="1">
      <c r="A525" s="439" t="s">
        <v>89</v>
      </c>
      <c r="N525" s="443"/>
      <c r="O525" s="443"/>
      <c r="P525" s="443"/>
      <c r="Q525" s="443"/>
      <c r="R525" s="444"/>
      <c r="S525" s="444"/>
      <c r="T525" s="444"/>
      <c r="U525" s="445">
        <v>29</v>
      </c>
      <c r="V525" s="446">
        <v>0</v>
      </c>
      <c r="W525" s="445">
        <v>31.8</v>
      </c>
      <c r="X525" s="445">
        <v>12.5</v>
      </c>
      <c r="Y525" s="446">
        <v>0</v>
      </c>
      <c r="Z525" s="446">
        <v>0</v>
      </c>
      <c r="AA525" s="446">
        <v>22.6</v>
      </c>
      <c r="AB525" s="446"/>
      <c r="AC525" s="446">
        <v>22.9</v>
      </c>
      <c r="AD525" s="446">
        <v>23.1</v>
      </c>
      <c r="AE525" s="446">
        <v>12</v>
      </c>
      <c r="AF525" s="446">
        <v>5.2</v>
      </c>
      <c r="AG525" s="427"/>
      <c r="AH525" s="427"/>
      <c r="AI525" s="427"/>
      <c r="AJ525" s="427"/>
      <c r="AK525" s="427"/>
      <c r="AL525" s="427"/>
      <c r="AM525" s="427"/>
      <c r="AN525" s="427"/>
      <c r="AO525" s="427"/>
      <c r="AP525" s="427"/>
      <c r="AQ525" s="427"/>
      <c r="AR525" s="427"/>
      <c r="AS525" s="427"/>
      <c r="AT525" s="427"/>
      <c r="AU525" s="427"/>
      <c r="AV525" s="427"/>
      <c r="AW525" s="427"/>
    </row>
    <row r="526" spans="1:49" s="448" customFormat="1" ht="16.5" thickBot="1">
      <c r="A526" s="447" t="s">
        <v>90</v>
      </c>
      <c r="N526" s="612">
        <v>0.7659999999999999</v>
      </c>
      <c r="O526" s="612">
        <v>0.71700000000000008</v>
      </c>
      <c r="P526" s="612">
        <v>0.61699999999999999</v>
      </c>
      <c r="Q526" s="612">
        <v>0.745</v>
      </c>
      <c r="R526" s="612">
        <v>0.76615969581749055</v>
      </c>
      <c r="S526" s="612">
        <v>0.72818791946308725</v>
      </c>
      <c r="T526" s="612">
        <v>0.83403361344537819</v>
      </c>
      <c r="U526" s="612">
        <v>0.7142857142857143</v>
      </c>
      <c r="V526" s="612">
        <v>1.1177944862155389</v>
      </c>
      <c r="W526" s="612">
        <v>0.74471830985915488</v>
      </c>
      <c r="X526" s="612">
        <v>0.83750000000000002</v>
      </c>
      <c r="Y526" s="612">
        <f>(Y521-Y518)/Y513</f>
        <v>1.230952380952381</v>
      </c>
      <c r="Z526" s="612">
        <v>1.0850515463917525</v>
      </c>
      <c r="AA526" s="612">
        <v>0.75138121546961334</v>
      </c>
      <c r="AB526" s="612">
        <f>AB521/AB513</f>
        <v>0.93576017130620981</v>
      </c>
      <c r="AC526" s="612">
        <v>0.74</v>
      </c>
      <c r="AD526" s="612">
        <v>0.74400000000000011</v>
      </c>
      <c r="AE526" s="612">
        <v>0.82200000000000006</v>
      </c>
      <c r="AF526" s="612">
        <v>0.89700000000000002</v>
      </c>
      <c r="AG526" s="449">
        <f>Assumptions!AG126</f>
        <v>0.8240590000000001</v>
      </c>
      <c r="AH526" s="449">
        <f>Assumptions!AH126</f>
        <v>0.8199387050000001</v>
      </c>
      <c r="AI526" s="449">
        <f>Assumptions!AI126</f>
        <v>0.81583901147500004</v>
      </c>
      <c r="AJ526" s="449">
        <f>Assumptions!AJ126</f>
        <v>0.81175981641762507</v>
      </c>
      <c r="AK526" s="449">
        <f>Assumptions!AK126</f>
        <v>0.8077010173355369</v>
      </c>
      <c r="AL526" s="449">
        <f>Assumptions!AL126</f>
        <v>0.80366251224885921</v>
      </c>
      <c r="AM526" s="449">
        <f>Assumptions!AM126</f>
        <v>0.79964419968761491</v>
      </c>
      <c r="AN526" s="449">
        <f>Assumptions!AN126</f>
        <v>0.79564597868917686</v>
      </c>
      <c r="AO526" s="449">
        <f>Assumptions!AO126</f>
        <v>0.79166774879573099</v>
      </c>
      <c r="AP526" s="449">
        <f>Assumptions!AP126</f>
        <v>0.78770941005175232</v>
      </c>
      <c r="AQ526" s="449">
        <f>Assumptions!AQ126</f>
        <v>0.78377086300149357</v>
      </c>
      <c r="AR526" s="449">
        <f>Assumptions!AR126</f>
        <v>0.77985200868648608</v>
      </c>
      <c r="AS526" s="449">
        <f>Assumptions!AS126</f>
        <v>0.77595274864305364</v>
      </c>
      <c r="AT526" s="449">
        <f>Assumptions!AT126</f>
        <v>0.77207298489983833</v>
      </c>
      <c r="AU526" s="449">
        <f>Assumptions!AU126</f>
        <v>0.76821261997533918</v>
      </c>
      <c r="AV526" s="449">
        <f>Assumptions!AV126</f>
        <v>0.76437155687546243</v>
      </c>
      <c r="AW526" s="449">
        <f>Assumptions!AW126</f>
        <v>0.76054969909108516</v>
      </c>
    </row>
    <row r="527" spans="1:49" s="425" customFormat="1">
      <c r="A527" s="450"/>
      <c r="N527" s="442"/>
      <c r="O527" s="442"/>
      <c r="P527" s="442"/>
      <c r="Q527" s="442"/>
      <c r="R527" s="442"/>
      <c r="S527" s="442"/>
      <c r="T527" s="442"/>
      <c r="U527" s="442"/>
      <c r="V527" s="442"/>
      <c r="W527" s="442"/>
      <c r="X527" s="442"/>
      <c r="Y527" s="442"/>
      <c r="Z527" s="442"/>
      <c r="AA527" s="442"/>
      <c r="AB527" s="442"/>
      <c r="AC527" s="442"/>
      <c r="AD527" s="442"/>
      <c r="AE527" s="442"/>
      <c r="AF527" s="442"/>
      <c r="AG527" s="427"/>
      <c r="AH527" s="427"/>
      <c r="AI527" s="427"/>
      <c r="AJ527" s="427"/>
      <c r="AK527" s="427"/>
      <c r="AL527" s="427"/>
      <c r="AM527" s="427"/>
      <c r="AN527" s="427"/>
      <c r="AO527" s="427"/>
      <c r="AP527" s="427"/>
      <c r="AQ527" s="427"/>
      <c r="AR527" s="427"/>
      <c r="AS527" s="427"/>
      <c r="AT527" s="427"/>
      <c r="AU527" s="427"/>
      <c r="AV527" s="427"/>
      <c r="AW527" s="427"/>
    </row>
    <row r="528" spans="1:49" s="425" customFormat="1">
      <c r="A528" s="424" t="s">
        <v>91</v>
      </c>
      <c r="N528" s="442"/>
      <c r="O528" s="442"/>
      <c r="P528" s="442"/>
      <c r="Q528" s="442"/>
      <c r="R528" s="442"/>
      <c r="S528" s="442"/>
      <c r="T528" s="442"/>
      <c r="U528" s="442"/>
      <c r="V528" s="442"/>
      <c r="W528" s="442"/>
      <c r="X528" s="442"/>
      <c r="Y528" s="442"/>
      <c r="Z528" s="442"/>
      <c r="AA528" s="442"/>
      <c r="AB528" s="442"/>
      <c r="AC528" s="442"/>
      <c r="AD528" s="442"/>
      <c r="AE528" s="442"/>
      <c r="AF528" s="442"/>
      <c r="AG528" s="427"/>
      <c r="AH528" s="427"/>
      <c r="AI528" s="427"/>
      <c r="AJ528" s="427"/>
      <c r="AK528" s="427"/>
      <c r="AL528" s="427"/>
      <c r="AM528" s="427"/>
      <c r="AN528" s="427"/>
      <c r="AO528" s="427"/>
      <c r="AP528" s="427"/>
      <c r="AQ528" s="427"/>
      <c r="AR528" s="427"/>
      <c r="AS528" s="427"/>
      <c r="AT528" s="427"/>
      <c r="AU528" s="427"/>
      <c r="AV528" s="427"/>
      <c r="AW528" s="427"/>
    </row>
    <row r="529" spans="1:49" s="425" customFormat="1">
      <c r="A529" s="438" t="s">
        <v>36</v>
      </c>
      <c r="N529" s="451">
        <v>7681</v>
      </c>
      <c r="O529" s="451">
        <v>8249</v>
      </c>
      <c r="P529" s="451">
        <v>6140</v>
      </c>
      <c r="Q529" s="451">
        <v>6662</v>
      </c>
      <c r="R529" s="451">
        <v>12552</v>
      </c>
      <c r="S529" s="451">
        <v>12839</v>
      </c>
      <c r="T529" s="451">
        <v>13286</v>
      </c>
      <c r="U529" s="451">
        <v>13839</v>
      </c>
      <c r="V529" s="451">
        <v>13605</v>
      </c>
      <c r="W529" s="452">
        <v>12792</v>
      </c>
      <c r="X529" s="451">
        <v>12847</v>
      </c>
      <c r="Y529" s="451">
        <v>18712</v>
      </c>
      <c r="Z529" s="452">
        <v>20772</v>
      </c>
      <c r="AA529" s="452">
        <v>22064</v>
      </c>
      <c r="AB529" s="452">
        <v>19931</v>
      </c>
      <c r="AC529" s="452">
        <v>20784</v>
      </c>
      <c r="AD529" s="452">
        <v>19997</v>
      </c>
      <c r="AE529" s="452">
        <v>20973</v>
      </c>
      <c r="AF529" s="452">
        <v>20477</v>
      </c>
      <c r="AG529" s="427"/>
      <c r="AH529" s="427"/>
      <c r="AI529" s="427"/>
      <c r="AJ529" s="427"/>
      <c r="AK529" s="427"/>
      <c r="AL529" s="427"/>
      <c r="AM529" s="427"/>
      <c r="AN529" s="427"/>
      <c r="AO529" s="427"/>
      <c r="AP529" s="427"/>
      <c r="AQ529" s="427"/>
      <c r="AR529" s="427"/>
      <c r="AS529" s="427"/>
      <c r="AT529" s="427"/>
      <c r="AU529" s="427"/>
      <c r="AV529" s="427"/>
      <c r="AW529" s="427"/>
    </row>
    <row r="530" spans="1:49" s="425" customFormat="1">
      <c r="A530" s="438" t="s">
        <v>92</v>
      </c>
      <c r="N530" s="451">
        <v>10679</v>
      </c>
      <c r="O530" s="451">
        <v>12021</v>
      </c>
      <c r="P530" s="451">
        <v>11082</v>
      </c>
      <c r="Q530" s="451">
        <v>11210</v>
      </c>
      <c r="R530" s="452">
        <v>11439</v>
      </c>
      <c r="S530" s="452">
        <v>11097</v>
      </c>
      <c r="T530" s="452">
        <v>12134</v>
      </c>
      <c r="U530" s="452">
        <v>12167</v>
      </c>
      <c r="V530" s="452">
        <v>12305</v>
      </c>
      <c r="W530" s="452">
        <v>13568</v>
      </c>
      <c r="X530" s="452">
        <v>15060</v>
      </c>
      <c r="Y530" s="452">
        <v>16150</v>
      </c>
      <c r="Z530" s="452">
        <v>16990</v>
      </c>
      <c r="AA530" s="452">
        <v>16513</v>
      </c>
      <c r="AB530" s="452">
        <v>18019</v>
      </c>
      <c r="AC530" s="452">
        <v>18027</v>
      </c>
      <c r="AD530" s="452">
        <v>18602</v>
      </c>
      <c r="AE530" s="452">
        <v>18648</v>
      </c>
      <c r="AF530" s="452">
        <v>19486</v>
      </c>
      <c r="AG530" s="427"/>
      <c r="AH530" s="427"/>
      <c r="AI530" s="427"/>
      <c r="AJ530" s="427"/>
      <c r="AK530" s="427"/>
      <c r="AL530" s="427"/>
      <c r="AM530" s="427"/>
      <c r="AN530" s="427"/>
      <c r="AO530" s="427"/>
      <c r="AP530" s="427"/>
      <c r="AQ530" s="427"/>
      <c r="AR530" s="427"/>
      <c r="AS530" s="427"/>
      <c r="AT530" s="427"/>
      <c r="AU530" s="427"/>
      <c r="AV530" s="427"/>
      <c r="AW530" s="427"/>
    </row>
    <row r="531" spans="1:49" s="425" customFormat="1">
      <c r="A531" s="438" t="s">
        <v>126</v>
      </c>
      <c r="N531" s="451">
        <v>11277</v>
      </c>
      <c r="O531" s="451">
        <v>12705</v>
      </c>
      <c r="P531" s="451">
        <v>12256</v>
      </c>
      <c r="Q531" s="451">
        <v>12598</v>
      </c>
      <c r="R531" s="452">
        <v>12949.566989302089</v>
      </c>
      <c r="S531" s="452">
        <v>12513.531799729364</v>
      </c>
      <c r="T531" s="452">
        <v>12699.110413396127</v>
      </c>
      <c r="U531" s="452">
        <v>12294.493901761265</v>
      </c>
      <c r="V531" s="452">
        <v>12668.588489653042</v>
      </c>
      <c r="W531" s="452">
        <v>14518</v>
      </c>
      <c r="X531" s="452">
        <v>15412.956708627571</v>
      </c>
      <c r="Y531" s="452">
        <v>16327.149572865592</v>
      </c>
      <c r="Z531" s="452">
        <v>17741</v>
      </c>
      <c r="AA531" s="452">
        <v>16950</v>
      </c>
      <c r="AB531" s="452">
        <v>18588</v>
      </c>
      <c r="AC531" s="452">
        <v>17624</v>
      </c>
      <c r="AD531" s="452">
        <v>18584</v>
      </c>
      <c r="AE531" s="452">
        <v>19473</v>
      </c>
      <c r="AF531" s="452">
        <v>20138</v>
      </c>
      <c r="AG531" s="427"/>
      <c r="AH531" s="427"/>
      <c r="AI531" s="427"/>
      <c r="AJ531" s="427"/>
      <c r="AK531" s="427"/>
      <c r="AL531" s="427"/>
      <c r="AM531" s="427"/>
      <c r="AN531" s="427"/>
      <c r="AO531" s="427"/>
      <c r="AP531" s="427"/>
      <c r="AQ531" s="427"/>
      <c r="AR531" s="427"/>
      <c r="AS531" s="427"/>
      <c r="AT531" s="427"/>
      <c r="AU531" s="427"/>
      <c r="AV531" s="427"/>
      <c r="AW531" s="427"/>
    </row>
    <row r="532" spans="1:49" s="425" customFormat="1">
      <c r="A532" s="439" t="s">
        <v>93</v>
      </c>
      <c r="N532" s="613"/>
      <c r="O532" s="613"/>
      <c r="P532" s="613"/>
      <c r="Q532" s="613"/>
      <c r="R532" s="614"/>
      <c r="S532" s="614"/>
      <c r="T532" s="614"/>
      <c r="U532" s="453">
        <v>39954</v>
      </c>
      <c r="V532" s="453">
        <v>33126</v>
      </c>
      <c r="W532" s="452">
        <v>34247</v>
      </c>
      <c r="X532" s="453">
        <v>35694</v>
      </c>
      <c r="Y532" s="453">
        <v>40898</v>
      </c>
      <c r="Z532" s="452">
        <v>44369</v>
      </c>
      <c r="AA532" s="452">
        <v>43756</v>
      </c>
      <c r="AB532" s="452">
        <v>44240</v>
      </c>
      <c r="AC532" s="452">
        <v>45571</v>
      </c>
      <c r="AD532" s="452">
        <v>44018</v>
      </c>
      <c r="AE532" s="452">
        <v>43073</v>
      </c>
      <c r="AF532" s="452">
        <v>42794</v>
      </c>
      <c r="AG532" s="427"/>
      <c r="AH532" s="427"/>
      <c r="AI532" s="427"/>
      <c r="AJ532" s="427"/>
      <c r="AK532" s="427"/>
      <c r="AL532" s="427"/>
      <c r="AM532" s="427"/>
      <c r="AN532" s="427"/>
      <c r="AO532" s="427"/>
      <c r="AP532" s="427"/>
      <c r="AQ532" s="427"/>
      <c r="AR532" s="427"/>
      <c r="AS532" s="427"/>
      <c r="AT532" s="427"/>
      <c r="AU532" s="427"/>
      <c r="AV532" s="427"/>
      <c r="AW532" s="427"/>
    </row>
    <row r="533" spans="1:49" s="425" customFormat="1" ht="16.5" thickBot="1">
      <c r="A533" s="454" t="s">
        <v>127</v>
      </c>
      <c r="N533" s="615"/>
      <c r="O533" s="615"/>
      <c r="P533" s="615"/>
      <c r="Q533" s="615"/>
      <c r="R533" s="616"/>
      <c r="S533" s="616"/>
      <c r="T533" s="616"/>
      <c r="U533" s="455">
        <v>40372.66453118842</v>
      </c>
      <c r="V533" s="455">
        <v>34104.807989292698</v>
      </c>
      <c r="W533" s="456">
        <v>36645</v>
      </c>
      <c r="X533" s="455">
        <v>36530.549585508139</v>
      </c>
      <c r="Y533" s="455">
        <v>41346.610726381237</v>
      </c>
      <c r="Z533" s="456">
        <v>46331</v>
      </c>
      <c r="AA533" s="456">
        <v>44915</v>
      </c>
      <c r="AB533" s="456">
        <v>45636</v>
      </c>
      <c r="AC533" s="456">
        <v>44552</v>
      </c>
      <c r="AD533" s="456">
        <v>43976</v>
      </c>
      <c r="AE533" s="456">
        <v>44978</v>
      </c>
      <c r="AF533" s="456">
        <v>44227</v>
      </c>
      <c r="AG533" s="427"/>
      <c r="AH533" s="427"/>
      <c r="AI533" s="427"/>
      <c r="AJ533" s="427"/>
      <c r="AK533" s="427"/>
      <c r="AL533" s="427"/>
      <c r="AM533" s="427"/>
      <c r="AN533" s="427"/>
      <c r="AO533" s="427"/>
      <c r="AP533" s="427"/>
      <c r="AQ533" s="427"/>
      <c r="AR533" s="427"/>
      <c r="AS533" s="427"/>
      <c r="AT533" s="427"/>
      <c r="AU533" s="427"/>
      <c r="AV533" s="427"/>
      <c r="AW533" s="427"/>
    </row>
    <row r="534" spans="1:49" s="425" customFormat="1">
      <c r="A534" s="450"/>
      <c r="N534" s="442"/>
      <c r="O534" s="442"/>
      <c r="P534" s="442"/>
      <c r="Q534" s="442"/>
      <c r="R534" s="442"/>
      <c r="S534" s="442"/>
      <c r="T534" s="442"/>
      <c r="U534" s="442"/>
      <c r="V534" s="442"/>
      <c r="W534" s="442"/>
      <c r="X534" s="442"/>
      <c r="Y534" s="442"/>
      <c r="Z534" s="442"/>
      <c r="AA534" s="442"/>
      <c r="AB534" s="442"/>
      <c r="AC534" s="442"/>
      <c r="AD534" s="442"/>
      <c r="AE534" s="442"/>
      <c r="AF534" s="442"/>
      <c r="AG534" s="427"/>
      <c r="AH534" s="427"/>
      <c r="AI534" s="427"/>
      <c r="AJ534" s="427"/>
      <c r="AK534" s="427"/>
      <c r="AL534" s="427"/>
      <c r="AM534" s="427"/>
      <c r="AN534" s="427"/>
      <c r="AO534" s="427"/>
      <c r="AP534" s="427"/>
      <c r="AQ534" s="427"/>
      <c r="AR534" s="427"/>
      <c r="AS534" s="427"/>
      <c r="AT534" s="427"/>
      <c r="AU534" s="427"/>
      <c r="AV534" s="427"/>
      <c r="AW534" s="427"/>
    </row>
    <row r="535" spans="1:49" s="425" customFormat="1">
      <c r="A535" s="424" t="s">
        <v>104</v>
      </c>
      <c r="N535" s="457"/>
      <c r="O535" s="457"/>
      <c r="P535" s="457"/>
      <c r="Q535" s="457"/>
      <c r="R535" s="458"/>
      <c r="S535" s="458"/>
      <c r="T535" s="458"/>
      <c r="U535" s="458"/>
      <c r="V535" s="458"/>
      <c r="W535" s="458"/>
      <c r="X535" s="458"/>
      <c r="Y535" s="458"/>
      <c r="Z535" s="458"/>
      <c r="AA535" s="458"/>
      <c r="AB535" s="458"/>
      <c r="AC535" s="458"/>
      <c r="AD535" s="458"/>
      <c r="AE535" s="458"/>
      <c r="AF535" s="458"/>
      <c r="AG535" s="427"/>
      <c r="AH535" s="427"/>
      <c r="AI535" s="427"/>
      <c r="AJ535" s="427"/>
      <c r="AK535" s="427"/>
      <c r="AL535" s="427"/>
      <c r="AM535" s="427"/>
      <c r="AN535" s="427"/>
      <c r="AO535" s="427"/>
      <c r="AP535" s="427"/>
      <c r="AQ535" s="427"/>
      <c r="AR535" s="427"/>
      <c r="AS535" s="427"/>
      <c r="AT535" s="427"/>
      <c r="AU535" s="427"/>
      <c r="AV535" s="427"/>
      <c r="AW535" s="427"/>
    </row>
    <row r="536" spans="1:49" s="425" customFormat="1" ht="16.5" thickBot="1">
      <c r="A536" s="459" t="s">
        <v>105</v>
      </c>
      <c r="N536" s="460">
        <v>2995</v>
      </c>
      <c r="O536" s="460">
        <v>3361</v>
      </c>
      <c r="P536" s="460">
        <v>3428</v>
      </c>
      <c r="Q536" s="460">
        <v>3309</v>
      </c>
      <c r="R536" s="461">
        <v>3077</v>
      </c>
      <c r="S536" s="461">
        <v>3212</v>
      </c>
      <c r="T536" s="461">
        <v>3199</v>
      </c>
      <c r="U536" s="461">
        <v>3542</v>
      </c>
      <c r="V536" s="461">
        <v>3480</v>
      </c>
      <c r="W536" s="462">
        <v>3389</v>
      </c>
      <c r="X536" s="461">
        <v>3779</v>
      </c>
      <c r="Y536" s="461">
        <v>4032</v>
      </c>
      <c r="Z536" s="462">
        <v>4311</v>
      </c>
      <c r="AA536" s="462">
        <v>4567</v>
      </c>
      <c r="AB536" s="462">
        <v>4762</v>
      </c>
      <c r="AC536" s="462">
        <v>5030</v>
      </c>
      <c r="AD536" s="462">
        <v>5220</v>
      </c>
      <c r="AE536" s="462">
        <v>5236</v>
      </c>
      <c r="AF536" s="462">
        <v>5212</v>
      </c>
      <c r="AG536" s="427"/>
      <c r="AH536" s="427"/>
      <c r="AI536" s="427"/>
      <c r="AJ536" s="427"/>
      <c r="AK536" s="427"/>
      <c r="AL536" s="427"/>
      <c r="AM536" s="427"/>
      <c r="AN536" s="427"/>
      <c r="AO536" s="427"/>
      <c r="AP536" s="427"/>
      <c r="AQ536" s="427"/>
      <c r="AR536" s="427"/>
      <c r="AS536" s="427"/>
      <c r="AT536" s="427"/>
      <c r="AU536" s="427"/>
      <c r="AV536" s="427"/>
      <c r="AW536" s="427"/>
    </row>
    <row r="537" spans="1:49" s="425" customFormat="1" ht="16.5" thickBot="1">
      <c r="A537" s="463" t="s">
        <v>106</v>
      </c>
      <c r="N537" s="464">
        <v>15.8</v>
      </c>
      <c r="O537" s="464">
        <v>17.399999999999999</v>
      </c>
      <c r="P537" s="464">
        <v>22.2</v>
      </c>
      <c r="Q537" s="464">
        <v>15.4</v>
      </c>
      <c r="R537" s="465">
        <v>15.9</v>
      </c>
      <c r="S537" s="465">
        <v>20.399999999999999</v>
      </c>
      <c r="T537" s="465">
        <v>10</v>
      </c>
      <c r="U537" s="465">
        <v>16.399999999999999</v>
      </c>
      <c r="V537" s="465">
        <v>-5.4</v>
      </c>
      <c r="W537" s="466">
        <v>17.100000000000001</v>
      </c>
      <c r="X537" s="465">
        <v>6.9</v>
      </c>
      <c r="Y537" s="465">
        <v>-47.3</v>
      </c>
      <c r="Z537" s="466">
        <v>-5.8</v>
      </c>
      <c r="AA537" s="466">
        <v>11.8</v>
      </c>
      <c r="AB537" s="466">
        <v>3.3</v>
      </c>
      <c r="AC537" s="466">
        <v>11.9</v>
      </c>
      <c r="AD537" s="466">
        <v>11.4</v>
      </c>
      <c r="AE537" s="466">
        <v>6</v>
      </c>
      <c r="AF537" s="466">
        <v>2.7</v>
      </c>
      <c r="AG537" s="427"/>
      <c r="AH537" s="427"/>
      <c r="AI537" s="427"/>
      <c r="AJ537" s="427"/>
      <c r="AK537" s="427"/>
      <c r="AL537" s="427"/>
      <c r="AM537" s="427"/>
      <c r="AN537" s="427"/>
      <c r="AO537" s="427"/>
      <c r="AP537" s="427"/>
      <c r="AQ537" s="427"/>
      <c r="AR537" s="427"/>
      <c r="AS537" s="427"/>
      <c r="AT537" s="427"/>
      <c r="AU537" s="427"/>
      <c r="AV537" s="427"/>
      <c r="AW537" s="427"/>
    </row>
    <row r="538" spans="1:49" s="425" customFormat="1">
      <c r="A538" s="467"/>
      <c r="N538" s="468"/>
      <c r="O538" s="468"/>
      <c r="P538" s="468"/>
      <c r="Q538" s="468"/>
      <c r="R538" s="469"/>
      <c r="S538" s="469"/>
      <c r="T538" s="469"/>
      <c r="U538" s="469"/>
      <c r="V538" s="469"/>
      <c r="W538" s="469"/>
      <c r="X538" s="469"/>
      <c r="Y538" s="469"/>
      <c r="Z538" s="469"/>
      <c r="AA538" s="469"/>
      <c r="AB538" s="469"/>
      <c r="AC538" s="469"/>
      <c r="AD538" s="469"/>
      <c r="AE538" s="469"/>
      <c r="AF538" s="469"/>
      <c r="AG538" s="427"/>
      <c r="AH538" s="427"/>
      <c r="AI538" s="427"/>
      <c r="AJ538" s="427"/>
      <c r="AK538" s="427"/>
      <c r="AL538" s="427"/>
      <c r="AM538" s="427"/>
      <c r="AN538" s="427"/>
      <c r="AO538" s="427"/>
      <c r="AP538" s="427"/>
      <c r="AQ538" s="427"/>
      <c r="AR538" s="427"/>
      <c r="AS538" s="427"/>
      <c r="AT538" s="427"/>
      <c r="AU538" s="427"/>
      <c r="AV538" s="427"/>
      <c r="AW538" s="427"/>
    </row>
    <row r="539" spans="1:49" s="425" customFormat="1">
      <c r="A539" s="424" t="s">
        <v>108</v>
      </c>
      <c r="N539" s="442"/>
      <c r="O539" s="442"/>
      <c r="P539" s="442"/>
      <c r="Q539" s="442"/>
      <c r="R539" s="442"/>
      <c r="S539" s="442"/>
      <c r="T539" s="442"/>
      <c r="U539" s="442"/>
      <c r="V539" s="442"/>
      <c r="W539" s="442"/>
      <c r="X539" s="442"/>
      <c r="Y539" s="442"/>
      <c r="Z539" s="442"/>
      <c r="AA539" s="442"/>
      <c r="AB539" s="442"/>
      <c r="AC539" s="442"/>
      <c r="AD539" s="442"/>
      <c r="AE539" s="442"/>
      <c r="AF539" s="442"/>
      <c r="AG539" s="427"/>
      <c r="AH539" s="427"/>
      <c r="AI539" s="427"/>
      <c r="AJ539" s="427"/>
      <c r="AK539" s="427"/>
      <c r="AL539" s="427"/>
      <c r="AM539" s="427"/>
      <c r="AN539" s="427"/>
      <c r="AO539" s="427"/>
      <c r="AP539" s="427"/>
      <c r="AQ539" s="427"/>
      <c r="AR539" s="427"/>
      <c r="AS539" s="427"/>
      <c r="AT539" s="427"/>
      <c r="AU539" s="427"/>
      <c r="AV539" s="427"/>
      <c r="AW539" s="427"/>
    </row>
    <row r="540" spans="1:49" s="425" customFormat="1" ht="16.5" thickBot="1">
      <c r="A540" s="454" t="s">
        <v>107</v>
      </c>
      <c r="N540" s="470">
        <v>2400</v>
      </c>
      <c r="O540" s="470">
        <v>2300</v>
      </c>
      <c r="P540" s="470">
        <v>2400</v>
      </c>
      <c r="Q540" s="470">
        <v>2400</v>
      </c>
      <c r="R540" s="455">
        <v>2320</v>
      </c>
      <c r="S540" s="455">
        <v>2280</v>
      </c>
      <c r="T540" s="455">
        <v>2420</v>
      </c>
      <c r="U540" s="455">
        <v>2440</v>
      </c>
      <c r="V540" s="455">
        <v>2550</v>
      </c>
      <c r="W540" s="455">
        <v>2550</v>
      </c>
      <c r="X540" s="455">
        <v>2790</v>
      </c>
      <c r="Y540" s="455">
        <v>2810</v>
      </c>
      <c r="Z540" s="455">
        <v>2880</v>
      </c>
      <c r="AA540" s="455">
        <v>2800</v>
      </c>
      <c r="AB540" s="455">
        <v>2910</v>
      </c>
      <c r="AC540" s="455">
        <v>3090</v>
      </c>
      <c r="AD540" s="455">
        <v>3210</v>
      </c>
      <c r="AE540" s="455">
        <v>3130</v>
      </c>
      <c r="AF540" s="455">
        <v>3260</v>
      </c>
      <c r="AG540" s="427"/>
      <c r="AH540" s="427"/>
      <c r="AI540" s="427"/>
      <c r="AJ540" s="427"/>
      <c r="AK540" s="427"/>
      <c r="AL540" s="427"/>
      <c r="AM540" s="427"/>
      <c r="AN540" s="427"/>
      <c r="AO540" s="427"/>
      <c r="AP540" s="427"/>
      <c r="AQ540" s="427"/>
      <c r="AR540" s="427"/>
      <c r="AS540" s="427"/>
      <c r="AT540" s="427"/>
      <c r="AU540" s="427"/>
      <c r="AV540" s="427"/>
      <c r="AW540" s="427"/>
    </row>
    <row r="541" spans="1:49" s="425" customFormat="1">
      <c r="A541" s="450"/>
      <c r="N541" s="604"/>
      <c r="O541" s="604"/>
      <c r="P541" s="604"/>
      <c r="Q541" s="604"/>
      <c r="R541" s="604"/>
      <c r="S541" s="604"/>
      <c r="T541" s="604"/>
      <c r="U541" s="604"/>
      <c r="V541" s="604"/>
      <c r="W541" s="604"/>
      <c r="X541" s="604"/>
      <c r="Y541" s="604"/>
      <c r="Z541" s="604"/>
      <c r="AA541" s="604"/>
      <c r="AB541" s="427"/>
      <c r="AC541" s="427"/>
      <c r="AD541" s="427"/>
      <c r="AE541" s="427"/>
      <c r="AF541" s="427"/>
      <c r="AG541" s="427"/>
      <c r="AH541" s="427"/>
      <c r="AI541" s="427"/>
      <c r="AJ541" s="427"/>
      <c r="AK541" s="427"/>
      <c r="AL541" s="427"/>
      <c r="AM541" s="427"/>
      <c r="AN541" s="427"/>
      <c r="AO541" s="427"/>
      <c r="AP541" s="427"/>
      <c r="AQ541" s="427"/>
      <c r="AR541" s="427"/>
      <c r="AS541" s="427"/>
      <c r="AT541" s="427"/>
      <c r="AU541" s="427"/>
      <c r="AV541" s="427"/>
      <c r="AW541" s="427"/>
    </row>
    <row r="542" spans="1:49" s="834" customFormat="1" ht="21.75" thickBot="1">
      <c r="A542" s="833" t="s">
        <v>134</v>
      </c>
      <c r="N542" s="835"/>
      <c r="O542" s="835"/>
      <c r="P542" s="835"/>
      <c r="Q542" s="835"/>
      <c r="R542" s="835"/>
      <c r="S542" s="835"/>
      <c r="T542" s="835"/>
      <c r="U542" s="835"/>
      <c r="V542" s="835"/>
      <c r="W542" s="835"/>
      <c r="X542" s="835"/>
      <c r="Y542" s="835"/>
      <c r="Z542" s="835"/>
      <c r="AA542" s="835"/>
      <c r="AB542" s="836"/>
      <c r="AC542" s="836"/>
      <c r="AD542" s="836"/>
      <c r="AE542" s="836"/>
      <c r="AF542" s="836"/>
      <c r="AG542" s="836"/>
      <c r="AH542" s="836"/>
      <c r="AI542" s="836"/>
      <c r="AJ542" s="836"/>
      <c r="AK542" s="836"/>
      <c r="AL542" s="836"/>
      <c r="AM542" s="836"/>
      <c r="AN542" s="836"/>
      <c r="AO542" s="836"/>
      <c r="AP542" s="836"/>
      <c r="AQ542" s="836"/>
      <c r="AR542" s="836"/>
      <c r="AS542" s="836"/>
      <c r="AT542" s="836"/>
      <c r="AU542" s="836"/>
      <c r="AV542" s="836"/>
      <c r="AW542" s="836"/>
    </row>
    <row r="543" spans="1:49" s="472" customFormat="1">
      <c r="A543" s="471" t="s">
        <v>82</v>
      </c>
      <c r="N543" s="617"/>
      <c r="O543" s="473"/>
      <c r="P543" s="473"/>
      <c r="Q543" s="473"/>
      <c r="R543" s="473"/>
      <c r="S543" s="473"/>
      <c r="T543" s="473"/>
      <c r="U543" s="473"/>
      <c r="V543" s="473"/>
      <c r="W543" s="473"/>
      <c r="X543" s="473"/>
      <c r="Y543" s="473"/>
      <c r="Z543" s="473"/>
      <c r="AA543" s="473"/>
      <c r="AB543" s="474"/>
      <c r="AC543" s="474"/>
      <c r="AD543" s="474"/>
      <c r="AE543" s="474"/>
      <c r="AF543" s="474"/>
      <c r="AG543" s="474"/>
      <c r="AH543" s="474"/>
      <c r="AI543" s="474"/>
      <c r="AJ543" s="474"/>
      <c r="AK543" s="474"/>
      <c r="AL543" s="474"/>
      <c r="AM543" s="474"/>
      <c r="AN543" s="474"/>
      <c r="AO543" s="474"/>
      <c r="AP543" s="474"/>
      <c r="AQ543" s="474"/>
      <c r="AR543" s="474"/>
      <c r="AS543" s="474"/>
      <c r="AT543" s="474"/>
      <c r="AU543" s="474"/>
      <c r="AV543" s="474"/>
      <c r="AW543" s="474"/>
    </row>
    <row r="544" spans="1:49" s="714" customFormat="1">
      <c r="A544" s="713" t="s">
        <v>5</v>
      </c>
      <c r="N544" s="715">
        <v>511</v>
      </c>
      <c r="O544" s="715">
        <v>354</v>
      </c>
      <c r="P544" s="715">
        <v>351</v>
      </c>
      <c r="Q544" s="715">
        <v>414</v>
      </c>
      <c r="R544" s="716">
        <v>985</v>
      </c>
      <c r="S544" s="716">
        <v>570</v>
      </c>
      <c r="T544" s="716">
        <v>338</v>
      </c>
      <c r="U544" s="716">
        <v>-55</v>
      </c>
      <c r="V544" s="716">
        <v>315</v>
      </c>
      <c r="W544" s="716">
        <v>410</v>
      </c>
      <c r="X544" s="716">
        <v>-88</v>
      </c>
      <c r="Y544" s="716">
        <v>-126</v>
      </c>
      <c r="Z544" s="716">
        <v>-541</v>
      </c>
      <c r="AA544" s="716">
        <v>-363</v>
      </c>
      <c r="AB544" s="716">
        <v>-165</v>
      </c>
      <c r="AC544" s="716">
        <v>-202</v>
      </c>
      <c r="AD544" s="716">
        <v>-206</v>
      </c>
      <c r="AE544" s="716">
        <v>-274</v>
      </c>
      <c r="AF544" s="716">
        <v>-255</v>
      </c>
      <c r="AG544" s="717">
        <f>(AG556+AG552)/(1-AG559)</f>
        <v>-217.77002291511991</v>
      </c>
      <c r="AH544" s="717">
        <f t="shared" ref="AH544:AS544" si="592">-AH556/(AH559-1)</f>
        <v>-270.94401307723746</v>
      </c>
      <c r="AI544" s="717">
        <f t="shared" si="592"/>
        <v>-250.10216591744995</v>
      </c>
      <c r="AJ544" s="717">
        <f t="shared" si="592"/>
        <v>-125.05108295872498</v>
      </c>
      <c r="AK544" s="717">
        <f t="shared" si="592"/>
        <v>-83.367388639149979</v>
      </c>
      <c r="AL544" s="717">
        <f t="shared" si="592"/>
        <v>-83.367388639149979</v>
      </c>
      <c r="AM544" s="717">
        <f t="shared" si="592"/>
        <v>-83.367388639149979</v>
      </c>
      <c r="AN544" s="717">
        <f t="shared" si="592"/>
        <v>-62.525541479362488</v>
      </c>
      <c r="AO544" s="717">
        <f t="shared" si="592"/>
        <v>-31.262770739681244</v>
      </c>
      <c r="AP544" s="717">
        <f t="shared" si="592"/>
        <v>-31.262770739681244</v>
      </c>
      <c r="AQ544" s="717">
        <f t="shared" si="592"/>
        <v>-31.262770739681244</v>
      </c>
      <c r="AR544" s="717">
        <f t="shared" si="592"/>
        <v>-31.262770739681244</v>
      </c>
      <c r="AS544" s="717">
        <f t="shared" si="592"/>
        <v>-31.262770739681244</v>
      </c>
      <c r="AT544" s="717">
        <f t="shared" ref="AT544:AW544" si="593">-AT556/(AT559-1)</f>
        <v>-31.262770739681244</v>
      </c>
      <c r="AU544" s="717">
        <f t="shared" si="593"/>
        <v>-31.262770739681244</v>
      </c>
      <c r="AV544" s="717">
        <f t="shared" si="593"/>
        <v>-31.262770739681244</v>
      </c>
      <c r="AW544" s="717">
        <f t="shared" si="593"/>
        <v>-31.262770739681244</v>
      </c>
    </row>
    <row r="545" spans="1:49" s="472" customFormat="1" ht="16.5" thickBot="1">
      <c r="A545" s="477" t="s">
        <v>135</v>
      </c>
      <c r="N545" s="478">
        <v>71</v>
      </c>
      <c r="O545" s="478">
        <v>122</v>
      </c>
      <c r="P545" s="478">
        <v>227</v>
      </c>
      <c r="Q545" s="478">
        <v>219</v>
      </c>
      <c r="R545" s="479">
        <v>360</v>
      </c>
      <c r="S545" s="479">
        <v>30</v>
      </c>
      <c r="T545" s="479">
        <v>41</v>
      </c>
      <c r="U545" s="479">
        <v>-4</v>
      </c>
      <c r="V545" s="479">
        <v>-26</v>
      </c>
      <c r="W545" s="479">
        <v>14</v>
      </c>
      <c r="X545" s="479">
        <v>3</v>
      </c>
      <c r="Y545" s="479">
        <v>20</v>
      </c>
      <c r="Z545" s="479">
        <v>17</v>
      </c>
      <c r="AA545" s="479">
        <v>-1</v>
      </c>
      <c r="AB545" s="479">
        <v>11</v>
      </c>
      <c r="AC545" s="479">
        <v>0</v>
      </c>
      <c r="AD545" s="479">
        <v>1</v>
      </c>
      <c r="AE545" s="479">
        <v>6</v>
      </c>
      <c r="AF545" s="479">
        <v>9</v>
      </c>
      <c r="AG545" s="474"/>
      <c r="AH545" s="474"/>
      <c r="AI545" s="474"/>
      <c r="AJ545" s="474"/>
      <c r="AK545" s="474"/>
      <c r="AL545" s="474"/>
      <c r="AM545" s="474"/>
      <c r="AN545" s="474"/>
      <c r="AO545" s="474"/>
      <c r="AP545" s="474"/>
      <c r="AQ545" s="474"/>
      <c r="AR545" s="474"/>
      <c r="AS545" s="474"/>
      <c r="AT545" s="474"/>
      <c r="AU545" s="474"/>
      <c r="AV545" s="474"/>
      <c r="AW545" s="474"/>
    </row>
    <row r="546" spans="1:49" s="472" customFormat="1" ht="16.5" thickBot="1">
      <c r="A546" s="480" t="s">
        <v>6</v>
      </c>
      <c r="N546" s="481">
        <v>6</v>
      </c>
      <c r="O546" s="481">
        <v>28</v>
      </c>
      <c r="P546" s="481">
        <v>21</v>
      </c>
      <c r="Q546" s="481">
        <v>22</v>
      </c>
      <c r="R546" s="482">
        <v>13</v>
      </c>
      <c r="S546" s="482">
        <v>-8</v>
      </c>
      <c r="T546" s="482">
        <v>7</v>
      </c>
      <c r="U546" s="482">
        <v>21</v>
      </c>
      <c r="V546" s="482">
        <v>4</v>
      </c>
      <c r="W546" s="482">
        <v>12</v>
      </c>
      <c r="X546" s="482">
        <v>21</v>
      </c>
      <c r="Y546" s="482">
        <v>100</v>
      </c>
      <c r="Z546" s="482">
        <v>115</v>
      </c>
      <c r="AA546" s="482">
        <v>-37</v>
      </c>
      <c r="AB546" s="482">
        <v>5</v>
      </c>
      <c r="AC546" s="482">
        <v>28</v>
      </c>
      <c r="AD546" s="482">
        <v>24</v>
      </c>
      <c r="AE546" s="482">
        <v>13</v>
      </c>
      <c r="AF546" s="482">
        <v>-8</v>
      </c>
      <c r="AG546" s="474"/>
      <c r="AH546" s="474"/>
      <c r="AI546" s="474"/>
      <c r="AJ546" s="474"/>
      <c r="AK546" s="474"/>
      <c r="AL546" s="474"/>
      <c r="AM546" s="474"/>
      <c r="AN546" s="474"/>
      <c r="AO546" s="474"/>
      <c r="AP546" s="474"/>
      <c r="AQ546" s="474"/>
      <c r="AR546" s="474"/>
      <c r="AS546" s="474"/>
      <c r="AT546" s="474"/>
      <c r="AU546" s="474"/>
      <c r="AV546" s="474"/>
      <c r="AW546" s="474"/>
    </row>
    <row r="547" spans="1:49" s="472" customFormat="1">
      <c r="A547" s="483" t="s">
        <v>7</v>
      </c>
      <c r="N547" s="484">
        <v>299</v>
      </c>
      <c r="O547" s="484">
        <v>292</v>
      </c>
      <c r="P547" s="484">
        <v>273</v>
      </c>
      <c r="Q547" s="484">
        <v>286</v>
      </c>
      <c r="R547" s="485">
        <v>308</v>
      </c>
      <c r="S547" s="485">
        <v>299</v>
      </c>
      <c r="T547" s="485">
        <v>310</v>
      </c>
      <c r="U547" s="485">
        <v>297</v>
      </c>
      <c r="V547" s="485">
        <v>296</v>
      </c>
      <c r="W547" s="485">
        <v>308</v>
      </c>
      <c r="X547" s="485">
        <v>305</v>
      </c>
      <c r="Y547" s="485">
        <v>259</v>
      </c>
      <c r="Z547" s="485">
        <v>210</v>
      </c>
      <c r="AA547" s="485">
        <v>162</v>
      </c>
      <c r="AB547" s="485">
        <v>134</v>
      </c>
      <c r="AC547" s="485">
        <v>106</v>
      </c>
      <c r="AD547" s="485">
        <v>88</v>
      </c>
      <c r="AE547" s="485">
        <v>94</v>
      </c>
      <c r="AF547" s="485">
        <v>85</v>
      </c>
      <c r="AG547" s="474"/>
      <c r="AH547" s="474"/>
      <c r="AI547" s="474"/>
      <c r="AJ547" s="474"/>
      <c r="AK547" s="474"/>
      <c r="AL547" s="474"/>
      <c r="AM547" s="474"/>
      <c r="AN547" s="474"/>
      <c r="AO547" s="474"/>
      <c r="AP547" s="474"/>
      <c r="AQ547" s="474"/>
      <c r="AR547" s="474"/>
      <c r="AS547" s="474"/>
      <c r="AT547" s="474"/>
      <c r="AU547" s="474"/>
      <c r="AV547" s="474"/>
      <c r="AW547" s="474"/>
    </row>
    <row r="548" spans="1:49" s="708" customFormat="1">
      <c r="A548" s="483" t="s">
        <v>8</v>
      </c>
      <c r="N548" s="618">
        <v>271</v>
      </c>
      <c r="O548" s="618">
        <v>442</v>
      </c>
      <c r="P548" s="618">
        <v>366</v>
      </c>
      <c r="Q548" s="618">
        <v>1659</v>
      </c>
      <c r="R548" s="619">
        <v>300</v>
      </c>
      <c r="S548" s="619">
        <v>2020</v>
      </c>
      <c r="T548" s="619">
        <v>485</v>
      </c>
      <c r="U548" s="619">
        <v>711</v>
      </c>
      <c r="V548" s="619">
        <v>277</v>
      </c>
      <c r="W548" s="619">
        <v>303</v>
      </c>
      <c r="X548" s="619">
        <v>319</v>
      </c>
      <c r="Y548" s="619">
        <v>640</v>
      </c>
      <c r="Z548" s="619">
        <v>292</v>
      </c>
      <c r="AA548" s="619">
        <v>230</v>
      </c>
      <c r="AB548" s="619">
        <v>514</v>
      </c>
      <c r="AC548" s="619">
        <v>2554</v>
      </c>
      <c r="AD548" s="619">
        <v>207</v>
      </c>
      <c r="AE548" s="619">
        <v>164</v>
      </c>
      <c r="AF548" s="619">
        <v>216</v>
      </c>
      <c r="AG548" s="709"/>
      <c r="AH548" s="709"/>
      <c r="AI548" s="709"/>
      <c r="AJ548" s="709"/>
      <c r="AK548" s="709"/>
      <c r="AL548" s="709"/>
      <c r="AM548" s="709"/>
      <c r="AN548" s="709"/>
      <c r="AO548" s="709"/>
      <c r="AP548" s="709"/>
      <c r="AQ548" s="709"/>
      <c r="AR548" s="709"/>
      <c r="AS548" s="709"/>
      <c r="AT548" s="709"/>
      <c r="AU548" s="709"/>
      <c r="AV548" s="709"/>
      <c r="AW548" s="709"/>
    </row>
    <row r="549" spans="1:49" s="708" customFormat="1">
      <c r="A549" s="710" t="s">
        <v>136</v>
      </c>
      <c r="N549" s="618">
        <v>103</v>
      </c>
      <c r="O549" s="618">
        <v>234</v>
      </c>
      <c r="P549" s="618">
        <v>155</v>
      </c>
      <c r="Q549" s="618">
        <v>1446</v>
      </c>
      <c r="R549" s="619">
        <v>77</v>
      </c>
      <c r="S549" s="619">
        <v>1778</v>
      </c>
      <c r="T549" s="619">
        <v>253</v>
      </c>
      <c r="U549" s="619">
        <v>428</v>
      </c>
      <c r="V549" s="619">
        <v>34</v>
      </c>
      <c r="W549" s="619">
        <v>28</v>
      </c>
      <c r="X549" s="619">
        <v>61</v>
      </c>
      <c r="Y549" s="619">
        <v>294</v>
      </c>
      <c r="Z549" s="619">
        <v>23</v>
      </c>
      <c r="AA549" s="619">
        <v>47</v>
      </c>
      <c r="AB549" s="619">
        <v>334</v>
      </c>
      <c r="AC549" s="619">
        <v>2388</v>
      </c>
      <c r="AD549" s="619">
        <v>81</v>
      </c>
      <c r="AE549" s="619">
        <v>28</v>
      </c>
      <c r="AF549" s="619">
        <v>100</v>
      </c>
      <c r="AG549" s="709"/>
      <c r="AH549" s="709"/>
      <c r="AI549" s="709"/>
      <c r="AJ549" s="709"/>
      <c r="AK549" s="709"/>
      <c r="AL549" s="709"/>
      <c r="AM549" s="709"/>
      <c r="AN549" s="709"/>
      <c r="AO549" s="709"/>
      <c r="AP549" s="709"/>
      <c r="AQ549" s="709"/>
      <c r="AR549" s="709"/>
      <c r="AS549" s="709"/>
      <c r="AT549" s="709"/>
      <c r="AU549" s="709"/>
      <c r="AV549" s="709"/>
      <c r="AW549" s="709"/>
    </row>
    <row r="550" spans="1:49" s="708" customFormat="1">
      <c r="A550" s="483" t="s">
        <v>9</v>
      </c>
      <c r="N550" s="618">
        <v>59</v>
      </c>
      <c r="O550" s="618">
        <v>51</v>
      </c>
      <c r="P550" s="618">
        <v>51</v>
      </c>
      <c r="Q550" s="618">
        <v>50</v>
      </c>
      <c r="R550" s="619">
        <v>47</v>
      </c>
      <c r="S550" s="619">
        <v>46</v>
      </c>
      <c r="T550" s="619">
        <v>47</v>
      </c>
      <c r="U550" s="619">
        <v>42</v>
      </c>
      <c r="V550" s="619">
        <v>43</v>
      </c>
      <c r="W550" s="619">
        <v>37</v>
      </c>
      <c r="X550" s="619">
        <v>42</v>
      </c>
      <c r="Y550" s="619">
        <v>41</v>
      </c>
      <c r="Z550" s="619">
        <v>16</v>
      </c>
      <c r="AA550" s="619">
        <v>21</v>
      </c>
      <c r="AB550" s="619">
        <v>13</v>
      </c>
      <c r="AC550" s="619">
        <v>4</v>
      </c>
      <c r="AD550" s="619">
        <v>7</v>
      </c>
      <c r="AE550" s="619">
        <v>7</v>
      </c>
      <c r="AF550" s="619">
        <v>9</v>
      </c>
      <c r="AG550" s="709"/>
      <c r="AH550" s="709"/>
      <c r="AI550" s="709"/>
      <c r="AJ550" s="709"/>
      <c r="AK550" s="709"/>
      <c r="AL550" s="709"/>
      <c r="AM550" s="709"/>
      <c r="AN550" s="709"/>
      <c r="AO550" s="709"/>
      <c r="AP550" s="709"/>
      <c r="AQ550" s="709"/>
      <c r="AR550" s="709"/>
      <c r="AS550" s="709"/>
      <c r="AT550" s="709"/>
      <c r="AU550" s="709"/>
      <c r="AV550" s="709"/>
      <c r="AW550" s="709"/>
    </row>
    <row r="551" spans="1:49" s="708" customFormat="1">
      <c r="A551" s="483" t="s">
        <v>71</v>
      </c>
      <c r="N551" s="711">
        <v>0</v>
      </c>
      <c r="O551" s="711">
        <v>0</v>
      </c>
      <c r="P551" s="711">
        <v>0</v>
      </c>
      <c r="Q551" s="712">
        <v>12</v>
      </c>
      <c r="R551" s="619">
        <v>0</v>
      </c>
      <c r="S551" s="619">
        <v>0</v>
      </c>
      <c r="T551" s="619">
        <v>0</v>
      </c>
      <c r="U551" s="619">
        <v>0</v>
      </c>
      <c r="V551" s="619">
        <v>0</v>
      </c>
      <c r="W551" s="619">
        <v>0</v>
      </c>
      <c r="X551" s="619">
        <v>0</v>
      </c>
      <c r="Y551" s="619">
        <v>0</v>
      </c>
      <c r="Z551" s="619">
        <v>0</v>
      </c>
      <c r="AA551" s="619">
        <v>0</v>
      </c>
      <c r="AB551" s="619">
        <v>0</v>
      </c>
      <c r="AC551" s="619">
        <v>0</v>
      </c>
      <c r="AD551" s="619">
        <v>0</v>
      </c>
      <c r="AE551" s="619">
        <v>0</v>
      </c>
      <c r="AF551" s="619">
        <v>0</v>
      </c>
      <c r="AG551" s="709"/>
      <c r="AH551" s="709"/>
      <c r="AI551" s="709"/>
      <c r="AJ551" s="709"/>
      <c r="AK551" s="709"/>
      <c r="AL551" s="709"/>
      <c r="AM551" s="709"/>
      <c r="AN551" s="709"/>
      <c r="AO551" s="709"/>
      <c r="AP551" s="709"/>
      <c r="AQ551" s="709"/>
      <c r="AR551" s="709"/>
      <c r="AS551" s="709"/>
      <c r="AT551" s="709"/>
      <c r="AU551" s="709"/>
      <c r="AV551" s="709"/>
      <c r="AW551" s="709"/>
    </row>
    <row r="552" spans="1:49" s="472" customFormat="1">
      <c r="A552" s="706" t="s">
        <v>10</v>
      </c>
      <c r="N552" s="707">
        <v>0</v>
      </c>
      <c r="O552" s="707">
        <v>0</v>
      </c>
      <c r="P552" s="707">
        <v>0</v>
      </c>
      <c r="Q552" s="707">
        <v>0</v>
      </c>
      <c r="R552" s="707">
        <v>0</v>
      </c>
      <c r="S552" s="707">
        <v>0</v>
      </c>
      <c r="T552" s="707">
        <v>0</v>
      </c>
      <c r="U552" s="707">
        <v>0</v>
      </c>
      <c r="V552" s="707">
        <v>0</v>
      </c>
      <c r="W552" s="707">
        <v>0</v>
      </c>
      <c r="X552" s="707">
        <v>0</v>
      </c>
      <c r="Y552" s="707">
        <v>156</v>
      </c>
      <c r="Z552" s="707">
        <v>79</v>
      </c>
      <c r="AA552" s="707">
        <v>20</v>
      </c>
      <c r="AB552" s="707">
        <v>21</v>
      </c>
      <c r="AC552" s="707">
        <v>1</v>
      </c>
      <c r="AD552" s="707">
        <v>7</v>
      </c>
      <c r="AE552" s="707">
        <v>11</v>
      </c>
      <c r="AF552" s="707">
        <v>21</v>
      </c>
      <c r="AG552" s="1027">
        <f>SUM($AA552:$AB552)/SUM($Z$479:$AA$479,$AA$552:$AB$552)*AG19</f>
        <v>37.565445026178011</v>
      </c>
      <c r="AH552" s="474"/>
      <c r="AI552" s="474"/>
      <c r="AJ552" s="474"/>
      <c r="AK552" s="474"/>
      <c r="AL552" s="474"/>
      <c r="AM552" s="474"/>
      <c r="AN552" s="474"/>
      <c r="AO552" s="474"/>
      <c r="AP552" s="474"/>
      <c r="AQ552" s="474"/>
      <c r="AR552" s="474"/>
      <c r="AS552" s="474"/>
      <c r="AT552" s="474"/>
      <c r="AU552" s="474"/>
      <c r="AV552" s="474"/>
      <c r="AW552" s="474"/>
    </row>
    <row r="553" spans="1:49" s="472" customFormat="1">
      <c r="A553" s="483" t="s">
        <v>11</v>
      </c>
      <c r="N553" s="618">
        <v>330</v>
      </c>
      <c r="O553" s="618">
        <v>493</v>
      </c>
      <c r="P553" s="618">
        <v>417</v>
      </c>
      <c r="Q553" s="618">
        <v>1721</v>
      </c>
      <c r="R553" s="619">
        <v>347</v>
      </c>
      <c r="S553" s="619">
        <v>2066</v>
      </c>
      <c r="T553" s="619">
        <v>532</v>
      </c>
      <c r="U553" s="619">
        <v>753</v>
      </c>
      <c r="V553" s="619">
        <v>320</v>
      </c>
      <c r="W553" s="619">
        <v>340</v>
      </c>
      <c r="X553" s="619">
        <v>361</v>
      </c>
      <c r="Y553" s="619">
        <v>837</v>
      </c>
      <c r="Z553" s="619">
        <v>387</v>
      </c>
      <c r="AA553" s="619">
        <v>271</v>
      </c>
      <c r="AB553" s="619">
        <v>548</v>
      </c>
      <c r="AC553" s="619">
        <v>2559</v>
      </c>
      <c r="AD553" s="619">
        <v>221</v>
      </c>
      <c r="AE553" s="619">
        <v>182</v>
      </c>
      <c r="AF553" s="619">
        <v>246</v>
      </c>
      <c r="AG553" s="474"/>
      <c r="AH553" s="474"/>
      <c r="AI553" s="474"/>
      <c r="AJ553" s="474"/>
      <c r="AK553" s="474"/>
      <c r="AL553" s="474"/>
      <c r="AM553" s="474"/>
      <c r="AN553" s="474"/>
      <c r="AO553" s="474"/>
      <c r="AP553" s="474"/>
      <c r="AQ553" s="474"/>
      <c r="AR553" s="474"/>
      <c r="AS553" s="474"/>
      <c r="AT553" s="474"/>
      <c r="AU553" s="474"/>
      <c r="AV553" s="474"/>
      <c r="AW553" s="474"/>
    </row>
    <row r="554" spans="1:49" s="714" customFormat="1">
      <c r="A554" s="718" t="s">
        <v>12</v>
      </c>
      <c r="N554" s="715">
        <v>629</v>
      </c>
      <c r="O554" s="715">
        <v>785</v>
      </c>
      <c r="P554" s="715">
        <v>690</v>
      </c>
      <c r="Q554" s="715">
        <v>2007</v>
      </c>
      <c r="R554" s="716">
        <v>655</v>
      </c>
      <c r="S554" s="716">
        <v>2365</v>
      </c>
      <c r="T554" s="716">
        <v>842</v>
      </c>
      <c r="U554" s="716">
        <v>1050</v>
      </c>
      <c r="V554" s="716">
        <v>616</v>
      </c>
      <c r="W554" s="716">
        <v>648</v>
      </c>
      <c r="X554" s="716">
        <v>666</v>
      </c>
      <c r="Y554" s="716">
        <v>1096</v>
      </c>
      <c r="Z554" s="716">
        <v>597</v>
      </c>
      <c r="AA554" s="716">
        <v>433</v>
      </c>
      <c r="AB554" s="716">
        <v>682</v>
      </c>
      <c r="AC554" s="716">
        <v>2665</v>
      </c>
      <c r="AD554" s="716">
        <v>309</v>
      </c>
      <c r="AE554" s="716">
        <v>276</v>
      </c>
      <c r="AF554" s="716">
        <v>331</v>
      </c>
      <c r="AG554" s="717">
        <f>AG559*AG544+AG552</f>
        <v>342.22997708488003</v>
      </c>
      <c r="AH554" s="717">
        <f t="shared" ref="AH554:AS554" si="594">AH559*AH544-AH552</f>
        <v>379.0559869227626</v>
      </c>
      <c r="AI554" s="717">
        <f t="shared" si="594"/>
        <v>349.89783408255005</v>
      </c>
      <c r="AJ554" s="717">
        <f t="shared" si="594"/>
        <v>174.94891704127502</v>
      </c>
      <c r="AK554" s="717">
        <f t="shared" si="594"/>
        <v>116.63261136085001</v>
      </c>
      <c r="AL554" s="717">
        <f t="shared" si="594"/>
        <v>116.63261136085001</v>
      </c>
      <c r="AM554" s="717">
        <f t="shared" si="594"/>
        <v>116.63261136085001</v>
      </c>
      <c r="AN554" s="717">
        <f t="shared" si="594"/>
        <v>87.474458520637512</v>
      </c>
      <c r="AO554" s="717">
        <f t="shared" si="594"/>
        <v>43.737229260318756</v>
      </c>
      <c r="AP554" s="717">
        <f t="shared" si="594"/>
        <v>43.737229260318756</v>
      </c>
      <c r="AQ554" s="717">
        <f t="shared" si="594"/>
        <v>43.737229260318756</v>
      </c>
      <c r="AR554" s="717">
        <f t="shared" si="594"/>
        <v>43.737229260318756</v>
      </c>
      <c r="AS554" s="717">
        <f t="shared" si="594"/>
        <v>43.737229260318756</v>
      </c>
      <c r="AT554" s="717">
        <f t="shared" ref="AT554:AW554" si="595">AT559*AT544-AT552</f>
        <v>43.737229260318756</v>
      </c>
      <c r="AU554" s="717">
        <f t="shared" si="595"/>
        <v>43.737229260318756</v>
      </c>
      <c r="AV554" s="717">
        <f t="shared" si="595"/>
        <v>43.737229260318756</v>
      </c>
      <c r="AW554" s="717">
        <f t="shared" si="595"/>
        <v>43.737229260318756</v>
      </c>
    </row>
    <row r="555" spans="1:49" s="472" customFormat="1">
      <c r="A555" s="710" t="s">
        <v>135</v>
      </c>
      <c r="N555" s="618">
        <v>2</v>
      </c>
      <c r="O555" s="618">
        <v>17</v>
      </c>
      <c r="P555" s="618">
        <v>5</v>
      </c>
      <c r="Q555" s="618">
        <v>23</v>
      </c>
      <c r="R555" s="619">
        <v>17</v>
      </c>
      <c r="S555" s="619">
        <v>6</v>
      </c>
      <c r="T555" s="619">
        <v>4</v>
      </c>
      <c r="U555" s="619">
        <v>5</v>
      </c>
      <c r="V555" s="619">
        <v>1</v>
      </c>
      <c r="W555" s="619">
        <v>4</v>
      </c>
      <c r="X555" s="619">
        <v>12</v>
      </c>
      <c r="Y555" s="619">
        <v>5</v>
      </c>
      <c r="Z555" s="619">
        <v>18</v>
      </c>
      <c r="AA555" s="619">
        <v>-4</v>
      </c>
      <c r="AB555" s="619">
        <v>7</v>
      </c>
      <c r="AC555" s="619">
        <v>2</v>
      </c>
      <c r="AD555" s="619">
        <v>4</v>
      </c>
      <c r="AE555" s="619">
        <v>2</v>
      </c>
      <c r="AF555" s="619">
        <v>2</v>
      </c>
      <c r="AG555" s="474"/>
      <c r="AH555" s="474"/>
      <c r="AI555" s="474"/>
      <c r="AJ555" s="474"/>
      <c r="AK555" s="474"/>
      <c r="AL555" s="474"/>
      <c r="AM555" s="474"/>
      <c r="AN555" s="474"/>
      <c r="AO555" s="474"/>
      <c r="AP555" s="474"/>
      <c r="AQ555" s="474"/>
      <c r="AR555" s="474"/>
      <c r="AS555" s="474"/>
      <c r="AT555" s="474"/>
      <c r="AU555" s="474"/>
      <c r="AV555" s="474"/>
      <c r="AW555" s="474"/>
    </row>
    <row r="556" spans="1:49" s="714" customFormat="1">
      <c r="A556" s="722" t="s">
        <v>87</v>
      </c>
      <c r="N556" s="715">
        <v>-124</v>
      </c>
      <c r="O556" s="715">
        <v>-459</v>
      </c>
      <c r="P556" s="715">
        <v>-360</v>
      </c>
      <c r="Q556" s="715">
        <v>-1615</v>
      </c>
      <c r="R556" s="716">
        <v>317</v>
      </c>
      <c r="S556" s="716">
        <v>-1787</v>
      </c>
      <c r="T556" s="716">
        <v>-511</v>
      </c>
      <c r="U556" s="716">
        <v>-1126</v>
      </c>
      <c r="V556" s="716">
        <v>-305</v>
      </c>
      <c r="W556" s="716">
        <v>-250</v>
      </c>
      <c r="X556" s="716">
        <v>-775</v>
      </c>
      <c r="Y556" s="716">
        <v>-1322</v>
      </c>
      <c r="Z556" s="716">
        <v>-1253</v>
      </c>
      <c r="AA556" s="716">
        <v>-759</v>
      </c>
      <c r="AB556" s="716">
        <v>-852</v>
      </c>
      <c r="AC556" s="716">
        <v>-2895</v>
      </c>
      <c r="AD556" s="716">
        <v>-539</v>
      </c>
      <c r="AE556" s="716">
        <v>-563</v>
      </c>
      <c r="AF556" s="716">
        <v>-578</v>
      </c>
      <c r="AG556" s="717">
        <f>AVERAGE(AD556:AF556)</f>
        <v>-560</v>
      </c>
      <c r="AH556" s="1269">
        <v>-650</v>
      </c>
      <c r="AI556" s="717">
        <v>-600</v>
      </c>
      <c r="AJ556" s="717">
        <v>-300</v>
      </c>
      <c r="AK556" s="717">
        <v>-200</v>
      </c>
      <c r="AL556" s="1269">
        <v>-200</v>
      </c>
      <c r="AM556" s="717">
        <v>-200</v>
      </c>
      <c r="AN556" s="717">
        <v>-150</v>
      </c>
      <c r="AO556" s="717">
        <v>-75</v>
      </c>
      <c r="AP556" s="717">
        <f>AO556</f>
        <v>-75</v>
      </c>
      <c r="AQ556" s="717">
        <f t="shared" ref="AQ556:AS556" si="596">AP556</f>
        <v>-75</v>
      </c>
      <c r="AR556" s="717">
        <f t="shared" si="596"/>
        <v>-75</v>
      </c>
      <c r="AS556" s="717">
        <f t="shared" si="596"/>
        <v>-75</v>
      </c>
      <c r="AT556" s="717">
        <f t="shared" ref="AT556" si="597">AS556</f>
        <v>-75</v>
      </c>
      <c r="AU556" s="717">
        <f t="shared" ref="AU556" si="598">AT556</f>
        <v>-75</v>
      </c>
      <c r="AV556" s="717">
        <f t="shared" ref="AV556" si="599">AU556</f>
        <v>-75</v>
      </c>
      <c r="AW556" s="717">
        <f t="shared" ref="AW556" si="600">AV556</f>
        <v>-75</v>
      </c>
    </row>
    <row r="557" spans="1:49" s="472" customFormat="1">
      <c r="A557" s="719" t="s">
        <v>135</v>
      </c>
      <c r="N557" s="720">
        <v>69</v>
      </c>
      <c r="O557" s="720">
        <v>105</v>
      </c>
      <c r="P557" s="720">
        <v>222</v>
      </c>
      <c r="Q557" s="720">
        <v>196</v>
      </c>
      <c r="R557" s="721">
        <v>343</v>
      </c>
      <c r="S557" s="721">
        <v>24</v>
      </c>
      <c r="T557" s="721">
        <v>37</v>
      </c>
      <c r="U557" s="721">
        <v>-9</v>
      </c>
      <c r="V557" s="721">
        <v>-27</v>
      </c>
      <c r="W557" s="721">
        <v>10</v>
      </c>
      <c r="X557" s="721">
        <v>-9</v>
      </c>
      <c r="Y557" s="721">
        <v>15</v>
      </c>
      <c r="Z557" s="721">
        <v>-1</v>
      </c>
      <c r="AA557" s="721">
        <v>3</v>
      </c>
      <c r="AB557" s="721">
        <v>4</v>
      </c>
      <c r="AC557" s="721">
        <v>-2</v>
      </c>
      <c r="AD557" s="721">
        <v>-3</v>
      </c>
      <c r="AE557" s="721">
        <v>4</v>
      </c>
      <c r="AF557" s="721">
        <v>7</v>
      </c>
      <c r="AG557" s="474"/>
      <c r="AH557" s="474"/>
      <c r="AI557" s="474"/>
      <c r="AJ557" s="474"/>
      <c r="AK557" s="474"/>
      <c r="AL557" s="474"/>
      <c r="AM557" s="474"/>
      <c r="AN557" s="474"/>
      <c r="AO557" s="474"/>
      <c r="AP557" s="474"/>
      <c r="AQ557" s="474"/>
      <c r="AR557" s="474"/>
      <c r="AS557" s="474"/>
      <c r="AT557" s="474"/>
      <c r="AU557" s="474"/>
      <c r="AV557" s="474"/>
      <c r="AW557" s="474"/>
    </row>
    <row r="558" spans="1:49" s="472" customFormat="1">
      <c r="A558" s="489"/>
      <c r="N558" s="490"/>
      <c r="O558" s="490"/>
      <c r="P558" s="490"/>
      <c r="Q558" s="490"/>
      <c r="R558" s="491"/>
      <c r="S558" s="491"/>
      <c r="T558" s="491"/>
      <c r="U558" s="491"/>
      <c r="V558" s="491"/>
      <c r="W558" s="491"/>
      <c r="X558" s="491"/>
      <c r="Y558" s="491"/>
      <c r="Z558" s="491"/>
      <c r="AA558" s="491"/>
      <c r="AB558" s="491"/>
      <c r="AC558" s="491"/>
      <c r="AD558" s="491"/>
      <c r="AE558" s="491"/>
      <c r="AF558" s="491"/>
      <c r="AG558" s="474"/>
      <c r="AH558" s="474"/>
      <c r="AI558" s="474"/>
      <c r="AJ558" s="474"/>
      <c r="AK558" s="474"/>
      <c r="AL558" s="474"/>
      <c r="AM558" s="474"/>
      <c r="AN558" s="474"/>
      <c r="AO558" s="474"/>
      <c r="AP558" s="474"/>
      <c r="AQ558" s="474"/>
      <c r="AR558" s="474"/>
      <c r="AS558" s="474"/>
      <c r="AT558" s="474"/>
      <c r="AU558" s="474"/>
      <c r="AV558" s="474"/>
      <c r="AW558" s="474"/>
    </row>
    <row r="559" spans="1:49" s="724" customFormat="1">
      <c r="A559" s="723" t="s">
        <v>159</v>
      </c>
      <c r="N559" s="1105">
        <f t="shared" ref="N559:U559" si="601">N554/N544</f>
        <v>1.2309197651663406</v>
      </c>
      <c r="O559" s="1105">
        <f t="shared" si="601"/>
        <v>2.2175141242937855</v>
      </c>
      <c r="P559" s="1105">
        <f t="shared" si="601"/>
        <v>1.9658119658119657</v>
      </c>
      <c r="Q559" s="1105">
        <f t="shared" si="601"/>
        <v>4.8478260869565215</v>
      </c>
      <c r="R559" s="1105">
        <f t="shared" si="601"/>
        <v>0.6649746192893401</v>
      </c>
      <c r="S559" s="1105">
        <f t="shared" si="601"/>
        <v>4.1491228070175437</v>
      </c>
      <c r="T559" s="1105">
        <f t="shared" si="601"/>
        <v>2.4911242603550297</v>
      </c>
      <c r="U559" s="1105">
        <f t="shared" si="601"/>
        <v>-19.09090909090909</v>
      </c>
      <c r="V559" s="1105">
        <f t="shared" ref="V559:AF559" si="602">V554/V544</f>
        <v>1.9555555555555555</v>
      </c>
      <c r="W559" s="1105">
        <f t="shared" si="602"/>
        <v>1.5804878048780489</v>
      </c>
      <c r="X559" s="1105">
        <f t="shared" si="602"/>
        <v>-7.5681818181818183</v>
      </c>
      <c r="Y559" s="1105">
        <f t="shared" si="602"/>
        <v>-8.6984126984126977</v>
      </c>
      <c r="Z559" s="1105">
        <f t="shared" si="602"/>
        <v>-1.1035120147874307</v>
      </c>
      <c r="AA559" s="1105">
        <f t="shared" si="602"/>
        <v>-1.1928374655647382</v>
      </c>
      <c r="AB559" s="1105">
        <f t="shared" si="602"/>
        <v>-4.1333333333333337</v>
      </c>
      <c r="AC559" s="1105">
        <f t="shared" si="602"/>
        <v>-13.193069306930694</v>
      </c>
      <c r="AD559" s="1105">
        <f t="shared" si="602"/>
        <v>-1.5</v>
      </c>
      <c r="AE559" s="1105">
        <f t="shared" si="602"/>
        <v>-1.0072992700729928</v>
      </c>
      <c r="AF559" s="1105">
        <f t="shared" si="602"/>
        <v>-1.2980392156862746</v>
      </c>
      <c r="AG559" s="725">
        <f t="shared" ref="AG559" si="603">MEDIAN(AA559:AF559)</f>
        <v>-1.3990196078431372</v>
      </c>
      <c r="AH559" s="725">
        <f>AG559</f>
        <v>-1.3990196078431372</v>
      </c>
      <c r="AI559" s="725">
        <f t="shared" ref="AI559:AS559" si="604">AH559</f>
        <v>-1.3990196078431372</v>
      </c>
      <c r="AJ559" s="725">
        <f t="shared" si="604"/>
        <v>-1.3990196078431372</v>
      </c>
      <c r="AK559" s="725">
        <f t="shared" si="604"/>
        <v>-1.3990196078431372</v>
      </c>
      <c r="AL559" s="725">
        <f t="shared" si="604"/>
        <v>-1.3990196078431372</v>
      </c>
      <c r="AM559" s="725">
        <f t="shared" si="604"/>
        <v>-1.3990196078431372</v>
      </c>
      <c r="AN559" s="725">
        <f t="shared" si="604"/>
        <v>-1.3990196078431372</v>
      </c>
      <c r="AO559" s="725">
        <f t="shared" si="604"/>
        <v>-1.3990196078431372</v>
      </c>
      <c r="AP559" s="725">
        <f t="shared" si="604"/>
        <v>-1.3990196078431372</v>
      </c>
      <c r="AQ559" s="725">
        <f t="shared" si="604"/>
        <v>-1.3990196078431372</v>
      </c>
      <c r="AR559" s="725">
        <f t="shared" si="604"/>
        <v>-1.3990196078431372</v>
      </c>
      <c r="AS559" s="725">
        <f t="shared" si="604"/>
        <v>-1.3990196078431372</v>
      </c>
      <c r="AT559" s="725">
        <f t="shared" ref="AT559" si="605">AS559</f>
        <v>-1.3990196078431372</v>
      </c>
      <c r="AU559" s="725">
        <f t="shared" ref="AU559" si="606">AT559</f>
        <v>-1.3990196078431372</v>
      </c>
      <c r="AV559" s="725">
        <f t="shared" ref="AV559" si="607">AU559</f>
        <v>-1.3990196078431372</v>
      </c>
      <c r="AW559" s="725">
        <f t="shared" ref="AW559" si="608">AV559</f>
        <v>-1.3990196078431372</v>
      </c>
    </row>
    <row r="560" spans="1:49" s="472" customFormat="1">
      <c r="A560" s="489"/>
      <c r="N560" s="490"/>
      <c r="O560" s="490"/>
      <c r="P560" s="490"/>
      <c r="Q560" s="490"/>
      <c r="R560" s="491"/>
      <c r="S560" s="491"/>
      <c r="T560" s="491"/>
      <c r="U560" s="491"/>
      <c r="V560" s="491"/>
      <c r="W560" s="491"/>
      <c r="X560" s="491"/>
      <c r="Y560" s="491"/>
      <c r="Z560" s="491"/>
      <c r="AA560" s="491"/>
      <c r="AB560" s="491"/>
      <c r="AC560" s="491"/>
      <c r="AD560" s="491"/>
      <c r="AE560" s="491"/>
      <c r="AF560" s="491"/>
      <c r="AG560" s="474"/>
      <c r="AH560" s="474"/>
      <c r="AI560" s="474"/>
      <c r="AJ560" s="474"/>
      <c r="AK560" s="474"/>
      <c r="AL560" s="474"/>
      <c r="AM560" s="474"/>
      <c r="AN560" s="474"/>
      <c r="AO560" s="474"/>
      <c r="AP560" s="474"/>
      <c r="AQ560" s="474"/>
      <c r="AR560" s="474"/>
      <c r="AS560" s="474"/>
      <c r="AT560" s="474"/>
      <c r="AU560" s="474"/>
      <c r="AV560" s="474"/>
      <c r="AW560" s="474"/>
    </row>
    <row r="561" spans="1:49" s="472" customFormat="1">
      <c r="A561" s="489"/>
      <c r="N561" s="490"/>
      <c r="O561" s="490"/>
      <c r="P561" s="490"/>
      <c r="Q561" s="490"/>
      <c r="R561" s="491"/>
      <c r="S561" s="491"/>
      <c r="T561" s="491"/>
      <c r="U561" s="491"/>
      <c r="V561" s="491"/>
      <c r="W561" s="491"/>
      <c r="X561" s="491"/>
      <c r="Y561" s="491"/>
      <c r="Z561" s="491"/>
      <c r="AA561" s="491"/>
      <c r="AB561" s="491"/>
      <c r="AC561" s="491"/>
      <c r="AD561" s="491"/>
      <c r="AE561" s="491"/>
      <c r="AF561" s="491"/>
      <c r="AG561" s="474"/>
      <c r="AH561" s="474"/>
      <c r="AI561" s="474"/>
      <c r="AJ561" s="474"/>
      <c r="AK561" s="474"/>
      <c r="AL561" s="474"/>
      <c r="AM561" s="474"/>
      <c r="AN561" s="474"/>
      <c r="AO561" s="474"/>
      <c r="AP561" s="474"/>
      <c r="AQ561" s="474"/>
      <c r="AR561" s="474"/>
      <c r="AS561" s="474"/>
      <c r="AT561" s="474"/>
      <c r="AU561" s="474"/>
      <c r="AV561" s="474"/>
      <c r="AW561" s="474"/>
    </row>
    <row r="562" spans="1:49" s="472" customFormat="1">
      <c r="A562" s="471" t="s">
        <v>102</v>
      </c>
      <c r="N562" s="492"/>
      <c r="O562" s="492"/>
      <c r="P562" s="492"/>
      <c r="Q562" s="492"/>
      <c r="R562" s="493"/>
      <c r="S562" s="493"/>
      <c r="T562" s="493"/>
      <c r="U562" s="493"/>
      <c r="V562" s="493"/>
      <c r="W562" s="493"/>
      <c r="X562" s="493"/>
      <c r="Y562" s="493"/>
      <c r="Z562" s="493"/>
      <c r="AA562" s="493"/>
      <c r="AB562" s="493"/>
      <c r="AC562" s="493"/>
      <c r="AD562" s="493"/>
      <c r="AE562" s="493"/>
      <c r="AF562" s="493"/>
      <c r="AG562" s="1434"/>
      <c r="AH562" s="474"/>
      <c r="AI562" s="474"/>
      <c r="AJ562" s="474"/>
      <c r="AK562" s="474"/>
      <c r="AL562" s="474"/>
      <c r="AM562" s="474"/>
      <c r="AN562" s="474"/>
      <c r="AO562" s="474"/>
      <c r="AP562" s="474"/>
      <c r="AQ562" s="474"/>
      <c r="AR562" s="474"/>
      <c r="AS562" s="474"/>
      <c r="AT562" s="474"/>
      <c r="AU562" s="474"/>
      <c r="AV562" s="474"/>
      <c r="AW562" s="474"/>
    </row>
    <row r="563" spans="1:49" s="472" customFormat="1">
      <c r="A563" s="486" t="s">
        <v>137</v>
      </c>
      <c r="N563" s="620">
        <v>236</v>
      </c>
      <c r="O563" s="620">
        <v>213</v>
      </c>
      <c r="P563" s="620">
        <v>188</v>
      </c>
      <c r="Q563" s="620">
        <v>219</v>
      </c>
      <c r="R563" s="621">
        <v>212</v>
      </c>
      <c r="S563" s="621">
        <v>199</v>
      </c>
      <c r="T563" s="621">
        <v>311</v>
      </c>
      <c r="U563" s="621">
        <v>189</v>
      </c>
      <c r="V563" s="621">
        <v>188</v>
      </c>
      <c r="W563" s="621">
        <v>200</v>
      </c>
      <c r="X563" s="621">
        <v>191</v>
      </c>
      <c r="Y563" s="621">
        <v>178</v>
      </c>
      <c r="Z563" s="621">
        <v>119</v>
      </c>
      <c r="AA563" s="621">
        <v>10</v>
      </c>
      <c r="AB563" s="621">
        <v>16</v>
      </c>
      <c r="AC563" s="621">
        <v>9</v>
      </c>
      <c r="AD563" s="621">
        <v>35</v>
      </c>
      <c r="AE563" s="621">
        <v>-3</v>
      </c>
      <c r="AF563" s="621">
        <v>-1</v>
      </c>
      <c r="AG563" s="474"/>
      <c r="AH563" s="474"/>
      <c r="AI563" s="474"/>
      <c r="AJ563" s="474"/>
      <c r="AK563" s="474"/>
      <c r="AL563" s="474"/>
      <c r="AM563" s="474"/>
      <c r="AN563" s="474"/>
      <c r="AO563" s="474"/>
      <c r="AP563" s="474"/>
      <c r="AQ563" s="474"/>
      <c r="AR563" s="474"/>
      <c r="AS563" s="474"/>
      <c r="AT563" s="474"/>
      <c r="AU563" s="474"/>
      <c r="AV563" s="474"/>
      <c r="AW563" s="474"/>
    </row>
    <row r="564" spans="1:49" s="472" customFormat="1">
      <c r="A564" s="487" t="s">
        <v>138</v>
      </c>
      <c r="N564" s="622">
        <v>126</v>
      </c>
      <c r="O564" s="622">
        <v>129</v>
      </c>
      <c r="P564" s="622">
        <v>127</v>
      </c>
      <c r="Q564" s="622">
        <v>131</v>
      </c>
      <c r="R564" s="623">
        <v>112</v>
      </c>
      <c r="S564" s="623">
        <v>106</v>
      </c>
      <c r="T564" s="623">
        <v>94</v>
      </c>
      <c r="U564" s="623">
        <v>91</v>
      </c>
      <c r="V564" s="623">
        <v>77</v>
      </c>
      <c r="W564" s="623">
        <v>75</v>
      </c>
      <c r="X564" s="623">
        <v>71</v>
      </c>
      <c r="Y564" s="623">
        <v>68</v>
      </c>
      <c r="Z564" s="623">
        <v>58</v>
      </c>
      <c r="AA564" s="623">
        <v>49</v>
      </c>
      <c r="AB564" s="623">
        <v>46</v>
      </c>
      <c r="AC564" s="623">
        <v>41</v>
      </c>
      <c r="AD564" s="623">
        <v>37</v>
      </c>
      <c r="AE564" s="623">
        <v>34</v>
      </c>
      <c r="AF564" s="623">
        <v>26</v>
      </c>
      <c r="AG564" s="474"/>
      <c r="AH564" s="474"/>
      <c r="AI564" s="474"/>
      <c r="AJ564" s="474"/>
      <c r="AK564" s="474"/>
      <c r="AL564" s="474"/>
      <c r="AM564" s="474"/>
      <c r="AN564" s="474"/>
      <c r="AO564" s="474"/>
      <c r="AP564" s="474"/>
      <c r="AQ564" s="474"/>
      <c r="AR564" s="474"/>
      <c r="AS564" s="474"/>
      <c r="AT564" s="474"/>
      <c r="AU564" s="474"/>
      <c r="AV564" s="474"/>
      <c r="AW564" s="474"/>
    </row>
    <row r="565" spans="1:49" s="472" customFormat="1">
      <c r="A565" s="487" t="s">
        <v>139</v>
      </c>
      <c r="N565" s="622">
        <v>112</v>
      </c>
      <c r="O565" s="622">
        <v>83</v>
      </c>
      <c r="P565" s="622">
        <v>290</v>
      </c>
      <c r="Q565" s="622">
        <v>-2</v>
      </c>
      <c r="R565" s="623">
        <v>142</v>
      </c>
      <c r="S565" s="623">
        <v>40</v>
      </c>
      <c r="T565" s="623">
        <v>15</v>
      </c>
      <c r="U565" s="623">
        <v>-30</v>
      </c>
      <c r="V565" s="623">
        <v>-43</v>
      </c>
      <c r="W565" s="623">
        <v>16</v>
      </c>
      <c r="X565" s="623">
        <v>-18</v>
      </c>
      <c r="Y565" s="623">
        <v>-64</v>
      </c>
      <c r="Z565" s="623">
        <v>-37</v>
      </c>
      <c r="AA565" s="623">
        <v>-21</v>
      </c>
      <c r="AB565" s="623">
        <v>2</v>
      </c>
      <c r="AC565" s="623">
        <v>-34</v>
      </c>
      <c r="AD565" s="623">
        <v>-4</v>
      </c>
      <c r="AE565" s="623">
        <v>22</v>
      </c>
      <c r="AF565" s="623">
        <v>-85</v>
      </c>
      <c r="AG565" s="474"/>
      <c r="AH565" s="474"/>
      <c r="AI565" s="474"/>
      <c r="AJ565" s="474"/>
      <c r="AK565" s="474"/>
      <c r="AL565" s="474"/>
      <c r="AM565" s="474"/>
      <c r="AN565" s="474"/>
      <c r="AO565" s="474"/>
      <c r="AP565" s="474"/>
      <c r="AQ565" s="474"/>
      <c r="AR565" s="474"/>
      <c r="AS565" s="474"/>
      <c r="AT565" s="474"/>
      <c r="AU565" s="474"/>
      <c r="AV565" s="474"/>
      <c r="AW565" s="474"/>
    </row>
    <row r="566" spans="1:49" s="472" customFormat="1">
      <c r="A566" s="487" t="s">
        <v>140</v>
      </c>
      <c r="N566" s="622">
        <v>114</v>
      </c>
      <c r="O566" s="622">
        <v>-36</v>
      </c>
      <c r="P566" s="622">
        <v>-117</v>
      </c>
      <c r="Q566" s="622">
        <v>-65</v>
      </c>
      <c r="R566" s="623">
        <v>288</v>
      </c>
      <c r="S566" s="623">
        <v>239</v>
      </c>
      <c r="T566" s="623">
        <v>24</v>
      </c>
      <c r="U566" s="623">
        <v>-268</v>
      </c>
      <c r="V566" s="623">
        <v>157</v>
      </c>
      <c r="W566" s="623">
        <v>141</v>
      </c>
      <c r="X566" s="623">
        <v>-297</v>
      </c>
      <c r="Y566" s="623">
        <v>-282</v>
      </c>
      <c r="Z566" s="623">
        <v>-611</v>
      </c>
      <c r="AA566" s="623">
        <v>-317</v>
      </c>
      <c r="AB566" s="623">
        <v>-171</v>
      </c>
      <c r="AC566" s="623">
        <v>-154</v>
      </c>
      <c r="AD566" s="623">
        <v>-214</v>
      </c>
      <c r="AE566" s="623">
        <v>-247</v>
      </c>
      <c r="AF566" s="623">
        <v>-115</v>
      </c>
      <c r="AG566" s="474"/>
      <c r="AH566" s="474"/>
      <c r="AI566" s="474"/>
      <c r="AJ566" s="474"/>
      <c r="AK566" s="474"/>
      <c r="AL566" s="474"/>
      <c r="AM566" s="474"/>
      <c r="AN566" s="474"/>
      <c r="AO566" s="474"/>
      <c r="AP566" s="474"/>
      <c r="AQ566" s="474"/>
      <c r="AR566" s="474"/>
      <c r="AS566" s="474"/>
      <c r="AT566" s="474"/>
      <c r="AU566" s="474"/>
      <c r="AV566" s="474"/>
      <c r="AW566" s="474"/>
    </row>
    <row r="567" spans="1:49" s="472" customFormat="1">
      <c r="A567" s="487" t="s">
        <v>141</v>
      </c>
      <c r="N567" s="622">
        <v>-128</v>
      </c>
      <c r="O567" s="622">
        <v>-130</v>
      </c>
      <c r="P567" s="622">
        <v>-126</v>
      </c>
      <c r="Q567" s="622">
        <v>-97</v>
      </c>
      <c r="R567" s="623">
        <v>-52</v>
      </c>
      <c r="S567" s="623">
        <v>-55</v>
      </c>
      <c r="T567" s="623">
        <v>-56</v>
      </c>
      <c r="U567" s="623">
        <v>-56</v>
      </c>
      <c r="V567" s="623">
        <v>-62</v>
      </c>
      <c r="W567" s="623">
        <v>-60</v>
      </c>
      <c r="X567" s="623">
        <v>-61</v>
      </c>
      <c r="Y567" s="623">
        <v>-68</v>
      </c>
      <c r="Z567" s="623">
        <v>-82</v>
      </c>
      <c r="AA567" s="623">
        <v>-89</v>
      </c>
      <c r="AB567" s="623">
        <v>-75</v>
      </c>
      <c r="AC567" s="623">
        <v>-69</v>
      </c>
      <c r="AD567" s="623">
        <v>-65</v>
      </c>
      <c r="AE567" s="623">
        <v>-92</v>
      </c>
      <c r="AF567" s="623">
        <v>-90</v>
      </c>
      <c r="AG567" s="474"/>
      <c r="AH567" s="474"/>
      <c r="AI567" s="474"/>
      <c r="AJ567" s="474"/>
      <c r="AK567" s="474"/>
      <c r="AL567" s="474"/>
      <c r="AM567" s="474"/>
      <c r="AN567" s="474"/>
      <c r="AO567" s="474"/>
      <c r="AP567" s="474"/>
      <c r="AQ567" s="474"/>
      <c r="AR567" s="474"/>
      <c r="AS567" s="474"/>
      <c r="AT567" s="474"/>
      <c r="AU567" s="474"/>
      <c r="AV567" s="474"/>
      <c r="AW567" s="474"/>
    </row>
    <row r="568" spans="1:49" s="472" customFormat="1">
      <c r="A568" s="494" t="s">
        <v>125</v>
      </c>
      <c r="N568" s="624">
        <v>-20</v>
      </c>
      <c r="O568" s="624">
        <v>-27</v>
      </c>
      <c r="P568" s="624">
        <v>-238</v>
      </c>
      <c r="Q568" s="624">
        <v>9</v>
      </c>
      <c r="R568" s="625">
        <v>-77</v>
      </c>
      <c r="S568" s="625">
        <v>11</v>
      </c>
      <c r="T568" s="625">
        <v>-91</v>
      </c>
      <c r="U568" s="625">
        <v>23</v>
      </c>
      <c r="V568" s="625">
        <v>24</v>
      </c>
      <c r="W568" s="625">
        <v>24</v>
      </c>
      <c r="X568" s="625">
        <v>23</v>
      </c>
      <c r="Y568" s="625">
        <v>22</v>
      </c>
      <c r="Z568" s="625">
        <v>-5</v>
      </c>
      <c r="AA568" s="625">
        <v>6</v>
      </c>
      <c r="AB568" s="625">
        <v>6</v>
      </c>
      <c r="AC568" s="625">
        <v>5</v>
      </c>
      <c r="AD568" s="625">
        <v>4</v>
      </c>
      <c r="AE568" s="625">
        <v>6</v>
      </c>
      <c r="AF568" s="625">
        <v>1</v>
      </c>
      <c r="AG568" s="474"/>
      <c r="AH568" s="474"/>
      <c r="AI568" s="474"/>
      <c r="AJ568" s="474"/>
      <c r="AK568" s="474"/>
      <c r="AL568" s="474"/>
      <c r="AM568" s="474"/>
      <c r="AN568" s="474"/>
      <c r="AO568" s="474"/>
      <c r="AP568" s="474"/>
      <c r="AQ568" s="474"/>
      <c r="AR568" s="474"/>
      <c r="AS568" s="474"/>
      <c r="AT568" s="474"/>
      <c r="AU568" s="474"/>
      <c r="AV568" s="474"/>
      <c r="AW568" s="474"/>
    </row>
    <row r="569" spans="1:49" s="472" customFormat="1">
      <c r="A569" s="494" t="s">
        <v>142</v>
      </c>
      <c r="N569" s="495">
        <v>71</v>
      </c>
      <c r="O569" s="495">
        <v>122</v>
      </c>
      <c r="P569" s="495">
        <v>227</v>
      </c>
      <c r="Q569" s="495">
        <v>219</v>
      </c>
      <c r="R569" s="496">
        <v>360</v>
      </c>
      <c r="S569" s="496">
        <v>30</v>
      </c>
      <c r="T569" s="496">
        <v>41</v>
      </c>
      <c r="U569" s="496">
        <v>-4</v>
      </c>
      <c r="V569" s="496">
        <v>-26</v>
      </c>
      <c r="W569" s="496">
        <v>14</v>
      </c>
      <c r="X569" s="496">
        <v>3</v>
      </c>
      <c r="Y569" s="496">
        <v>20</v>
      </c>
      <c r="Z569" s="496">
        <v>17</v>
      </c>
      <c r="AA569" s="496">
        <v>-1</v>
      </c>
      <c r="AB569" s="496">
        <v>11</v>
      </c>
      <c r="AC569" s="496">
        <v>0</v>
      </c>
      <c r="AD569" s="496">
        <v>1</v>
      </c>
      <c r="AE569" s="496">
        <v>6</v>
      </c>
      <c r="AF569" s="496">
        <v>9</v>
      </c>
      <c r="AG569" s="474"/>
      <c r="AH569" s="474"/>
      <c r="AI569" s="474"/>
      <c r="AJ569" s="474"/>
      <c r="AK569" s="474"/>
      <c r="AL569" s="474"/>
      <c r="AM569" s="474"/>
      <c r="AN569" s="474"/>
      <c r="AO569" s="474"/>
      <c r="AP569" s="474"/>
      <c r="AQ569" s="474"/>
      <c r="AR569" s="474"/>
      <c r="AS569" s="474"/>
      <c r="AT569" s="474"/>
      <c r="AU569" s="474"/>
      <c r="AV569" s="474"/>
      <c r="AW569" s="474"/>
    </row>
    <row r="570" spans="1:49" s="472" customFormat="1" ht="16.5" thickBot="1">
      <c r="A570" s="488" t="s">
        <v>5</v>
      </c>
      <c r="N570" s="475">
        <v>511</v>
      </c>
      <c r="O570" s="475">
        <v>354</v>
      </c>
      <c r="P570" s="475">
        <v>351</v>
      </c>
      <c r="Q570" s="475">
        <v>414</v>
      </c>
      <c r="R570" s="476">
        <v>985</v>
      </c>
      <c r="S570" s="476">
        <v>570</v>
      </c>
      <c r="T570" s="476">
        <v>338</v>
      </c>
      <c r="U570" s="476">
        <v>-55</v>
      </c>
      <c r="V570" s="476">
        <v>315</v>
      </c>
      <c r="W570" s="476">
        <v>410</v>
      </c>
      <c r="X570" s="476">
        <v>-88</v>
      </c>
      <c r="Y570" s="476">
        <v>-126</v>
      </c>
      <c r="Z570" s="476">
        <v>-541</v>
      </c>
      <c r="AA570" s="476">
        <v>-363</v>
      </c>
      <c r="AB570" s="476">
        <v>-165</v>
      </c>
      <c r="AC570" s="476">
        <v>-202</v>
      </c>
      <c r="AD570" s="476">
        <v>-206</v>
      </c>
      <c r="AE570" s="476">
        <v>-274</v>
      </c>
      <c r="AF570" s="476">
        <v>-255</v>
      </c>
      <c r="AG570" s="474"/>
      <c r="AH570" s="474"/>
      <c r="AI570" s="474"/>
      <c r="AJ570" s="474"/>
      <c r="AK570" s="474"/>
      <c r="AL570" s="474"/>
      <c r="AM570" s="474"/>
      <c r="AN570" s="474"/>
      <c r="AO570" s="474"/>
      <c r="AP570" s="474"/>
      <c r="AQ570" s="474"/>
      <c r="AR570" s="474"/>
      <c r="AS570" s="474"/>
      <c r="AT570" s="474"/>
      <c r="AU570" s="474"/>
      <c r="AV570" s="474"/>
      <c r="AW570" s="474"/>
    </row>
    <row r="571" spans="1:49" s="472" customFormat="1">
      <c r="A571" s="492"/>
      <c r="N571" s="497"/>
      <c r="O571" s="497"/>
      <c r="P571" s="497"/>
      <c r="Q571" s="497"/>
      <c r="R571" s="498"/>
      <c r="S571" s="498"/>
      <c r="T571" s="498"/>
      <c r="U571" s="498"/>
      <c r="V571" s="498"/>
      <c r="W571" s="498"/>
      <c r="X571" s="498"/>
      <c r="Y571" s="498"/>
      <c r="Z571" s="498"/>
      <c r="AA571" s="498"/>
      <c r="AB571" s="498"/>
      <c r="AC571" s="498"/>
      <c r="AD571" s="498"/>
      <c r="AE571" s="498"/>
      <c r="AF571" s="498"/>
      <c r="AG571" s="474"/>
      <c r="AH571" s="474"/>
      <c r="AI571" s="474"/>
      <c r="AJ571" s="474"/>
      <c r="AK571" s="474"/>
      <c r="AL571" s="474"/>
      <c r="AM571" s="474"/>
      <c r="AN571" s="474"/>
      <c r="AO571" s="474"/>
      <c r="AP571" s="474"/>
      <c r="AQ571" s="474"/>
      <c r="AR571" s="474"/>
      <c r="AS571" s="474"/>
      <c r="AT571" s="474"/>
      <c r="AU571" s="474"/>
      <c r="AV571" s="474"/>
      <c r="AW571" s="474"/>
    </row>
    <row r="572" spans="1:49" s="472" customFormat="1">
      <c r="A572" s="471" t="s">
        <v>91</v>
      </c>
      <c r="N572" s="499"/>
      <c r="O572" s="499"/>
      <c r="P572" s="499"/>
      <c r="Q572" s="499"/>
      <c r="R572" s="500"/>
      <c r="S572" s="500"/>
      <c r="T572" s="500"/>
      <c r="U572" s="500"/>
      <c r="V572" s="500"/>
      <c r="W572" s="500"/>
      <c r="X572" s="500"/>
      <c r="Y572" s="500"/>
      <c r="Z572" s="500"/>
      <c r="AA572" s="500"/>
      <c r="AB572" s="500"/>
      <c r="AC572" s="500"/>
      <c r="AD572" s="500"/>
      <c r="AE572" s="500"/>
      <c r="AF572" s="500"/>
      <c r="AG572" s="474"/>
      <c r="AH572" s="474"/>
      <c r="AI572" s="474"/>
      <c r="AJ572" s="474"/>
      <c r="AK572" s="474"/>
      <c r="AL572" s="474"/>
      <c r="AM572" s="474"/>
      <c r="AN572" s="474"/>
      <c r="AO572" s="474"/>
      <c r="AP572" s="474"/>
      <c r="AQ572" s="474"/>
      <c r="AR572" s="474"/>
      <c r="AS572" s="474"/>
      <c r="AT572" s="474"/>
      <c r="AU572" s="474"/>
      <c r="AV572" s="474"/>
      <c r="AW572" s="474"/>
    </row>
    <row r="573" spans="1:49" s="472" customFormat="1">
      <c r="A573" s="501" t="s">
        <v>36</v>
      </c>
      <c r="N573" s="502">
        <v>128495</v>
      </c>
      <c r="O573" s="502">
        <v>128782</v>
      </c>
      <c r="P573" s="502">
        <v>120238</v>
      </c>
      <c r="Q573" s="502">
        <v>108472</v>
      </c>
      <c r="R573" s="503">
        <v>147903</v>
      </c>
      <c r="S573" s="503">
        <v>140708</v>
      </c>
      <c r="T573" s="503">
        <v>138782</v>
      </c>
      <c r="U573" s="503">
        <v>130211</v>
      </c>
      <c r="V573" s="503">
        <v>120676</v>
      </c>
      <c r="W573" s="503">
        <v>108025</v>
      </c>
      <c r="X573" s="503">
        <v>106215</v>
      </c>
      <c r="Y573" s="503">
        <v>100823</v>
      </c>
      <c r="Z573" s="503">
        <v>105286</v>
      </c>
      <c r="AA573" s="503">
        <v>98058</v>
      </c>
      <c r="AB573" s="503">
        <v>77581</v>
      </c>
      <c r="AC573" s="503">
        <v>80297</v>
      </c>
      <c r="AD573" s="503">
        <v>61640</v>
      </c>
      <c r="AE573" s="503">
        <v>54427</v>
      </c>
      <c r="AF573" s="503">
        <v>49409</v>
      </c>
      <c r="AG573" s="474"/>
      <c r="AH573" s="474"/>
      <c r="AI573" s="474"/>
      <c r="AJ573" s="474"/>
      <c r="AK573" s="474"/>
      <c r="AL573" s="474"/>
      <c r="AM573" s="474"/>
      <c r="AN573" s="474"/>
      <c r="AO573" s="474"/>
      <c r="AP573" s="474"/>
      <c r="AQ573" s="474"/>
      <c r="AR573" s="474"/>
      <c r="AS573" s="474"/>
      <c r="AT573" s="474"/>
      <c r="AU573" s="474"/>
      <c r="AV573" s="474"/>
      <c r="AW573" s="474"/>
    </row>
    <row r="574" spans="1:49" s="472" customFormat="1">
      <c r="A574" s="501" t="s">
        <v>92</v>
      </c>
      <c r="N574" s="617"/>
      <c r="O574" s="617"/>
      <c r="P574" s="617"/>
      <c r="Q574" s="617"/>
      <c r="R574" s="504">
        <v>84381</v>
      </c>
      <c r="S574" s="504">
        <v>81867</v>
      </c>
      <c r="T574" s="504">
        <v>81297</v>
      </c>
      <c r="U574" s="504">
        <v>78509</v>
      </c>
      <c r="V574" s="504">
        <v>73827</v>
      </c>
      <c r="W574" s="504">
        <v>71927</v>
      </c>
      <c r="X574" s="504">
        <v>73511</v>
      </c>
      <c r="Y574" s="504">
        <v>72424</v>
      </c>
      <c r="Z574" s="504">
        <v>64125</v>
      </c>
      <c r="AA574" s="504">
        <v>56481</v>
      </c>
      <c r="AB574" s="504">
        <v>53268</v>
      </c>
      <c r="AC574" s="504">
        <v>45441</v>
      </c>
      <c r="AD574" s="504">
        <v>41384</v>
      </c>
      <c r="AE574" s="504">
        <v>38101</v>
      </c>
      <c r="AF574" s="504">
        <v>35842</v>
      </c>
      <c r="AG574" s="474"/>
      <c r="AH574" s="474"/>
      <c r="AI574" s="474"/>
      <c r="AJ574" s="474"/>
      <c r="AK574" s="474"/>
      <c r="AL574" s="474"/>
      <c r="AM574" s="474"/>
      <c r="AN574" s="474"/>
      <c r="AO574" s="474"/>
      <c r="AP574" s="474"/>
      <c r="AQ574" s="474"/>
      <c r="AR574" s="474"/>
      <c r="AS574" s="474"/>
      <c r="AT574" s="474"/>
      <c r="AU574" s="474"/>
      <c r="AV574" s="474"/>
      <c r="AW574" s="474"/>
    </row>
    <row r="575" spans="1:49" s="472" customFormat="1">
      <c r="A575" s="501" t="s">
        <v>126</v>
      </c>
      <c r="N575" s="617"/>
      <c r="O575" s="617"/>
      <c r="P575" s="617"/>
      <c r="Q575" s="617"/>
      <c r="R575" s="505">
        <v>95523.858040414329</v>
      </c>
      <c r="S575" s="505">
        <v>92317.32070365359</v>
      </c>
      <c r="T575" s="505">
        <v>85083.202511773939</v>
      </c>
      <c r="U575" s="505">
        <v>79331.669411800365</v>
      </c>
      <c r="V575" s="505">
        <v>76008.44229383301</v>
      </c>
      <c r="W575" s="504">
        <v>76964</v>
      </c>
      <c r="X575" s="505">
        <v>75233.855286050559</v>
      </c>
      <c r="Y575" s="505">
        <v>73218.419855431435</v>
      </c>
      <c r="Z575" s="504">
        <v>66961</v>
      </c>
      <c r="AA575" s="504">
        <v>57977</v>
      </c>
      <c r="AB575" s="504">
        <v>54949</v>
      </c>
      <c r="AC575" s="504">
        <v>44425</v>
      </c>
      <c r="AD575" s="504">
        <v>41345</v>
      </c>
      <c r="AE575" s="504">
        <v>39786</v>
      </c>
      <c r="AF575" s="504">
        <v>37042</v>
      </c>
      <c r="AG575" s="474"/>
      <c r="AH575" s="474"/>
      <c r="AI575" s="474"/>
      <c r="AJ575" s="474"/>
      <c r="AK575" s="474"/>
      <c r="AL575" s="474"/>
      <c r="AM575" s="474"/>
      <c r="AN575" s="474"/>
      <c r="AO575" s="474"/>
      <c r="AP575" s="474"/>
      <c r="AQ575" s="474"/>
      <c r="AR575" s="474"/>
      <c r="AS575" s="474"/>
      <c r="AT575" s="474"/>
      <c r="AU575" s="474"/>
      <c r="AV575" s="474"/>
      <c r="AW575" s="474"/>
    </row>
    <row r="576" spans="1:49" s="472" customFormat="1" ht="16.5" thickBot="1">
      <c r="A576" s="506" t="s">
        <v>93</v>
      </c>
      <c r="N576" s="507"/>
      <c r="O576" s="507"/>
      <c r="P576" s="507"/>
      <c r="Q576" s="507"/>
      <c r="R576" s="508"/>
      <c r="S576" s="508"/>
      <c r="T576" s="508"/>
      <c r="U576" s="503">
        <v>251548</v>
      </c>
      <c r="V576" s="503">
        <v>213047</v>
      </c>
      <c r="W576" s="503">
        <v>189687</v>
      </c>
      <c r="X576" s="503">
        <v>191735</v>
      </c>
      <c r="Y576" s="503">
        <v>168544</v>
      </c>
      <c r="Z576" s="503">
        <v>159888</v>
      </c>
      <c r="AA576" s="503">
        <v>143805</v>
      </c>
      <c r="AB576" s="503">
        <v>115008</v>
      </c>
      <c r="AC576" s="503">
        <v>105768</v>
      </c>
      <c r="AD576" s="503">
        <v>82718</v>
      </c>
      <c r="AE576" s="503">
        <v>71611</v>
      </c>
      <c r="AF576" s="503">
        <v>65385</v>
      </c>
      <c r="AG576" s="474"/>
      <c r="AH576" s="474"/>
      <c r="AI576" s="474"/>
      <c r="AJ576" s="474"/>
      <c r="AK576" s="474"/>
      <c r="AL576" s="474"/>
      <c r="AM576" s="474"/>
      <c r="AN576" s="474"/>
      <c r="AO576" s="474"/>
      <c r="AP576" s="474"/>
      <c r="AQ576" s="474"/>
      <c r="AR576" s="474"/>
      <c r="AS576" s="474"/>
      <c r="AT576" s="474"/>
      <c r="AU576" s="474"/>
      <c r="AV576" s="474"/>
      <c r="AW576" s="474"/>
    </row>
    <row r="577" spans="1:49" s="472" customFormat="1" ht="16.5" thickBot="1">
      <c r="A577" s="509" t="s">
        <v>143</v>
      </c>
      <c r="N577" s="507"/>
      <c r="O577" s="507"/>
      <c r="P577" s="507"/>
      <c r="Q577" s="507"/>
      <c r="R577" s="510"/>
      <c r="S577" s="510"/>
      <c r="T577" s="510"/>
      <c r="U577" s="511">
        <v>254183.88690722795</v>
      </c>
      <c r="V577" s="511">
        <v>219342.11880984248</v>
      </c>
      <c r="W577" s="511">
        <v>202971</v>
      </c>
      <c r="X577" s="511">
        <v>196228.63575887831</v>
      </c>
      <c r="Y577" s="511">
        <v>170392.7614618612</v>
      </c>
      <c r="Z577" s="511">
        <v>166959</v>
      </c>
      <c r="AA577" s="511">
        <v>147613</v>
      </c>
      <c r="AB577" s="511">
        <v>118638</v>
      </c>
      <c r="AC577" s="511">
        <v>103402</v>
      </c>
      <c r="AD577" s="511">
        <v>82639</v>
      </c>
      <c r="AE577" s="511">
        <v>74778</v>
      </c>
      <c r="AF577" s="511">
        <v>67574</v>
      </c>
      <c r="AG577" s="474"/>
      <c r="AH577" s="474"/>
      <c r="AI577" s="474"/>
      <c r="AJ577" s="474"/>
      <c r="AK577" s="474"/>
      <c r="AL577" s="474"/>
      <c r="AM577" s="474"/>
      <c r="AN577" s="474"/>
      <c r="AO577" s="474"/>
      <c r="AP577" s="474"/>
      <c r="AQ577" s="474"/>
      <c r="AR577" s="474"/>
      <c r="AS577" s="474"/>
      <c r="AT577" s="474"/>
      <c r="AU577" s="474"/>
      <c r="AV577" s="474"/>
      <c r="AW577" s="474"/>
    </row>
    <row r="578" spans="1:49" s="472" customFormat="1">
      <c r="A578" s="483"/>
      <c r="N578" s="618"/>
      <c r="O578" s="618"/>
      <c r="P578" s="618"/>
      <c r="Q578" s="618"/>
      <c r="R578" s="619"/>
      <c r="S578" s="619"/>
      <c r="T578" s="619"/>
      <c r="U578" s="619"/>
      <c r="V578" s="619"/>
      <c r="W578" s="619"/>
      <c r="X578" s="619"/>
      <c r="Y578" s="619"/>
      <c r="Z578" s="619"/>
      <c r="AA578" s="619"/>
      <c r="AB578" s="619"/>
      <c r="AC578" s="619"/>
      <c r="AD578" s="619"/>
      <c r="AE578" s="619"/>
      <c r="AF578" s="619"/>
      <c r="AG578" s="474"/>
      <c r="AH578" s="474"/>
      <c r="AI578" s="474"/>
      <c r="AJ578" s="474"/>
      <c r="AK578" s="474"/>
      <c r="AL578" s="474"/>
      <c r="AM578" s="474"/>
      <c r="AN578" s="474"/>
      <c r="AO578" s="474"/>
      <c r="AP578" s="474"/>
      <c r="AQ578" s="474"/>
      <c r="AR578" s="474"/>
      <c r="AS578" s="474"/>
      <c r="AT578" s="474"/>
      <c r="AU578" s="474"/>
      <c r="AV578" s="474"/>
      <c r="AW578" s="474"/>
    </row>
    <row r="579" spans="1:49" s="472" customFormat="1">
      <c r="A579" s="471" t="s">
        <v>108</v>
      </c>
      <c r="N579" s="497"/>
      <c r="O579" s="497"/>
      <c r="P579" s="497"/>
      <c r="Q579" s="497"/>
      <c r="R579" s="498"/>
      <c r="S579" s="498"/>
      <c r="T579" s="498"/>
      <c r="U579" s="498"/>
      <c r="V579" s="498"/>
      <c r="W579" s="498"/>
      <c r="X579" s="498"/>
      <c r="Y579" s="498"/>
      <c r="Z579" s="498"/>
      <c r="AA579" s="498"/>
      <c r="AB579" s="498"/>
      <c r="AC579" s="498"/>
      <c r="AD579" s="498"/>
      <c r="AE579" s="498"/>
      <c r="AF579" s="498"/>
      <c r="AG579" s="474"/>
      <c r="AH579" s="474"/>
      <c r="AI579" s="474"/>
      <c r="AJ579" s="474"/>
      <c r="AK579" s="474"/>
      <c r="AL579" s="474"/>
      <c r="AM579" s="474"/>
      <c r="AN579" s="474"/>
      <c r="AO579" s="474"/>
      <c r="AP579" s="474"/>
      <c r="AQ579" s="474"/>
      <c r="AR579" s="474"/>
      <c r="AS579" s="474"/>
      <c r="AT579" s="474"/>
      <c r="AU579" s="474"/>
      <c r="AV579" s="474"/>
      <c r="AW579" s="474"/>
    </row>
    <row r="580" spans="1:49" s="472" customFormat="1" ht="16.5" thickBot="1">
      <c r="A580" s="512" t="s">
        <v>107</v>
      </c>
      <c r="N580" s="513">
        <v>4100</v>
      </c>
      <c r="O580" s="513">
        <v>4100</v>
      </c>
      <c r="P580" s="513">
        <v>3900</v>
      </c>
      <c r="Q580" s="513">
        <v>3800</v>
      </c>
      <c r="R580" s="514">
        <v>4600</v>
      </c>
      <c r="S580" s="514">
        <v>4470</v>
      </c>
      <c r="T580" s="514">
        <v>4340</v>
      </c>
      <c r="U580" s="514">
        <v>4360</v>
      </c>
      <c r="V580" s="514">
        <v>3970</v>
      </c>
      <c r="W580" s="514">
        <v>3800</v>
      </c>
      <c r="X580" s="514">
        <v>3820</v>
      </c>
      <c r="Y580" s="514">
        <v>3200</v>
      </c>
      <c r="Z580" s="626">
        <v>2290</v>
      </c>
      <c r="AA580" s="514">
        <v>2050</v>
      </c>
      <c r="AB580" s="514">
        <v>1840</v>
      </c>
      <c r="AC580" s="514">
        <v>1830</v>
      </c>
      <c r="AD580" s="514">
        <v>1690</v>
      </c>
      <c r="AE580" s="514">
        <v>1640</v>
      </c>
      <c r="AF580" s="514">
        <v>1640</v>
      </c>
      <c r="AG580" s="474"/>
      <c r="AH580" s="474"/>
      <c r="AI580" s="474"/>
      <c r="AJ580" s="474"/>
      <c r="AK580" s="474"/>
      <c r="AL580" s="474"/>
      <c r="AM580" s="474"/>
      <c r="AN580" s="474"/>
      <c r="AO580" s="474"/>
      <c r="AP580" s="474"/>
      <c r="AQ580" s="474"/>
      <c r="AR580" s="474"/>
      <c r="AS580" s="474"/>
      <c r="AT580" s="474"/>
      <c r="AU580" s="474"/>
      <c r="AV580" s="474"/>
      <c r="AW580" s="474"/>
    </row>
    <row r="581" spans="1:49" s="472" customFormat="1">
      <c r="N581" s="617"/>
      <c r="O581" s="617"/>
      <c r="P581" s="617"/>
      <c r="Q581" s="617"/>
      <c r="R581" s="617"/>
      <c r="S581" s="617"/>
      <c r="T581" s="617"/>
      <c r="U581" s="617"/>
      <c r="V581" s="617"/>
      <c r="W581" s="617"/>
      <c r="X581" s="617"/>
      <c r="Y581" s="617"/>
      <c r="Z581" s="617"/>
      <c r="AA581" s="617"/>
      <c r="AB581" s="474"/>
      <c r="AC581" s="474"/>
      <c r="AD581" s="474"/>
      <c r="AE581" s="474"/>
      <c r="AF581" s="474"/>
      <c r="AG581" s="474"/>
      <c r="AH581" s="474"/>
      <c r="AI581" s="474"/>
      <c r="AJ581" s="474"/>
      <c r="AK581" s="474"/>
      <c r="AL581" s="474"/>
      <c r="AM581" s="474"/>
      <c r="AN581" s="474"/>
      <c r="AO581" s="474"/>
      <c r="AP581" s="474"/>
      <c r="AQ581" s="474"/>
      <c r="AR581" s="474"/>
      <c r="AS581" s="474"/>
      <c r="AT581" s="474"/>
      <c r="AU581" s="474"/>
      <c r="AV581" s="474"/>
      <c r="AW581" s="474"/>
    </row>
    <row r="582" spans="1:49" s="838" customFormat="1" ht="21.75" thickBot="1">
      <c r="A582" s="837" t="s">
        <v>144</v>
      </c>
      <c r="N582" s="839"/>
      <c r="O582" s="839"/>
      <c r="P582" s="839"/>
      <c r="Q582" s="839"/>
      <c r="R582" s="839"/>
      <c r="S582" s="839"/>
      <c r="T582" s="839"/>
      <c r="U582" s="839"/>
      <c r="V582" s="839"/>
      <c r="W582" s="839"/>
      <c r="X582" s="839"/>
      <c r="Y582" s="839"/>
      <c r="Z582" s="839"/>
      <c r="AA582" s="839"/>
      <c r="AB582" s="840"/>
      <c r="AC582" s="840"/>
      <c r="AD582" s="840"/>
      <c r="AE582" s="840"/>
      <c r="AF582" s="840"/>
      <c r="AG582" s="840"/>
      <c r="AH582" s="840"/>
      <c r="AI582" s="840"/>
      <c r="AJ582" s="840"/>
      <c r="AK582" s="840"/>
      <c r="AL582" s="840"/>
      <c r="AM582" s="840"/>
      <c r="AN582" s="840"/>
      <c r="AO582" s="840"/>
      <c r="AP582" s="840"/>
      <c r="AQ582" s="840"/>
      <c r="AR582" s="840"/>
      <c r="AS582" s="840"/>
      <c r="AT582" s="840"/>
      <c r="AU582" s="840"/>
      <c r="AV582" s="840"/>
      <c r="AW582" s="840"/>
    </row>
    <row r="583" spans="1:49" s="516" customFormat="1">
      <c r="A583" s="515" t="s">
        <v>82</v>
      </c>
      <c r="N583" s="627"/>
      <c r="O583" s="627"/>
      <c r="P583" s="627"/>
      <c r="Q583" s="627"/>
      <c r="R583" s="517"/>
      <c r="S583" s="517"/>
      <c r="T583" s="517"/>
      <c r="U583" s="517"/>
      <c r="V583" s="517"/>
      <c r="W583" s="517"/>
      <c r="X583" s="517"/>
      <c r="Y583" s="517"/>
      <c r="Z583" s="517"/>
      <c r="AA583" s="517"/>
      <c r="AB583" s="518"/>
      <c r="AC583" s="518"/>
      <c r="AD583" s="518"/>
      <c r="AE583" s="518"/>
      <c r="AF583" s="518"/>
      <c r="AG583" s="518"/>
      <c r="AH583" s="518"/>
      <c r="AI583" s="518"/>
      <c r="AJ583" s="518"/>
      <c r="AK583" s="518"/>
      <c r="AL583" s="518"/>
      <c r="AM583" s="518"/>
      <c r="AN583" s="518"/>
      <c r="AO583" s="518"/>
      <c r="AP583" s="518"/>
      <c r="AQ583" s="518"/>
      <c r="AR583" s="518"/>
      <c r="AS583" s="518"/>
      <c r="AT583" s="518"/>
      <c r="AU583" s="518"/>
      <c r="AV583" s="518"/>
      <c r="AW583" s="518"/>
    </row>
    <row r="584" spans="1:49" s="516" customFormat="1">
      <c r="A584" s="726" t="s">
        <v>145</v>
      </c>
      <c r="N584" s="727">
        <v>-23</v>
      </c>
      <c r="O584" s="727">
        <v>2</v>
      </c>
      <c r="P584" s="727">
        <v>-3</v>
      </c>
      <c r="Q584" s="727">
        <v>-16</v>
      </c>
      <c r="R584" s="728">
        <v>-26</v>
      </c>
      <c r="S584" s="728">
        <v>-31</v>
      </c>
      <c r="T584" s="728">
        <v>-36</v>
      </c>
      <c r="U584" s="728">
        <v>15</v>
      </c>
      <c r="V584" s="728">
        <v>13</v>
      </c>
      <c r="W584" s="728">
        <v>97</v>
      </c>
      <c r="X584" s="728">
        <v>74</v>
      </c>
      <c r="Y584" s="728">
        <v>-115</v>
      </c>
      <c r="Z584" s="728">
        <v>-17</v>
      </c>
      <c r="AA584" s="728">
        <v>-136</v>
      </c>
      <c r="AB584" s="728">
        <v>68</v>
      </c>
      <c r="AC584" s="728">
        <v>-75</v>
      </c>
      <c r="AD584" s="728">
        <v>30</v>
      </c>
      <c r="AE584" s="728">
        <v>-91</v>
      </c>
      <c r="AF584" s="728">
        <v>45</v>
      </c>
      <c r="AG584" s="518"/>
      <c r="AH584" s="518"/>
      <c r="AI584" s="518"/>
      <c r="AJ584" s="518"/>
      <c r="AK584" s="518"/>
      <c r="AL584" s="518"/>
      <c r="AM584" s="518"/>
      <c r="AN584" s="518"/>
      <c r="AO584" s="518"/>
      <c r="AP584" s="518"/>
      <c r="AQ584" s="518"/>
      <c r="AR584" s="518"/>
      <c r="AS584" s="518"/>
      <c r="AT584" s="518"/>
      <c r="AU584" s="518"/>
      <c r="AV584" s="518"/>
      <c r="AW584" s="518"/>
    </row>
    <row r="585" spans="1:49" s="730" customFormat="1">
      <c r="A585" s="729" t="s">
        <v>146</v>
      </c>
      <c r="N585" s="731">
        <v>-68</v>
      </c>
      <c r="O585" s="731">
        <v>124</v>
      </c>
      <c r="P585" s="731">
        <v>-156</v>
      </c>
      <c r="Q585" s="731">
        <v>-196</v>
      </c>
      <c r="R585" s="732">
        <v>-89</v>
      </c>
      <c r="S585" s="732">
        <v>17</v>
      </c>
      <c r="T585" s="732">
        <v>318</v>
      </c>
      <c r="U585" s="732">
        <v>297</v>
      </c>
      <c r="V585" s="732">
        <v>144</v>
      </c>
      <c r="W585" s="732">
        <v>228</v>
      </c>
      <c r="X585" s="732">
        <v>623</v>
      </c>
      <c r="Y585" s="732">
        <v>-697</v>
      </c>
      <c r="Z585" s="732">
        <v>0</v>
      </c>
      <c r="AA585" s="732">
        <v>0</v>
      </c>
      <c r="AB585" s="732">
        <v>0</v>
      </c>
      <c r="AC585" s="732">
        <v>0</v>
      </c>
      <c r="AD585" s="732">
        <v>0</v>
      </c>
      <c r="AE585" s="732">
        <v>0</v>
      </c>
      <c r="AF585" s="732">
        <v>0</v>
      </c>
      <c r="AG585" s="733"/>
      <c r="AH585" s="733"/>
      <c r="AI585" s="733"/>
      <c r="AJ585" s="733"/>
      <c r="AK585" s="733"/>
      <c r="AL585" s="733"/>
      <c r="AM585" s="733"/>
      <c r="AN585" s="733"/>
      <c r="AO585" s="733"/>
      <c r="AP585" s="733"/>
      <c r="AQ585" s="733"/>
      <c r="AR585" s="733"/>
      <c r="AS585" s="733"/>
      <c r="AT585" s="733"/>
      <c r="AU585" s="733"/>
      <c r="AV585" s="733"/>
      <c r="AW585" s="733"/>
    </row>
    <row r="586" spans="1:49" s="516" customFormat="1">
      <c r="A586" s="729" t="s">
        <v>125</v>
      </c>
      <c r="N586" s="731">
        <v>-11</v>
      </c>
      <c r="O586" s="731">
        <v>-24</v>
      </c>
      <c r="P586" s="731">
        <v>40</v>
      </c>
      <c r="Q586" s="731">
        <v>10</v>
      </c>
      <c r="R586" s="732">
        <v>28</v>
      </c>
      <c r="S586" s="732">
        <v>115</v>
      </c>
      <c r="T586" s="732">
        <v>-3</v>
      </c>
      <c r="U586" s="732">
        <v>75</v>
      </c>
      <c r="V586" s="732">
        <v>16</v>
      </c>
      <c r="W586" s="732">
        <v>59</v>
      </c>
      <c r="X586" s="732">
        <v>55</v>
      </c>
      <c r="Y586" s="732">
        <v>64</v>
      </c>
      <c r="Z586" s="732">
        <v>127</v>
      </c>
      <c r="AA586" s="732">
        <v>41</v>
      </c>
      <c r="AB586" s="732">
        <v>4</v>
      </c>
      <c r="AC586" s="732">
        <v>59</v>
      </c>
      <c r="AD586" s="732">
        <v>39</v>
      </c>
      <c r="AE586" s="732">
        <v>25</v>
      </c>
      <c r="AF586" s="732">
        <v>-8</v>
      </c>
      <c r="AG586" s="518"/>
      <c r="AH586" s="518"/>
      <c r="AI586" s="518"/>
      <c r="AJ586" s="518"/>
      <c r="AK586" s="518"/>
      <c r="AL586" s="518"/>
      <c r="AM586" s="518"/>
      <c r="AN586" s="518"/>
      <c r="AO586" s="518"/>
      <c r="AP586" s="518"/>
      <c r="AQ586" s="518"/>
      <c r="AR586" s="518"/>
      <c r="AS586" s="518"/>
      <c r="AT586" s="518"/>
      <c r="AU586" s="518"/>
      <c r="AV586" s="518"/>
      <c r="AW586" s="518"/>
    </row>
    <row r="587" spans="1:49" s="744" customFormat="1">
      <c r="A587" s="743" t="s">
        <v>5</v>
      </c>
      <c r="N587" s="745">
        <v>-102</v>
      </c>
      <c r="O587" s="745">
        <v>102</v>
      </c>
      <c r="P587" s="745">
        <v>-119</v>
      </c>
      <c r="Q587" s="745">
        <v>-202</v>
      </c>
      <c r="R587" s="746">
        <v>-87</v>
      </c>
      <c r="S587" s="746">
        <v>101</v>
      </c>
      <c r="T587" s="746">
        <v>279</v>
      </c>
      <c r="U587" s="746">
        <v>387</v>
      </c>
      <c r="V587" s="746">
        <v>173</v>
      </c>
      <c r="W587" s="746">
        <v>384</v>
      </c>
      <c r="X587" s="746">
        <v>752</v>
      </c>
      <c r="Y587" s="746">
        <v>-748</v>
      </c>
      <c r="Z587" s="746">
        <v>110</v>
      </c>
      <c r="AA587" s="746">
        <v>-95</v>
      </c>
      <c r="AB587" s="746">
        <v>72</v>
      </c>
      <c r="AC587" s="746">
        <v>-16</v>
      </c>
      <c r="AD587" s="746">
        <v>69</v>
      </c>
      <c r="AE587" s="746">
        <v>-66</v>
      </c>
      <c r="AF587" s="746">
        <v>37</v>
      </c>
      <c r="AG587" s="747">
        <f>MEDIAN(N587:AF587)</f>
        <v>69</v>
      </c>
      <c r="AH587" s="747">
        <f t="shared" ref="AH587:AS587" si="609">AG587</f>
        <v>69</v>
      </c>
      <c r="AI587" s="747">
        <f t="shared" si="609"/>
        <v>69</v>
      </c>
      <c r="AJ587" s="747">
        <f t="shared" si="609"/>
        <v>69</v>
      </c>
      <c r="AK587" s="747">
        <f t="shared" si="609"/>
        <v>69</v>
      </c>
      <c r="AL587" s="747">
        <f t="shared" si="609"/>
        <v>69</v>
      </c>
      <c r="AM587" s="747">
        <f t="shared" si="609"/>
        <v>69</v>
      </c>
      <c r="AN587" s="747">
        <f t="shared" si="609"/>
        <v>69</v>
      </c>
      <c r="AO587" s="747">
        <f t="shared" si="609"/>
        <v>69</v>
      </c>
      <c r="AP587" s="747">
        <f t="shared" si="609"/>
        <v>69</v>
      </c>
      <c r="AQ587" s="747">
        <f t="shared" si="609"/>
        <v>69</v>
      </c>
      <c r="AR587" s="747">
        <f t="shared" si="609"/>
        <v>69</v>
      </c>
      <c r="AS587" s="747">
        <f t="shared" si="609"/>
        <v>69</v>
      </c>
      <c r="AT587" s="747">
        <f t="shared" ref="AT587" si="610">AS587</f>
        <v>69</v>
      </c>
      <c r="AU587" s="747">
        <f t="shared" ref="AU587" si="611">AT587</f>
        <v>69</v>
      </c>
      <c r="AV587" s="747">
        <f t="shared" ref="AV587" si="612">AU587</f>
        <v>69</v>
      </c>
      <c r="AW587" s="747">
        <f t="shared" ref="AW587" si="613">AV587</f>
        <v>69</v>
      </c>
    </row>
    <row r="588" spans="1:49" s="516" customFormat="1" ht="16.5" thickBot="1">
      <c r="A588" s="740" t="s">
        <v>6</v>
      </c>
      <c r="N588" s="741">
        <v>0</v>
      </c>
      <c r="O588" s="741">
        <v>0</v>
      </c>
      <c r="P588" s="741">
        <v>2</v>
      </c>
      <c r="Q588" s="741">
        <v>-1</v>
      </c>
      <c r="R588" s="742">
        <v>0</v>
      </c>
      <c r="S588" s="742">
        <v>0</v>
      </c>
      <c r="T588" s="742">
        <v>1</v>
      </c>
      <c r="U588" s="742">
        <v>0</v>
      </c>
      <c r="V588" s="742">
        <v>0</v>
      </c>
      <c r="W588" s="742">
        <v>0</v>
      </c>
      <c r="X588" s="742">
        <v>1</v>
      </c>
      <c r="Y588" s="742">
        <v>-2</v>
      </c>
      <c r="Z588" s="742">
        <v>1</v>
      </c>
      <c r="AA588" s="742">
        <v>-2</v>
      </c>
      <c r="AB588" s="742">
        <v>0</v>
      </c>
      <c r="AC588" s="742">
        <v>0</v>
      </c>
      <c r="AD588" s="742">
        <v>2</v>
      </c>
      <c r="AE588" s="742">
        <v>1</v>
      </c>
      <c r="AF588" s="742">
        <v>0</v>
      </c>
      <c r="AG588" s="518"/>
      <c r="AH588" s="518"/>
      <c r="AI588" s="518"/>
      <c r="AJ588" s="518"/>
      <c r="AK588" s="518"/>
      <c r="AL588" s="518"/>
      <c r="AM588" s="518"/>
      <c r="AN588" s="518"/>
      <c r="AO588" s="518"/>
      <c r="AP588" s="518"/>
      <c r="AQ588" s="518"/>
      <c r="AR588" s="518"/>
      <c r="AS588" s="518"/>
      <c r="AT588" s="518"/>
      <c r="AU588" s="518"/>
      <c r="AV588" s="518"/>
      <c r="AW588" s="518"/>
    </row>
    <row r="589" spans="1:49" s="516" customFormat="1">
      <c r="A589" s="726" t="s">
        <v>7</v>
      </c>
      <c r="N589" s="734">
        <v>79</v>
      </c>
      <c r="O589" s="734">
        <v>24</v>
      </c>
      <c r="P589" s="734">
        <v>102</v>
      </c>
      <c r="Q589" s="734">
        <v>33</v>
      </c>
      <c r="R589" s="735">
        <v>148</v>
      </c>
      <c r="S589" s="735">
        <v>140</v>
      </c>
      <c r="T589" s="735">
        <v>38</v>
      </c>
      <c r="U589" s="735">
        <v>32</v>
      </c>
      <c r="V589" s="735">
        <v>118</v>
      </c>
      <c r="W589" s="735">
        <v>23</v>
      </c>
      <c r="X589" s="735">
        <v>76</v>
      </c>
      <c r="Y589" s="735">
        <v>134</v>
      </c>
      <c r="Z589" s="735">
        <v>-67</v>
      </c>
      <c r="AA589" s="735">
        <v>37</v>
      </c>
      <c r="AB589" s="735">
        <v>185</v>
      </c>
      <c r="AC589" s="735">
        <v>122</v>
      </c>
      <c r="AD589" s="735">
        <v>100</v>
      </c>
      <c r="AE589" s="735">
        <v>107</v>
      </c>
      <c r="AF589" s="735">
        <v>103</v>
      </c>
      <c r="AG589" s="518"/>
      <c r="AH589" s="518"/>
      <c r="AI589" s="518"/>
      <c r="AJ589" s="518"/>
      <c r="AK589" s="518"/>
      <c r="AL589" s="518"/>
      <c r="AM589" s="518"/>
      <c r="AN589" s="518"/>
      <c r="AO589" s="518"/>
      <c r="AP589" s="518"/>
      <c r="AQ589" s="518"/>
      <c r="AR589" s="518"/>
      <c r="AS589" s="518"/>
      <c r="AT589" s="518"/>
      <c r="AU589" s="518"/>
      <c r="AV589" s="518"/>
      <c r="AW589" s="518"/>
    </row>
    <row r="590" spans="1:49" s="730" customFormat="1">
      <c r="A590" s="729" t="s">
        <v>8</v>
      </c>
      <c r="N590" s="736">
        <v>16</v>
      </c>
      <c r="O590" s="736">
        <v>13</v>
      </c>
      <c r="P590" s="736">
        <v>4</v>
      </c>
      <c r="Q590" s="736">
        <v>29</v>
      </c>
      <c r="R590" s="732">
        <v>41</v>
      </c>
      <c r="S590" s="732">
        <v>72</v>
      </c>
      <c r="T590" s="732">
        <v>93</v>
      </c>
      <c r="U590" s="732">
        <v>82</v>
      </c>
      <c r="V590" s="732">
        <v>105</v>
      </c>
      <c r="W590" s="732">
        <v>97</v>
      </c>
      <c r="X590" s="732">
        <v>121</v>
      </c>
      <c r="Y590" s="732">
        <v>142</v>
      </c>
      <c r="Z590" s="732">
        <v>108</v>
      </c>
      <c r="AA590" s="732">
        <v>101</v>
      </c>
      <c r="AB590" s="732">
        <v>89</v>
      </c>
      <c r="AC590" s="732">
        <v>101</v>
      </c>
      <c r="AD590" s="732">
        <v>44</v>
      </c>
      <c r="AE590" s="732">
        <v>61</v>
      </c>
      <c r="AF590" s="732">
        <v>44</v>
      </c>
      <c r="AG590" s="733"/>
      <c r="AH590" s="733"/>
      <c r="AI590" s="733"/>
      <c r="AJ590" s="733"/>
      <c r="AK590" s="733"/>
      <c r="AL590" s="733"/>
      <c r="AM590" s="733"/>
      <c r="AN590" s="733"/>
      <c r="AO590" s="733"/>
      <c r="AP590" s="733"/>
      <c r="AQ590" s="733"/>
      <c r="AR590" s="733"/>
      <c r="AS590" s="733"/>
      <c r="AT590" s="733"/>
      <c r="AU590" s="733"/>
      <c r="AV590" s="733"/>
      <c r="AW590" s="733"/>
    </row>
    <row r="591" spans="1:49" s="730" customFormat="1">
      <c r="A591" s="729" t="s">
        <v>9</v>
      </c>
      <c r="N591" s="736">
        <v>23</v>
      </c>
      <c r="O591" s="736">
        <v>8</v>
      </c>
      <c r="P591" s="736">
        <v>8</v>
      </c>
      <c r="Q591" s="736">
        <v>-13</v>
      </c>
      <c r="R591" s="737">
        <v>-10</v>
      </c>
      <c r="S591" s="737">
        <v>3</v>
      </c>
      <c r="T591" s="737">
        <v>0</v>
      </c>
      <c r="U591" s="737">
        <v>15</v>
      </c>
      <c r="V591" s="737">
        <v>0</v>
      </c>
      <c r="W591" s="737">
        <v>1</v>
      </c>
      <c r="X591" s="737">
        <v>14</v>
      </c>
      <c r="Y591" s="732">
        <v>31</v>
      </c>
      <c r="Z591" s="732">
        <v>35</v>
      </c>
      <c r="AA591" s="732">
        <v>4</v>
      </c>
      <c r="AB591" s="732">
        <v>5</v>
      </c>
      <c r="AC591" s="732">
        <v>32</v>
      </c>
      <c r="AD591" s="732">
        <v>21</v>
      </c>
      <c r="AE591" s="732">
        <v>8</v>
      </c>
      <c r="AF591" s="732">
        <v>8</v>
      </c>
      <c r="AG591" s="733"/>
      <c r="AH591" s="733"/>
      <c r="AI591" s="733"/>
      <c r="AJ591" s="733"/>
      <c r="AK591" s="733"/>
      <c r="AL591" s="733"/>
      <c r="AM591" s="733"/>
      <c r="AN591" s="733"/>
      <c r="AO591" s="733"/>
      <c r="AP591" s="733"/>
      <c r="AQ591" s="733"/>
      <c r="AR591" s="733"/>
      <c r="AS591" s="733"/>
      <c r="AT591" s="733"/>
      <c r="AU591" s="733"/>
      <c r="AV591" s="733"/>
      <c r="AW591" s="733"/>
    </row>
    <row r="592" spans="1:49" s="730" customFormat="1">
      <c r="A592" s="748" t="s">
        <v>10</v>
      </c>
      <c r="N592" s="731">
        <v>0</v>
      </c>
      <c r="O592" s="731">
        <v>0</v>
      </c>
      <c r="P592" s="731">
        <v>0</v>
      </c>
      <c r="Q592" s="731">
        <v>0</v>
      </c>
      <c r="R592" s="737"/>
      <c r="S592" s="737"/>
      <c r="T592" s="737"/>
      <c r="U592" s="737"/>
      <c r="V592" s="737"/>
      <c r="W592" s="737"/>
      <c r="X592" s="737"/>
      <c r="Y592" s="732"/>
      <c r="Z592" s="732"/>
      <c r="AA592" s="732"/>
      <c r="AB592" s="732"/>
      <c r="AC592" s="732">
        <v>7</v>
      </c>
      <c r="AD592" s="732">
        <v>1</v>
      </c>
      <c r="AE592" s="732">
        <v>2</v>
      </c>
      <c r="AF592" s="732">
        <v>9</v>
      </c>
      <c r="AG592" s="733"/>
      <c r="AH592" s="733"/>
      <c r="AI592" s="733"/>
      <c r="AJ592" s="733"/>
      <c r="AK592" s="733"/>
      <c r="AL592" s="733"/>
      <c r="AM592" s="733"/>
      <c r="AN592" s="733"/>
      <c r="AO592" s="733"/>
      <c r="AP592" s="733"/>
      <c r="AQ592" s="733"/>
      <c r="AR592" s="733"/>
      <c r="AS592" s="733"/>
      <c r="AT592" s="733"/>
      <c r="AU592" s="733"/>
      <c r="AV592" s="733"/>
      <c r="AW592" s="733"/>
    </row>
    <row r="593" spans="1:49" s="516" customFormat="1">
      <c r="A593" s="729" t="s">
        <v>11</v>
      </c>
      <c r="N593" s="736">
        <v>39</v>
      </c>
      <c r="O593" s="736">
        <v>21</v>
      </c>
      <c r="P593" s="736">
        <v>12</v>
      </c>
      <c r="Q593" s="736">
        <v>16</v>
      </c>
      <c r="R593" s="732">
        <v>31</v>
      </c>
      <c r="S593" s="732">
        <v>75</v>
      </c>
      <c r="T593" s="732">
        <v>93</v>
      </c>
      <c r="U593" s="732">
        <v>97</v>
      </c>
      <c r="V593" s="732">
        <v>105</v>
      </c>
      <c r="W593" s="732">
        <v>98</v>
      </c>
      <c r="X593" s="732">
        <v>135</v>
      </c>
      <c r="Y593" s="732">
        <v>173</v>
      </c>
      <c r="Z593" s="732">
        <v>143</v>
      </c>
      <c r="AA593" s="732">
        <v>105</v>
      </c>
      <c r="AB593" s="732">
        <v>94</v>
      </c>
      <c r="AC593" s="732">
        <v>140</v>
      </c>
      <c r="AD593" s="732">
        <v>66</v>
      </c>
      <c r="AE593" s="732">
        <v>71</v>
      </c>
      <c r="AF593" s="732">
        <v>61</v>
      </c>
      <c r="AG593" s="518"/>
      <c r="AH593" s="518"/>
      <c r="AI593" s="518"/>
      <c r="AJ593" s="518"/>
      <c r="AK593" s="518"/>
      <c r="AL593" s="518"/>
      <c r="AM593" s="518"/>
      <c r="AN593" s="518"/>
      <c r="AO593" s="518"/>
      <c r="AP593" s="518"/>
      <c r="AQ593" s="518"/>
      <c r="AR593" s="518"/>
      <c r="AS593" s="518"/>
      <c r="AT593" s="518"/>
      <c r="AU593" s="518"/>
      <c r="AV593" s="518"/>
      <c r="AW593" s="518"/>
    </row>
    <row r="594" spans="1:49" s="738" customFormat="1">
      <c r="A594" s="749" t="s">
        <v>12</v>
      </c>
      <c r="N594" s="750">
        <v>118</v>
      </c>
      <c r="O594" s="750">
        <v>45</v>
      </c>
      <c r="P594" s="750">
        <v>114</v>
      </c>
      <c r="Q594" s="750">
        <v>49</v>
      </c>
      <c r="R594" s="751">
        <v>179</v>
      </c>
      <c r="S594" s="751">
        <v>215</v>
      </c>
      <c r="T594" s="751">
        <v>131</v>
      </c>
      <c r="U594" s="751">
        <v>129</v>
      </c>
      <c r="V594" s="751">
        <v>223</v>
      </c>
      <c r="W594" s="751">
        <v>121</v>
      </c>
      <c r="X594" s="751">
        <v>211</v>
      </c>
      <c r="Y594" s="751">
        <v>307</v>
      </c>
      <c r="Z594" s="751">
        <v>76</v>
      </c>
      <c r="AA594" s="751">
        <v>142</v>
      </c>
      <c r="AB594" s="751">
        <f>SUM(AB589:AB591)</f>
        <v>279</v>
      </c>
      <c r="AC594" s="751">
        <v>262</v>
      </c>
      <c r="AD594" s="751">
        <v>166</v>
      </c>
      <c r="AE594" s="751">
        <v>178</v>
      </c>
      <c r="AF594" s="751">
        <v>164</v>
      </c>
      <c r="AG594" s="739">
        <f>MEDIAN(N594:AF594)</f>
        <v>164</v>
      </c>
      <c r="AH594" s="739">
        <f t="shared" ref="AH594:AS594" si="614">AG594</f>
        <v>164</v>
      </c>
      <c r="AI594" s="739">
        <f t="shared" si="614"/>
        <v>164</v>
      </c>
      <c r="AJ594" s="739">
        <f t="shared" si="614"/>
        <v>164</v>
      </c>
      <c r="AK594" s="739">
        <f t="shared" si="614"/>
        <v>164</v>
      </c>
      <c r="AL594" s="739">
        <f t="shared" si="614"/>
        <v>164</v>
      </c>
      <c r="AM594" s="739">
        <f t="shared" si="614"/>
        <v>164</v>
      </c>
      <c r="AN594" s="739">
        <f t="shared" si="614"/>
        <v>164</v>
      </c>
      <c r="AO594" s="739">
        <f t="shared" si="614"/>
        <v>164</v>
      </c>
      <c r="AP594" s="739">
        <f t="shared" si="614"/>
        <v>164</v>
      </c>
      <c r="AQ594" s="739">
        <f t="shared" si="614"/>
        <v>164</v>
      </c>
      <c r="AR594" s="739">
        <f t="shared" si="614"/>
        <v>164</v>
      </c>
      <c r="AS594" s="739">
        <f t="shared" si="614"/>
        <v>164</v>
      </c>
      <c r="AT594" s="739">
        <f t="shared" ref="AT594" si="615">AS594</f>
        <v>164</v>
      </c>
      <c r="AU594" s="739">
        <f t="shared" ref="AU594" si="616">AT594</f>
        <v>164</v>
      </c>
      <c r="AV594" s="739">
        <f t="shared" ref="AV594" si="617">AU594</f>
        <v>164</v>
      </c>
      <c r="AW594" s="739">
        <f t="shared" ref="AW594" si="618">AV594</f>
        <v>164</v>
      </c>
    </row>
    <row r="595" spans="1:49" s="744" customFormat="1">
      <c r="A595" s="752" t="s">
        <v>87</v>
      </c>
      <c r="N595" s="753">
        <v>-220</v>
      </c>
      <c r="O595" s="753">
        <v>57</v>
      </c>
      <c r="P595" s="753">
        <v>-235</v>
      </c>
      <c r="Q595" s="753">
        <v>-250</v>
      </c>
      <c r="R595" s="746">
        <v>-266</v>
      </c>
      <c r="S595" s="746">
        <v>-114</v>
      </c>
      <c r="T595" s="746">
        <v>147</v>
      </c>
      <c r="U595" s="746">
        <v>258</v>
      </c>
      <c r="V595" s="746">
        <v>-50</v>
      </c>
      <c r="W595" s="746">
        <v>263</v>
      </c>
      <c r="X595" s="746">
        <v>540</v>
      </c>
      <c r="Y595" s="746">
        <v>-1053</v>
      </c>
      <c r="Z595" s="746">
        <v>33</v>
      </c>
      <c r="AA595" s="746">
        <v>-235</v>
      </c>
      <c r="AB595" s="746">
        <f t="shared" ref="AB595:AS595" si="619">AB587-AB588-AB594</f>
        <v>-207</v>
      </c>
      <c r="AC595" s="746">
        <v>-278</v>
      </c>
      <c r="AD595" s="746">
        <v>-99</v>
      </c>
      <c r="AE595" s="746">
        <v>-245</v>
      </c>
      <c r="AF595" s="746">
        <v>-127</v>
      </c>
      <c r="AG595" s="747">
        <f t="shared" si="619"/>
        <v>-95</v>
      </c>
      <c r="AH595" s="747">
        <f t="shared" si="619"/>
        <v>-95</v>
      </c>
      <c r="AI595" s="747">
        <f t="shared" si="619"/>
        <v>-95</v>
      </c>
      <c r="AJ595" s="747">
        <f t="shared" si="619"/>
        <v>-95</v>
      </c>
      <c r="AK595" s="747">
        <f t="shared" si="619"/>
        <v>-95</v>
      </c>
      <c r="AL595" s="747">
        <f t="shared" si="619"/>
        <v>-95</v>
      </c>
      <c r="AM595" s="747">
        <f t="shared" si="619"/>
        <v>-95</v>
      </c>
      <c r="AN595" s="747">
        <f t="shared" si="619"/>
        <v>-95</v>
      </c>
      <c r="AO595" s="747">
        <f t="shared" si="619"/>
        <v>-95</v>
      </c>
      <c r="AP595" s="747">
        <f t="shared" si="619"/>
        <v>-95</v>
      </c>
      <c r="AQ595" s="747">
        <f t="shared" si="619"/>
        <v>-95</v>
      </c>
      <c r="AR595" s="747">
        <f t="shared" si="619"/>
        <v>-95</v>
      </c>
      <c r="AS595" s="747">
        <f t="shared" si="619"/>
        <v>-95</v>
      </c>
      <c r="AT595" s="747">
        <f t="shared" ref="AT595:AW595" si="620">AT587-AT588-AT594</f>
        <v>-95</v>
      </c>
      <c r="AU595" s="747">
        <f t="shared" si="620"/>
        <v>-95</v>
      </c>
      <c r="AV595" s="747">
        <f t="shared" si="620"/>
        <v>-95</v>
      </c>
      <c r="AW595" s="747">
        <f t="shared" si="620"/>
        <v>-95</v>
      </c>
    </row>
    <row r="596" spans="1:49" s="516" customFormat="1">
      <c r="A596" s="529"/>
      <c r="N596" s="530"/>
      <c r="O596" s="530"/>
      <c r="P596" s="530"/>
      <c r="Q596" s="530"/>
      <c r="R596" s="529"/>
      <c r="S596" s="529"/>
      <c r="T596" s="529"/>
      <c r="U596" s="529"/>
      <c r="V596" s="529"/>
      <c r="W596" s="529"/>
      <c r="X596" s="529"/>
      <c r="Y596" s="529"/>
      <c r="Z596" s="529"/>
      <c r="AA596" s="529"/>
      <c r="AB596" s="529"/>
      <c r="AC596" s="529"/>
      <c r="AD596" s="529"/>
      <c r="AE596" s="529"/>
      <c r="AF596" s="529"/>
      <c r="AG596" s="518"/>
      <c r="AH596" s="518"/>
      <c r="AI596" s="518"/>
      <c r="AJ596" s="518"/>
      <c r="AK596" s="518"/>
      <c r="AL596" s="518"/>
      <c r="AM596" s="518"/>
      <c r="AN596" s="518"/>
      <c r="AO596" s="518"/>
      <c r="AP596" s="518"/>
      <c r="AQ596" s="518"/>
      <c r="AR596" s="518"/>
      <c r="AS596" s="518"/>
      <c r="AT596" s="518"/>
      <c r="AU596" s="518"/>
      <c r="AV596" s="518"/>
      <c r="AW596" s="518"/>
    </row>
    <row r="597" spans="1:49" s="755" customFormat="1">
      <c r="A597" s="754" t="s">
        <v>159</v>
      </c>
      <c r="N597" s="756">
        <f>N594/N587</f>
        <v>-1.1568627450980393</v>
      </c>
      <c r="O597" s="756">
        <f t="shared" ref="O597:AF597" si="621">O594/O587</f>
        <v>0.44117647058823528</v>
      </c>
      <c r="P597" s="756">
        <f t="shared" si="621"/>
        <v>-0.95798319327731096</v>
      </c>
      <c r="Q597" s="756">
        <f t="shared" si="621"/>
        <v>-0.24257425742574257</v>
      </c>
      <c r="R597" s="756">
        <f t="shared" si="621"/>
        <v>-2.0574712643678161</v>
      </c>
      <c r="S597" s="756">
        <f t="shared" si="621"/>
        <v>2.1287128712871288</v>
      </c>
      <c r="T597" s="756">
        <f t="shared" si="621"/>
        <v>0.46953405017921146</v>
      </c>
      <c r="U597" s="756">
        <f t="shared" si="621"/>
        <v>0.33333333333333331</v>
      </c>
      <c r="V597" s="756">
        <f t="shared" si="621"/>
        <v>1.2890173410404624</v>
      </c>
      <c r="W597" s="756">
        <f t="shared" si="621"/>
        <v>0.31510416666666669</v>
      </c>
      <c r="X597" s="756">
        <f t="shared" si="621"/>
        <v>0.28058510638297873</v>
      </c>
      <c r="Y597" s="756">
        <f t="shared" si="621"/>
        <v>-0.41042780748663099</v>
      </c>
      <c r="Z597" s="756">
        <f t="shared" si="621"/>
        <v>0.69090909090909092</v>
      </c>
      <c r="AA597" s="756">
        <f t="shared" si="621"/>
        <v>-1.4947368421052631</v>
      </c>
      <c r="AB597" s="756">
        <f t="shared" si="621"/>
        <v>3.875</v>
      </c>
      <c r="AC597" s="756">
        <f t="shared" si="621"/>
        <v>-16.375</v>
      </c>
      <c r="AD597" s="756">
        <f t="shared" si="621"/>
        <v>2.4057971014492754</v>
      </c>
      <c r="AE597" s="756">
        <f t="shared" si="621"/>
        <v>-2.6969696969696968</v>
      </c>
      <c r="AF597" s="756">
        <f t="shared" si="621"/>
        <v>4.4324324324324325</v>
      </c>
      <c r="AG597" s="757">
        <f t="shared" ref="AG597" si="622">AVERAGE(AA597:AF597)</f>
        <v>-1.6422461675322086</v>
      </c>
      <c r="AH597" s="758"/>
      <c r="AI597" s="758"/>
      <c r="AJ597" s="758"/>
      <c r="AK597" s="758"/>
      <c r="AL597" s="758"/>
      <c r="AM597" s="758"/>
      <c r="AN597" s="758"/>
      <c r="AO597" s="758"/>
      <c r="AP597" s="758"/>
      <c r="AQ597" s="758"/>
      <c r="AR597" s="758"/>
      <c r="AS597" s="758"/>
      <c r="AT597" s="758"/>
      <c r="AU597" s="758"/>
      <c r="AV597" s="758"/>
      <c r="AW597" s="758"/>
    </row>
    <row r="598" spans="1:49" s="516" customFormat="1">
      <c r="A598" s="529"/>
      <c r="N598" s="530"/>
      <c r="O598" s="530"/>
      <c r="P598" s="530"/>
      <c r="Q598" s="530"/>
      <c r="R598" s="529"/>
      <c r="S598" s="529"/>
      <c r="T598" s="529"/>
      <c r="U598" s="529"/>
      <c r="V598" s="529"/>
      <c r="W598" s="529"/>
      <c r="X598" s="529"/>
      <c r="Y598" s="529"/>
      <c r="Z598" s="529"/>
      <c r="AA598" s="529"/>
      <c r="AB598" s="529"/>
      <c r="AC598" s="529"/>
      <c r="AD598" s="529"/>
      <c r="AE598" s="529"/>
      <c r="AF598" s="529"/>
      <c r="AG598" s="518"/>
      <c r="AH598" s="518"/>
      <c r="AI598" s="518"/>
      <c r="AJ598" s="518"/>
      <c r="AK598" s="518"/>
      <c r="AL598" s="518"/>
      <c r="AM598" s="518"/>
      <c r="AN598" s="518"/>
      <c r="AO598" s="518"/>
      <c r="AP598" s="518"/>
      <c r="AQ598" s="518"/>
      <c r="AR598" s="518"/>
      <c r="AS598" s="518"/>
      <c r="AT598" s="518"/>
      <c r="AU598" s="518"/>
      <c r="AV598" s="518"/>
      <c r="AW598" s="518"/>
    </row>
    <row r="599" spans="1:49" s="516" customFormat="1">
      <c r="A599" s="529"/>
      <c r="N599" s="530"/>
      <c r="O599" s="530"/>
      <c r="P599" s="530"/>
      <c r="Q599" s="530"/>
      <c r="R599" s="529"/>
      <c r="S599" s="529"/>
      <c r="T599" s="529"/>
      <c r="U599" s="529"/>
      <c r="V599" s="529"/>
      <c r="W599" s="529"/>
      <c r="X599" s="529"/>
      <c r="Y599" s="529"/>
      <c r="Z599" s="529"/>
      <c r="AA599" s="529"/>
      <c r="AB599" s="529"/>
      <c r="AC599" s="529"/>
      <c r="AD599" s="529"/>
      <c r="AE599" s="529"/>
      <c r="AF599" s="529"/>
      <c r="AG599" s="518"/>
      <c r="AH599" s="518"/>
      <c r="AI599" s="518"/>
      <c r="AJ599" s="518"/>
      <c r="AK599" s="518"/>
      <c r="AL599" s="518"/>
      <c r="AM599" s="518"/>
      <c r="AN599" s="518"/>
      <c r="AO599" s="518"/>
      <c r="AP599" s="518"/>
      <c r="AQ599" s="518"/>
      <c r="AR599" s="518"/>
      <c r="AS599" s="518"/>
      <c r="AT599" s="518"/>
      <c r="AU599" s="518"/>
      <c r="AV599" s="518"/>
      <c r="AW599" s="518"/>
    </row>
    <row r="600" spans="1:49" s="516" customFormat="1">
      <c r="A600" s="529"/>
      <c r="N600" s="530"/>
      <c r="O600" s="530"/>
      <c r="P600" s="530"/>
      <c r="Q600" s="530"/>
      <c r="R600" s="529"/>
      <c r="S600" s="529"/>
      <c r="T600" s="529"/>
      <c r="U600" s="529"/>
      <c r="V600" s="529"/>
      <c r="W600" s="529"/>
      <c r="X600" s="529"/>
      <c r="Y600" s="529"/>
      <c r="Z600" s="529"/>
      <c r="AA600" s="529"/>
      <c r="AB600" s="529"/>
      <c r="AC600" s="529"/>
      <c r="AD600" s="529"/>
      <c r="AE600" s="529"/>
      <c r="AF600" s="529"/>
      <c r="AG600" s="518"/>
      <c r="AH600" s="518"/>
      <c r="AI600" s="518"/>
      <c r="AJ600" s="518"/>
      <c r="AK600" s="518"/>
      <c r="AL600" s="518"/>
      <c r="AM600" s="518"/>
      <c r="AN600" s="518"/>
      <c r="AO600" s="518"/>
      <c r="AP600" s="518"/>
      <c r="AQ600" s="518"/>
      <c r="AR600" s="518"/>
      <c r="AS600" s="518"/>
      <c r="AT600" s="518"/>
      <c r="AU600" s="518"/>
      <c r="AV600" s="518"/>
      <c r="AW600" s="518"/>
    </row>
    <row r="601" spans="1:49" s="516" customFormat="1">
      <c r="A601" s="515" t="s">
        <v>147</v>
      </c>
      <c r="N601" s="531"/>
      <c r="O601" s="531"/>
      <c r="P601" s="531"/>
      <c r="Q601" s="531"/>
      <c r="R601" s="517"/>
      <c r="S601" s="517"/>
      <c r="T601" s="517"/>
      <c r="U601" s="517"/>
      <c r="V601" s="517"/>
      <c r="W601" s="517"/>
      <c r="X601" s="517"/>
      <c r="Y601" s="517"/>
      <c r="Z601" s="517"/>
      <c r="AA601" s="517"/>
      <c r="AB601" s="517"/>
      <c r="AC601" s="517"/>
      <c r="AD601" s="517"/>
      <c r="AE601" s="517"/>
      <c r="AF601" s="517"/>
      <c r="AG601" s="518"/>
      <c r="AH601" s="518"/>
      <c r="AI601" s="518"/>
      <c r="AJ601" s="518"/>
      <c r="AK601" s="518"/>
      <c r="AL601" s="518"/>
      <c r="AM601" s="518"/>
      <c r="AN601" s="518"/>
      <c r="AO601" s="518"/>
      <c r="AP601" s="518"/>
      <c r="AQ601" s="518"/>
      <c r="AR601" s="518"/>
      <c r="AS601" s="518"/>
      <c r="AT601" s="518"/>
      <c r="AU601" s="518"/>
      <c r="AV601" s="518"/>
      <c r="AW601" s="518"/>
    </row>
    <row r="602" spans="1:49" s="516" customFormat="1">
      <c r="A602" s="526" t="s">
        <v>7</v>
      </c>
      <c r="N602" s="532">
        <v>807</v>
      </c>
      <c r="O602" s="532">
        <v>779</v>
      </c>
      <c r="P602" s="532">
        <v>767</v>
      </c>
      <c r="Q602" s="532">
        <v>742</v>
      </c>
      <c r="R602" s="533">
        <v>811</v>
      </c>
      <c r="S602" s="533">
        <v>791</v>
      </c>
      <c r="T602" s="533">
        <v>688</v>
      </c>
      <c r="U602" s="533">
        <v>766</v>
      </c>
      <c r="V602" s="533">
        <v>774</v>
      </c>
      <c r="W602" s="533">
        <v>683</v>
      </c>
      <c r="X602" s="533">
        <v>716</v>
      </c>
      <c r="Y602" s="533">
        <v>859</v>
      </c>
      <c r="Z602" s="533">
        <v>644</v>
      </c>
      <c r="AA602" s="533">
        <v>709</v>
      </c>
      <c r="AB602" s="533">
        <v>848</v>
      </c>
      <c r="AC602" s="533">
        <v>719</v>
      </c>
      <c r="AD602" s="533">
        <v>673</v>
      </c>
      <c r="AE602" s="533">
        <v>679</v>
      </c>
      <c r="AF602" s="533">
        <v>671</v>
      </c>
      <c r="AG602" s="518"/>
      <c r="AH602" s="518"/>
      <c r="AI602" s="518"/>
      <c r="AJ602" s="518"/>
      <c r="AK602" s="518"/>
      <c r="AL602" s="518"/>
      <c r="AM602" s="518"/>
      <c r="AN602" s="518"/>
      <c r="AO602" s="518"/>
      <c r="AP602" s="518"/>
      <c r="AQ602" s="518"/>
      <c r="AR602" s="518"/>
      <c r="AS602" s="518"/>
      <c r="AT602" s="518"/>
      <c r="AU602" s="518"/>
      <c r="AV602" s="518"/>
      <c r="AW602" s="518"/>
    </row>
    <row r="603" spans="1:49" s="516" customFormat="1">
      <c r="A603" s="519" t="s">
        <v>8</v>
      </c>
      <c r="N603" s="534">
        <v>814</v>
      </c>
      <c r="O603" s="534">
        <v>801</v>
      </c>
      <c r="P603" s="534">
        <v>814</v>
      </c>
      <c r="Q603" s="534">
        <v>883</v>
      </c>
      <c r="R603" s="521">
        <v>801</v>
      </c>
      <c r="S603" s="521">
        <v>826</v>
      </c>
      <c r="T603" s="521">
        <v>883</v>
      </c>
      <c r="U603" s="521">
        <v>1032</v>
      </c>
      <c r="V603" s="521">
        <v>874</v>
      </c>
      <c r="W603" s="521">
        <v>897</v>
      </c>
      <c r="X603" s="521">
        <v>1011</v>
      </c>
      <c r="Y603" s="521">
        <v>1165</v>
      </c>
      <c r="Z603" s="521">
        <v>955</v>
      </c>
      <c r="AA603" s="521">
        <v>859</v>
      </c>
      <c r="AB603" s="521">
        <v>842</v>
      </c>
      <c r="AC603" s="521">
        <v>771</v>
      </c>
      <c r="AD603" s="521">
        <v>587</v>
      </c>
      <c r="AE603" s="521">
        <v>601</v>
      </c>
      <c r="AF603" s="521">
        <v>603</v>
      </c>
      <c r="AG603" s="518"/>
      <c r="AH603" s="518"/>
      <c r="AI603" s="518"/>
      <c r="AJ603" s="518"/>
      <c r="AK603" s="518"/>
      <c r="AL603" s="518"/>
      <c r="AM603" s="518"/>
      <c r="AN603" s="518"/>
      <c r="AO603" s="518"/>
      <c r="AP603" s="518"/>
      <c r="AQ603" s="518"/>
      <c r="AR603" s="518"/>
      <c r="AS603" s="518"/>
      <c r="AT603" s="518"/>
      <c r="AU603" s="518"/>
      <c r="AV603" s="518"/>
      <c r="AW603" s="518"/>
    </row>
    <row r="604" spans="1:49" s="516" customFormat="1">
      <c r="A604" s="522" t="s">
        <v>9</v>
      </c>
      <c r="N604" s="630">
        <v>23</v>
      </c>
      <c r="O604" s="630">
        <v>8</v>
      </c>
      <c r="P604" s="630">
        <v>8</v>
      </c>
      <c r="Q604" s="630">
        <v>-13</v>
      </c>
      <c r="R604" s="524">
        <v>-10</v>
      </c>
      <c r="S604" s="524">
        <v>3</v>
      </c>
      <c r="T604" s="524">
        <v>1</v>
      </c>
      <c r="U604" s="524">
        <v>15</v>
      </c>
      <c r="V604" s="524">
        <v>1</v>
      </c>
      <c r="W604" s="524">
        <v>2</v>
      </c>
      <c r="X604" s="524">
        <v>13</v>
      </c>
      <c r="Y604" s="524">
        <v>31</v>
      </c>
      <c r="Z604" s="524">
        <v>35</v>
      </c>
      <c r="AA604" s="524">
        <v>4</v>
      </c>
      <c r="AB604" s="524">
        <v>5</v>
      </c>
      <c r="AC604" s="524">
        <v>32</v>
      </c>
      <c r="AD604" s="524">
        <v>21</v>
      </c>
      <c r="AE604" s="524">
        <v>8</v>
      </c>
      <c r="AF604" s="524">
        <v>8</v>
      </c>
      <c r="AG604" s="518"/>
      <c r="AH604" s="518"/>
      <c r="AI604" s="518"/>
      <c r="AJ604" s="518"/>
      <c r="AK604" s="518"/>
      <c r="AL604" s="518"/>
      <c r="AM604" s="518"/>
      <c r="AN604" s="518"/>
      <c r="AO604" s="518"/>
      <c r="AP604" s="518"/>
      <c r="AQ604" s="518"/>
      <c r="AR604" s="518"/>
      <c r="AS604" s="518"/>
      <c r="AT604" s="518"/>
      <c r="AU604" s="518"/>
      <c r="AV604" s="518"/>
      <c r="AW604" s="518"/>
    </row>
    <row r="605" spans="1:49" s="516" customFormat="1">
      <c r="A605" s="527" t="s">
        <v>10</v>
      </c>
      <c r="N605" s="632">
        <v>0</v>
      </c>
      <c r="O605" s="632">
        <v>0</v>
      </c>
      <c r="P605" s="632">
        <v>0</v>
      </c>
      <c r="Q605" s="632">
        <v>0</v>
      </c>
      <c r="R605" s="631">
        <v>0</v>
      </c>
      <c r="S605" s="631">
        <v>0</v>
      </c>
      <c r="T605" s="631">
        <v>0</v>
      </c>
      <c r="U605" s="631">
        <v>0</v>
      </c>
      <c r="V605" s="631">
        <v>0</v>
      </c>
      <c r="W605" s="631">
        <v>0</v>
      </c>
      <c r="X605" s="631">
        <v>0</v>
      </c>
      <c r="Y605" s="631">
        <v>106</v>
      </c>
      <c r="Z605" s="631">
        <v>82</v>
      </c>
      <c r="AA605" s="631">
        <v>33</v>
      </c>
      <c r="AB605" s="631">
        <v>26</v>
      </c>
      <c r="AC605" s="631">
        <v>24</v>
      </c>
      <c r="AD605" s="631">
        <v>31</v>
      </c>
      <c r="AE605" s="631">
        <v>28</v>
      </c>
      <c r="AF605" s="631">
        <v>26</v>
      </c>
      <c r="AG605" s="518"/>
      <c r="AH605" s="518"/>
      <c r="AI605" s="518"/>
      <c r="AJ605" s="518"/>
      <c r="AK605" s="518"/>
      <c r="AL605" s="518"/>
      <c r="AM605" s="518"/>
      <c r="AN605" s="518"/>
      <c r="AO605" s="518"/>
      <c r="AP605" s="518"/>
      <c r="AQ605" s="518"/>
      <c r="AR605" s="518"/>
      <c r="AS605" s="518"/>
      <c r="AT605" s="518"/>
      <c r="AU605" s="518"/>
      <c r="AV605" s="518"/>
      <c r="AW605" s="518"/>
    </row>
    <row r="606" spans="1:49" s="516" customFormat="1">
      <c r="A606" s="526" t="s">
        <v>11</v>
      </c>
      <c r="N606" s="633">
        <v>837</v>
      </c>
      <c r="O606" s="633">
        <v>809</v>
      </c>
      <c r="P606" s="633">
        <v>822</v>
      </c>
      <c r="Q606" s="633">
        <v>870</v>
      </c>
      <c r="R606" s="634">
        <v>791</v>
      </c>
      <c r="S606" s="634">
        <v>829</v>
      </c>
      <c r="T606" s="634">
        <v>884</v>
      </c>
      <c r="U606" s="634">
        <v>1047</v>
      </c>
      <c r="V606" s="634">
        <v>875</v>
      </c>
      <c r="W606" s="634">
        <v>899</v>
      </c>
      <c r="X606" s="634">
        <v>1024</v>
      </c>
      <c r="Y606" s="634">
        <v>1302</v>
      </c>
      <c r="Z606" s="634">
        <v>1072</v>
      </c>
      <c r="AA606" s="634">
        <v>896</v>
      </c>
      <c r="AB606" s="634">
        <v>873</v>
      </c>
      <c r="AC606" s="634">
        <v>827</v>
      </c>
      <c r="AD606" s="634">
        <v>639</v>
      </c>
      <c r="AE606" s="634">
        <v>637</v>
      </c>
      <c r="AF606" s="634">
        <v>637</v>
      </c>
      <c r="AG606" s="518"/>
      <c r="AH606" s="518"/>
      <c r="AI606" s="518"/>
      <c r="AJ606" s="518"/>
      <c r="AK606" s="518"/>
      <c r="AL606" s="518"/>
      <c r="AM606" s="518"/>
      <c r="AN606" s="518"/>
      <c r="AO606" s="518"/>
      <c r="AP606" s="518"/>
      <c r="AQ606" s="518"/>
      <c r="AR606" s="518"/>
      <c r="AS606" s="518"/>
      <c r="AT606" s="518"/>
      <c r="AU606" s="518"/>
      <c r="AV606" s="518"/>
      <c r="AW606" s="518"/>
    </row>
    <row r="607" spans="1:49" s="516" customFormat="1" ht="16.5" thickBot="1">
      <c r="A607" s="528" t="s">
        <v>148</v>
      </c>
      <c r="N607" s="629">
        <v>1644</v>
      </c>
      <c r="O607" s="629">
        <v>1588</v>
      </c>
      <c r="P607" s="629">
        <v>1589</v>
      </c>
      <c r="Q607" s="629">
        <v>1612</v>
      </c>
      <c r="R607" s="628">
        <v>1602</v>
      </c>
      <c r="S607" s="628">
        <v>1620</v>
      </c>
      <c r="T607" s="628">
        <v>1572</v>
      </c>
      <c r="U607" s="628">
        <v>1813</v>
      </c>
      <c r="V607" s="628">
        <v>1649</v>
      </c>
      <c r="W607" s="628">
        <v>1582</v>
      </c>
      <c r="X607" s="628">
        <v>1740</v>
      </c>
      <c r="Y607" s="628">
        <v>2161</v>
      </c>
      <c r="Z607" s="628">
        <v>1716</v>
      </c>
      <c r="AA607" s="628">
        <v>1605</v>
      </c>
      <c r="AB607" s="628">
        <v>1721</v>
      </c>
      <c r="AC607" s="628">
        <v>1546</v>
      </c>
      <c r="AD607" s="628">
        <v>1312</v>
      </c>
      <c r="AE607" s="628">
        <v>1316</v>
      </c>
      <c r="AF607" s="628">
        <v>1308</v>
      </c>
      <c r="AG607" s="518"/>
      <c r="AH607" s="518"/>
      <c r="AI607" s="518"/>
      <c r="AJ607" s="518"/>
      <c r="AK607" s="518"/>
      <c r="AL607" s="518"/>
      <c r="AM607" s="518"/>
      <c r="AN607" s="518"/>
      <c r="AO607" s="518"/>
      <c r="AP607" s="518"/>
      <c r="AQ607" s="518"/>
      <c r="AR607" s="518"/>
      <c r="AS607" s="518"/>
      <c r="AT607" s="518"/>
      <c r="AU607" s="518"/>
      <c r="AV607" s="518"/>
      <c r="AW607" s="518"/>
    </row>
    <row r="608" spans="1:49" s="516" customFormat="1">
      <c r="A608" s="519" t="s">
        <v>149</v>
      </c>
      <c r="N608" s="520">
        <v>1526</v>
      </c>
      <c r="O608" s="520">
        <v>1543</v>
      </c>
      <c r="P608" s="520">
        <v>1475</v>
      </c>
      <c r="Q608" s="520">
        <v>1563</v>
      </c>
      <c r="R608" s="521">
        <v>1423</v>
      </c>
      <c r="S608" s="521">
        <v>1405</v>
      </c>
      <c r="T608" s="521">
        <v>1441</v>
      </c>
      <c r="U608" s="521">
        <v>1684</v>
      </c>
      <c r="V608" s="521">
        <v>1426</v>
      </c>
      <c r="W608" s="521">
        <v>1461</v>
      </c>
      <c r="X608" s="521">
        <v>1529</v>
      </c>
      <c r="Y608" s="521">
        <v>1854</v>
      </c>
      <c r="Z608" s="521">
        <v>1640</v>
      </c>
      <c r="AA608" s="521">
        <v>1463</v>
      </c>
      <c r="AB608" s="521">
        <v>1442</v>
      </c>
      <c r="AC608" s="521">
        <v>1284</v>
      </c>
      <c r="AD608" s="521">
        <v>1146</v>
      </c>
      <c r="AE608" s="521">
        <v>1138</v>
      </c>
      <c r="AF608" s="521">
        <v>1144</v>
      </c>
      <c r="AG608" s="518"/>
      <c r="AH608" s="518"/>
      <c r="AI608" s="518"/>
      <c r="AJ608" s="518"/>
      <c r="AK608" s="518"/>
      <c r="AL608" s="518"/>
      <c r="AM608" s="518"/>
      <c r="AN608" s="518"/>
      <c r="AO608" s="518"/>
      <c r="AP608" s="518"/>
      <c r="AQ608" s="518"/>
      <c r="AR608" s="518"/>
      <c r="AS608" s="518"/>
      <c r="AT608" s="518"/>
      <c r="AU608" s="518"/>
      <c r="AV608" s="518"/>
      <c r="AW608" s="518"/>
    </row>
    <row r="609" spans="1:49" s="516" customFormat="1">
      <c r="A609" s="535" t="s">
        <v>150</v>
      </c>
      <c r="N609" s="523">
        <v>370</v>
      </c>
      <c r="O609" s="523">
        <v>357</v>
      </c>
      <c r="P609" s="523">
        <v>367</v>
      </c>
      <c r="Q609" s="523">
        <v>378</v>
      </c>
      <c r="R609" s="524">
        <v>352</v>
      </c>
      <c r="S609" s="524">
        <v>357</v>
      </c>
      <c r="T609" s="524">
        <v>365</v>
      </c>
      <c r="U609" s="524">
        <v>400</v>
      </c>
      <c r="V609" s="524">
        <v>340</v>
      </c>
      <c r="W609" s="524">
        <v>341</v>
      </c>
      <c r="X609" s="524">
        <v>378</v>
      </c>
      <c r="Y609" s="524">
        <v>459</v>
      </c>
      <c r="Z609" s="524">
        <v>363</v>
      </c>
      <c r="AA609" s="524">
        <v>303</v>
      </c>
      <c r="AB609" s="524">
        <v>322</v>
      </c>
      <c r="AC609" s="524">
        <v>279</v>
      </c>
      <c r="AD609" s="524">
        <v>257</v>
      </c>
      <c r="AE609" s="524">
        <v>238</v>
      </c>
      <c r="AF609" s="524">
        <v>254</v>
      </c>
      <c r="AG609" s="518"/>
      <c r="AH609" s="518"/>
      <c r="AI609" s="518"/>
      <c r="AJ609" s="518"/>
      <c r="AK609" s="518"/>
      <c r="AL609" s="518"/>
      <c r="AM609" s="518"/>
      <c r="AN609" s="518"/>
      <c r="AO609" s="518"/>
      <c r="AP609" s="518"/>
      <c r="AQ609" s="518"/>
      <c r="AR609" s="518"/>
      <c r="AS609" s="518"/>
      <c r="AT609" s="518"/>
      <c r="AU609" s="518"/>
      <c r="AV609" s="518"/>
      <c r="AW609" s="518"/>
    </row>
    <row r="610" spans="1:49" s="516" customFormat="1">
      <c r="A610" s="535" t="s">
        <v>151</v>
      </c>
      <c r="N610" s="523">
        <v>256</v>
      </c>
      <c r="O610" s="523">
        <v>274</v>
      </c>
      <c r="P610" s="523">
        <v>257</v>
      </c>
      <c r="Q610" s="523">
        <v>268</v>
      </c>
      <c r="R610" s="524">
        <v>246</v>
      </c>
      <c r="S610" s="524">
        <v>249</v>
      </c>
      <c r="T610" s="524">
        <v>253</v>
      </c>
      <c r="U610" s="524">
        <v>279</v>
      </c>
      <c r="V610" s="524">
        <v>248</v>
      </c>
      <c r="W610" s="524">
        <v>248</v>
      </c>
      <c r="X610" s="524">
        <v>249</v>
      </c>
      <c r="Y610" s="524">
        <v>304</v>
      </c>
      <c r="Z610" s="524">
        <v>280</v>
      </c>
      <c r="AA610" s="524">
        <v>244</v>
      </c>
      <c r="AB610" s="524">
        <v>242</v>
      </c>
      <c r="AC610" s="524">
        <v>210</v>
      </c>
      <c r="AD610" s="524">
        <v>198</v>
      </c>
      <c r="AE610" s="524">
        <v>183</v>
      </c>
      <c r="AF610" s="524">
        <v>192</v>
      </c>
      <c r="AG610" s="518"/>
      <c r="AH610" s="518"/>
      <c r="AI610" s="518"/>
      <c r="AJ610" s="518"/>
      <c r="AK610" s="518"/>
      <c r="AL610" s="518"/>
      <c r="AM610" s="518"/>
      <c r="AN610" s="518"/>
      <c r="AO610" s="518"/>
      <c r="AP610" s="518"/>
      <c r="AQ610" s="518"/>
      <c r="AR610" s="518"/>
      <c r="AS610" s="518"/>
      <c r="AT610" s="518"/>
      <c r="AU610" s="518"/>
      <c r="AV610" s="518"/>
      <c r="AW610" s="518"/>
    </row>
    <row r="611" spans="1:49" s="516" customFormat="1">
      <c r="A611" s="535" t="s">
        <v>152</v>
      </c>
      <c r="N611" s="523">
        <v>186</v>
      </c>
      <c r="O611" s="523">
        <v>175</v>
      </c>
      <c r="P611" s="523">
        <v>153</v>
      </c>
      <c r="Q611" s="523">
        <v>164</v>
      </c>
      <c r="R611" s="524">
        <v>172</v>
      </c>
      <c r="S611" s="524">
        <v>182</v>
      </c>
      <c r="T611" s="524">
        <v>186</v>
      </c>
      <c r="U611" s="524">
        <v>209</v>
      </c>
      <c r="V611" s="524">
        <v>176</v>
      </c>
      <c r="W611" s="524">
        <v>185</v>
      </c>
      <c r="X611" s="524">
        <v>205</v>
      </c>
      <c r="Y611" s="524">
        <v>205</v>
      </c>
      <c r="Z611" s="524">
        <v>196</v>
      </c>
      <c r="AA611" s="524">
        <v>200</v>
      </c>
      <c r="AB611" s="524">
        <v>209</v>
      </c>
      <c r="AC611" s="524">
        <v>161</v>
      </c>
      <c r="AD611" s="524">
        <v>179</v>
      </c>
      <c r="AE611" s="524">
        <v>191</v>
      </c>
      <c r="AF611" s="524">
        <v>183</v>
      </c>
      <c r="AG611" s="518"/>
      <c r="AH611" s="518"/>
      <c r="AI611" s="518"/>
      <c r="AJ611" s="518"/>
      <c r="AK611" s="518"/>
      <c r="AL611" s="518"/>
      <c r="AM611" s="518"/>
      <c r="AN611" s="518"/>
      <c r="AO611" s="518"/>
      <c r="AP611" s="518"/>
      <c r="AQ611" s="518"/>
      <c r="AR611" s="518"/>
      <c r="AS611" s="518"/>
      <c r="AT611" s="518"/>
      <c r="AU611" s="518"/>
      <c r="AV611" s="518"/>
      <c r="AW611" s="518"/>
    </row>
    <row r="612" spans="1:49" s="516" customFormat="1">
      <c r="A612" s="535" t="s">
        <v>153</v>
      </c>
      <c r="N612" s="523">
        <v>505</v>
      </c>
      <c r="O612" s="523">
        <v>510</v>
      </c>
      <c r="P612" s="523">
        <v>450</v>
      </c>
      <c r="Q612" s="523">
        <v>523</v>
      </c>
      <c r="R612" s="524">
        <v>434</v>
      </c>
      <c r="S612" s="524">
        <v>401</v>
      </c>
      <c r="T612" s="524">
        <v>411</v>
      </c>
      <c r="U612" s="524">
        <v>526</v>
      </c>
      <c r="V612" s="524">
        <v>423</v>
      </c>
      <c r="W612" s="524">
        <v>450</v>
      </c>
      <c r="X612" s="524">
        <v>465</v>
      </c>
      <c r="Y612" s="524">
        <v>582</v>
      </c>
      <c r="Z612" s="524">
        <v>550</v>
      </c>
      <c r="AA612" s="524">
        <v>488</v>
      </c>
      <c r="AB612" s="524">
        <v>464</v>
      </c>
      <c r="AC612" s="524">
        <v>444</v>
      </c>
      <c r="AD612" s="524">
        <v>362</v>
      </c>
      <c r="AE612" s="524">
        <v>370</v>
      </c>
      <c r="AF612" s="524">
        <v>374</v>
      </c>
      <c r="AG612" s="518"/>
      <c r="AH612" s="518"/>
      <c r="AI612" s="518"/>
      <c r="AJ612" s="518"/>
      <c r="AK612" s="518"/>
      <c r="AL612" s="518"/>
      <c r="AM612" s="518"/>
      <c r="AN612" s="518"/>
      <c r="AO612" s="518"/>
      <c r="AP612" s="518"/>
      <c r="AQ612" s="518"/>
      <c r="AR612" s="518"/>
      <c r="AS612" s="518"/>
      <c r="AT612" s="518"/>
      <c r="AU612" s="518"/>
      <c r="AV612" s="518"/>
      <c r="AW612" s="518"/>
    </row>
    <row r="613" spans="1:49" s="516" customFormat="1">
      <c r="A613" s="535" t="s">
        <v>154</v>
      </c>
      <c r="N613" s="523">
        <v>62</v>
      </c>
      <c r="O613" s="523">
        <v>57</v>
      </c>
      <c r="P613" s="523">
        <v>50</v>
      </c>
      <c r="Q613" s="523">
        <v>65</v>
      </c>
      <c r="R613" s="524">
        <v>59</v>
      </c>
      <c r="S613" s="524">
        <v>56</v>
      </c>
      <c r="T613" s="524">
        <v>60</v>
      </c>
      <c r="U613" s="524">
        <v>79</v>
      </c>
      <c r="V613" s="524">
        <v>63</v>
      </c>
      <c r="W613" s="524">
        <v>64</v>
      </c>
      <c r="X613" s="524">
        <v>70</v>
      </c>
      <c r="Y613" s="524">
        <v>93</v>
      </c>
      <c r="Z613" s="524">
        <v>80</v>
      </c>
      <c r="AA613" s="524">
        <v>74</v>
      </c>
      <c r="AB613" s="524">
        <v>73</v>
      </c>
      <c r="AC613" s="524">
        <v>72</v>
      </c>
      <c r="AD613" s="524">
        <v>76</v>
      </c>
      <c r="AE613" s="524">
        <v>80</v>
      </c>
      <c r="AF613" s="524">
        <v>71</v>
      </c>
      <c r="AG613" s="518"/>
      <c r="AH613" s="518"/>
      <c r="AI613" s="518"/>
      <c r="AJ613" s="518"/>
      <c r="AK613" s="518"/>
      <c r="AL613" s="518"/>
      <c r="AM613" s="518"/>
      <c r="AN613" s="518"/>
      <c r="AO613" s="518"/>
      <c r="AP613" s="518"/>
      <c r="AQ613" s="518"/>
      <c r="AR613" s="518"/>
      <c r="AS613" s="518"/>
      <c r="AT613" s="518"/>
      <c r="AU613" s="518"/>
      <c r="AV613" s="518"/>
      <c r="AW613" s="518"/>
    </row>
    <row r="614" spans="1:49" s="516" customFormat="1">
      <c r="A614" s="535" t="s">
        <v>155</v>
      </c>
      <c r="N614" s="523">
        <v>147</v>
      </c>
      <c r="O614" s="523">
        <v>170</v>
      </c>
      <c r="P614" s="523">
        <v>198</v>
      </c>
      <c r="Q614" s="523">
        <v>165</v>
      </c>
      <c r="R614" s="524">
        <v>160</v>
      </c>
      <c r="S614" s="524">
        <v>160</v>
      </c>
      <c r="T614" s="524">
        <v>166</v>
      </c>
      <c r="U614" s="524">
        <v>191</v>
      </c>
      <c r="V614" s="524">
        <v>176</v>
      </c>
      <c r="W614" s="524">
        <v>173</v>
      </c>
      <c r="X614" s="524">
        <v>162</v>
      </c>
      <c r="Y614" s="524">
        <v>211</v>
      </c>
      <c r="Z614" s="524">
        <v>171</v>
      </c>
      <c r="AA614" s="524">
        <v>154</v>
      </c>
      <c r="AB614" s="524">
        <v>132</v>
      </c>
      <c r="AC614" s="524">
        <v>118</v>
      </c>
      <c r="AD614" s="524">
        <v>74</v>
      </c>
      <c r="AE614" s="524">
        <v>76</v>
      </c>
      <c r="AF614" s="524">
        <v>70</v>
      </c>
      <c r="AG614" s="518"/>
      <c r="AH614" s="518"/>
      <c r="AI614" s="518"/>
      <c r="AJ614" s="518"/>
      <c r="AK614" s="518"/>
      <c r="AL614" s="518"/>
      <c r="AM614" s="518"/>
      <c r="AN614" s="518"/>
      <c r="AO614" s="518"/>
      <c r="AP614" s="518"/>
      <c r="AQ614" s="518"/>
      <c r="AR614" s="518"/>
      <c r="AS614" s="518"/>
      <c r="AT614" s="518"/>
      <c r="AU614" s="518"/>
      <c r="AV614" s="518"/>
      <c r="AW614" s="518"/>
    </row>
    <row r="615" spans="1:49" s="516" customFormat="1" ht="16.5" thickBot="1">
      <c r="A615" s="525" t="s">
        <v>12</v>
      </c>
      <c r="N615" s="629">
        <v>118</v>
      </c>
      <c r="O615" s="629">
        <v>45</v>
      </c>
      <c r="P615" s="629">
        <v>114</v>
      </c>
      <c r="Q615" s="629">
        <v>49</v>
      </c>
      <c r="R615" s="628">
        <v>179</v>
      </c>
      <c r="S615" s="628">
        <v>215</v>
      </c>
      <c r="T615" s="628">
        <v>131</v>
      </c>
      <c r="U615" s="628">
        <v>129</v>
      </c>
      <c r="V615" s="628">
        <v>223</v>
      </c>
      <c r="W615" s="628">
        <v>121</v>
      </c>
      <c r="X615" s="628">
        <v>211</v>
      </c>
      <c r="Y615" s="628">
        <v>307</v>
      </c>
      <c r="Z615" s="628">
        <v>76</v>
      </c>
      <c r="AA615" s="628">
        <v>142</v>
      </c>
      <c r="AB615" s="628">
        <v>279</v>
      </c>
      <c r="AC615" s="628">
        <v>262</v>
      </c>
      <c r="AD615" s="628">
        <v>166</v>
      </c>
      <c r="AE615" s="628">
        <v>178</v>
      </c>
      <c r="AF615" s="628">
        <v>164</v>
      </c>
      <c r="AG615" s="518"/>
      <c r="AH615" s="518"/>
      <c r="AI615" s="518"/>
      <c r="AJ615" s="518"/>
      <c r="AK615" s="518"/>
      <c r="AL615" s="518"/>
      <c r="AM615" s="518"/>
      <c r="AN615" s="518"/>
      <c r="AO615" s="518"/>
      <c r="AP615" s="518"/>
      <c r="AQ615" s="518"/>
      <c r="AR615" s="518"/>
      <c r="AS615" s="518"/>
      <c r="AT615" s="518"/>
      <c r="AU615" s="518"/>
      <c r="AV615" s="518"/>
      <c r="AW615" s="518"/>
    </row>
    <row r="616" spans="1:49" s="516" customFormat="1">
      <c r="A616" s="529"/>
      <c r="N616" s="530"/>
      <c r="O616" s="530"/>
      <c r="P616" s="530"/>
      <c r="Q616" s="530"/>
      <c r="R616" s="529"/>
      <c r="S616" s="529"/>
      <c r="T616" s="529"/>
      <c r="U616" s="529"/>
      <c r="V616" s="529"/>
      <c r="W616" s="529"/>
      <c r="X616" s="529"/>
      <c r="Y616" s="529"/>
      <c r="Z616" s="529"/>
      <c r="AA616" s="529"/>
      <c r="AB616" s="529"/>
      <c r="AC616" s="529"/>
      <c r="AD616" s="529"/>
      <c r="AE616" s="529"/>
      <c r="AF616" s="529"/>
      <c r="AG616" s="518"/>
      <c r="AH616" s="518"/>
      <c r="AI616" s="518"/>
      <c r="AJ616" s="518"/>
      <c r="AK616" s="518"/>
      <c r="AL616" s="518"/>
      <c r="AM616" s="518"/>
      <c r="AN616" s="518"/>
      <c r="AO616" s="518"/>
      <c r="AP616" s="518"/>
      <c r="AQ616" s="518"/>
      <c r="AR616" s="518"/>
      <c r="AS616" s="518"/>
      <c r="AT616" s="518"/>
      <c r="AU616" s="518"/>
      <c r="AV616" s="518"/>
      <c r="AW616" s="518"/>
    </row>
    <row r="617" spans="1:49" s="516" customFormat="1">
      <c r="A617" s="515" t="s">
        <v>91</v>
      </c>
      <c r="N617" s="531"/>
      <c r="O617" s="531"/>
      <c r="P617" s="531"/>
      <c r="Q617" s="531"/>
      <c r="R617" s="536"/>
      <c r="S617" s="536"/>
      <c r="T617" s="536"/>
      <c r="U617" s="536"/>
      <c r="V617" s="536"/>
      <c r="W617" s="536"/>
      <c r="X617" s="536"/>
      <c r="Y617" s="536"/>
      <c r="Z617" s="536"/>
      <c r="AA617" s="536"/>
      <c r="AB617" s="536"/>
      <c r="AC617" s="536"/>
      <c r="AD617" s="536"/>
      <c r="AE617" s="536"/>
      <c r="AF617" s="536"/>
      <c r="AG617" s="518"/>
      <c r="AH617" s="518"/>
      <c r="AI617" s="518"/>
      <c r="AJ617" s="518"/>
      <c r="AK617" s="518"/>
      <c r="AL617" s="518"/>
      <c r="AM617" s="518"/>
      <c r="AN617" s="518"/>
      <c r="AO617" s="518"/>
      <c r="AP617" s="518"/>
      <c r="AQ617" s="518"/>
      <c r="AR617" s="518"/>
      <c r="AS617" s="518"/>
      <c r="AT617" s="518"/>
      <c r="AU617" s="518"/>
      <c r="AV617" s="518"/>
      <c r="AW617" s="518"/>
    </row>
    <row r="618" spans="1:49" s="516" customFormat="1">
      <c r="A618" s="526" t="s">
        <v>36</v>
      </c>
      <c r="N618" s="635">
        <v>30382</v>
      </c>
      <c r="O618" s="635">
        <v>31852</v>
      </c>
      <c r="P618" s="635">
        <v>31624</v>
      </c>
      <c r="Q618" s="635">
        <v>32979</v>
      </c>
      <c r="R618" s="634">
        <v>6742</v>
      </c>
      <c r="S618" s="634">
        <v>16789</v>
      </c>
      <c r="T618" s="634">
        <v>37632</v>
      </c>
      <c r="U618" s="634">
        <v>24440</v>
      </c>
      <c r="V618" s="634">
        <v>35168</v>
      </c>
      <c r="W618" s="634">
        <v>66179</v>
      </c>
      <c r="X618" s="634">
        <v>85898</v>
      </c>
      <c r="Y618" s="634">
        <v>64621</v>
      </c>
      <c r="Z618" s="634">
        <v>51487</v>
      </c>
      <c r="AA618" s="634">
        <v>54407</v>
      </c>
      <c r="AB618" s="634">
        <v>62007</v>
      </c>
      <c r="AC618" s="634">
        <v>62413</v>
      </c>
      <c r="AD618" s="634">
        <v>69045</v>
      </c>
      <c r="AE618" s="634">
        <v>63480</v>
      </c>
      <c r="AF618" s="634">
        <v>65636</v>
      </c>
      <c r="AG618" s="518"/>
      <c r="AH618" s="518"/>
      <c r="AI618" s="518"/>
      <c r="AJ618" s="518"/>
      <c r="AK618" s="518"/>
      <c r="AL618" s="518"/>
      <c r="AM618" s="518"/>
      <c r="AN618" s="518"/>
      <c r="AO618" s="518"/>
      <c r="AP618" s="518"/>
      <c r="AQ618" s="518"/>
      <c r="AR618" s="518"/>
      <c r="AS618" s="518"/>
      <c r="AT618" s="518"/>
      <c r="AU618" s="518"/>
      <c r="AV618" s="518"/>
      <c r="AW618" s="518"/>
    </row>
    <row r="619" spans="1:49" s="516" customFormat="1">
      <c r="A619" s="526" t="s">
        <v>156</v>
      </c>
      <c r="N619" s="635">
        <v>18500</v>
      </c>
      <c r="O619" s="635">
        <v>16393</v>
      </c>
      <c r="P619" s="635">
        <v>16036</v>
      </c>
      <c r="Q619" s="635">
        <v>15298</v>
      </c>
      <c r="R619" s="634">
        <v>16086</v>
      </c>
      <c r="S619" s="634">
        <v>15488</v>
      </c>
      <c r="T619" s="634">
        <v>16383</v>
      </c>
      <c r="U619" s="634">
        <v>16354</v>
      </c>
      <c r="V619" s="634">
        <v>16331</v>
      </c>
      <c r="W619" s="634">
        <v>15061</v>
      </c>
      <c r="X619" s="634">
        <v>16178</v>
      </c>
      <c r="Y619" s="634">
        <v>18467</v>
      </c>
      <c r="Z619" s="634">
        <v>17455</v>
      </c>
      <c r="AA619" s="634">
        <v>17850</v>
      </c>
      <c r="AB619" s="634">
        <v>16756</v>
      </c>
      <c r="AC619" s="634">
        <v>17338</v>
      </c>
      <c r="AD619" s="634">
        <v>17180</v>
      </c>
      <c r="AE619" s="634">
        <v>18021</v>
      </c>
      <c r="AF619" s="634">
        <v>20718</v>
      </c>
      <c r="AG619" s="518"/>
      <c r="AH619" s="518"/>
      <c r="AI619" s="518"/>
      <c r="AJ619" s="518"/>
      <c r="AK619" s="518"/>
      <c r="AL619" s="518"/>
      <c r="AM619" s="518"/>
      <c r="AN619" s="518"/>
      <c r="AO619" s="518"/>
      <c r="AP619" s="518"/>
      <c r="AQ619" s="518"/>
      <c r="AR619" s="518"/>
      <c r="AS619" s="518"/>
      <c r="AT619" s="518"/>
      <c r="AU619" s="518"/>
      <c r="AV619" s="518"/>
      <c r="AW619" s="518"/>
    </row>
    <row r="620" spans="1:49" s="516" customFormat="1" ht="16.5" thickBot="1">
      <c r="A620" s="537" t="s">
        <v>157</v>
      </c>
      <c r="N620" s="538"/>
      <c r="O620" s="538"/>
      <c r="P620" s="538"/>
      <c r="Q620" s="538"/>
      <c r="R620" s="539"/>
      <c r="S620" s="539"/>
      <c r="T620" s="539"/>
      <c r="U620" s="636">
        <v>18810</v>
      </c>
      <c r="V620" s="636">
        <v>31540</v>
      </c>
      <c r="W620" s="636">
        <v>62228</v>
      </c>
      <c r="X620" s="636">
        <v>82745</v>
      </c>
      <c r="Y620" s="636">
        <v>63090</v>
      </c>
      <c r="Z620" s="636">
        <v>48374</v>
      </c>
      <c r="AA620" s="636">
        <v>51743</v>
      </c>
      <c r="AB620" s="636">
        <v>59154</v>
      </c>
      <c r="AC620" s="636">
        <v>59374</v>
      </c>
      <c r="AD620" s="636">
        <v>64219</v>
      </c>
      <c r="AE620" s="636">
        <v>59858</v>
      </c>
      <c r="AF620" s="636">
        <v>63467</v>
      </c>
      <c r="AG620" s="518"/>
      <c r="AH620" s="518"/>
      <c r="AI620" s="518"/>
      <c r="AJ620" s="518"/>
      <c r="AK620" s="518"/>
      <c r="AL620" s="518"/>
      <c r="AM620" s="518"/>
      <c r="AN620" s="518"/>
      <c r="AO620" s="518"/>
      <c r="AP620" s="518"/>
      <c r="AQ620" s="518"/>
      <c r="AR620" s="518"/>
      <c r="AS620" s="518"/>
      <c r="AT620" s="518"/>
      <c r="AU620" s="518"/>
      <c r="AV620" s="518"/>
      <c r="AW620" s="518"/>
    </row>
    <row r="621" spans="1:49">
      <c r="A621" s="32"/>
      <c r="N621" s="90"/>
      <c r="O621" s="90"/>
      <c r="P621" s="90"/>
      <c r="Q621" s="90"/>
      <c r="R621" s="32"/>
      <c r="S621" s="32"/>
      <c r="T621" s="32"/>
      <c r="U621" s="32"/>
      <c r="V621" s="32"/>
      <c r="W621" s="32"/>
      <c r="X621" s="32"/>
      <c r="Y621" s="32"/>
      <c r="Z621" s="32"/>
      <c r="AA621" s="32"/>
    </row>
  </sheetData>
  <phoneticPr fontId="47" type="noConversion"/>
  <conditionalFormatting sqref="V253:Y253 V273:Y273 R248:V248 X248:Z248 R246:AA246">
    <cfRule type="cellIs" dxfId="1004" priority="1195" stopIfTrue="1" operator="equal">
      <formula>"Error"</formula>
    </cfRule>
  </conditionalFormatting>
  <conditionalFormatting sqref="V212 R272:R273 V215:V216 X215:Y215 R220:T220 R212 R253:R254 R205:Y205 R266:Y268 S272:U272 R200:Y200 R255:Y255 V272:Y273 R251:U252 V251:Y253 R240:Y243 R210:U210 V247:V249 T211:Y211 T245:Y245 T269:Y269 Z235:Z239 Z254:Z255 X247:Y248 Z197 R193:AA196 Z200:Z204 R198:AA199 R214:Y214 AA213:AA215 R221:AA221 R246:U249 V246:Y246 Z243:Z249 AA246 Z260:Z265 R260:Y261 R256:AA259 N215:T216 R319:Y325 N324:Q325 N331:Q349 N352:Q356 N362:Q377 R475:AA477 Z481:AA484 R480:Y482 Z269:Z271 N218:T219 Z208:Z212 Z220 R226:AA234 Z214:Z215 R213:Z213 Z217 AA448:AA450 N431:Q432 V447:W447 Z448 Z429 AA403:AA404 R419:AA419 N422:AA422 R429 R410:AA411 N411:Q412 N472:Q472 R512:Y512 Z509:AA512 N509:Q512 N528:Q528 X216:AA216 R409 N286:AA287 R301 N301:Q303 R394:Y395 AA394:AA395 N395:Q395 N418:AA418 V218:AA219 R225:Y225 AG216:AW216">
    <cfRule type="containsText" dxfId="1003" priority="1194" stopIfTrue="1" operator="containsText" text="Error">
      <formula>NOT(ISERROR(SEARCH("Error",N193)))</formula>
    </cfRule>
  </conditionalFormatting>
  <conditionalFormatting sqref="R206:U206">
    <cfRule type="cellIs" dxfId="1002" priority="1191" stopIfTrue="1" operator="equal">
      <formula>"Error"</formula>
    </cfRule>
  </conditionalFormatting>
  <conditionalFormatting sqref="R207:U207 R253:U253">
    <cfRule type="cellIs" dxfId="1001" priority="1193" stopIfTrue="1" operator="equal">
      <formula>"Error"</formula>
    </cfRule>
  </conditionalFormatting>
  <conditionalFormatting sqref="R207:U207">
    <cfRule type="cellIs" dxfId="1000" priority="1192" stopIfTrue="1" operator="equal">
      <formula>"Error"</formula>
    </cfRule>
  </conditionalFormatting>
  <conditionalFormatting sqref="R253:U253">
    <cfRule type="cellIs" dxfId="999" priority="1190" stopIfTrue="1" operator="equal">
      <formula>"Error"</formula>
    </cfRule>
  </conditionalFormatting>
  <conditionalFormatting sqref="R208:R209 S253:U253 R197 R201:R203 R206:U207">
    <cfRule type="containsText" dxfId="998" priority="1189" stopIfTrue="1" operator="containsText" text="Error">
      <formula>NOT(ISERROR(SEARCH("Error",R197)))</formula>
    </cfRule>
  </conditionalFormatting>
  <conditionalFormatting sqref="S208:S209 S212 S254 S197 S201:S203">
    <cfRule type="containsText" dxfId="997" priority="1188" stopIfTrue="1" operator="containsText" text="Error">
      <formula>NOT(ISERROR(SEARCH("Error",S197)))</formula>
    </cfRule>
  </conditionalFormatting>
  <conditionalFormatting sqref="T208:T209 T212 T254 T197 T201:T203">
    <cfRule type="containsText" dxfId="996" priority="1187" stopIfTrue="1" operator="containsText" text="Error">
      <formula>NOT(ISERROR(SEARCH("Error",T197)))</formula>
    </cfRule>
  </conditionalFormatting>
  <conditionalFormatting sqref="U208:U209 U212 U254 U197 U220 U201:U203">
    <cfRule type="containsText" dxfId="995" priority="1186" stopIfTrue="1" operator="containsText" text="Error">
      <formula>NOT(ISERROR(SEARCH("Error",U197)))</formula>
    </cfRule>
  </conditionalFormatting>
  <conditionalFormatting sqref="V207:Y207">
    <cfRule type="cellIs" dxfId="994" priority="1185" stopIfTrue="1" operator="equal">
      <formula>"Error"</formula>
    </cfRule>
  </conditionalFormatting>
  <conditionalFormatting sqref="V207:Y207">
    <cfRule type="cellIs" dxfId="993" priority="1184" stopIfTrue="1" operator="equal">
      <formula>"Error"</formula>
    </cfRule>
  </conditionalFormatting>
  <conditionalFormatting sqref="V206:Y206">
    <cfRule type="cellIs" dxfId="992" priority="1183" stopIfTrue="1" operator="equal">
      <formula>"Error"</formula>
    </cfRule>
  </conditionalFormatting>
  <conditionalFormatting sqref="V208:V209 V254 V197 V220 V201:V203 V206:Y207">
    <cfRule type="containsText" dxfId="991" priority="1182" stopIfTrue="1" operator="containsText" text="Error">
      <formula>NOT(ISERROR(SEARCH("Error",V197)))</formula>
    </cfRule>
  </conditionalFormatting>
  <conditionalFormatting sqref="V210">
    <cfRule type="containsText" dxfId="990" priority="1181" stopIfTrue="1" operator="containsText" text="Error">
      <formula>NOT(ISERROR(SEARCH("Error",V210)))</formula>
    </cfRule>
  </conditionalFormatting>
  <conditionalFormatting sqref="W208:W209 W212 W254 W197 W220 W201:W203">
    <cfRule type="containsText" dxfId="989" priority="1180" stopIfTrue="1" operator="containsText" text="Error">
      <formula>NOT(ISERROR(SEARCH("Error",W197)))</formula>
    </cfRule>
  </conditionalFormatting>
  <conditionalFormatting sqref="W210">
    <cfRule type="containsText" dxfId="988" priority="1179" stopIfTrue="1" operator="containsText" text="Error">
      <formula>NOT(ISERROR(SEARCH("Error",W210)))</formula>
    </cfRule>
  </conditionalFormatting>
  <conditionalFormatting sqref="X208:Y209 X212:Y212 X254:Y254 X197:Y197 X220:Y220 X201:Y203">
    <cfRule type="containsText" dxfId="987" priority="1178" stopIfTrue="1" operator="containsText" text="Error">
      <formula>NOT(ISERROR(SEARCH("Error",X197)))</formula>
    </cfRule>
  </conditionalFormatting>
  <conditionalFormatting sqref="X210:Y210">
    <cfRule type="containsText" dxfId="986" priority="1177" stopIfTrue="1" operator="containsText" text="Error">
      <formula>NOT(ISERROR(SEARCH("Error",X210)))</formula>
    </cfRule>
  </conditionalFormatting>
  <conditionalFormatting sqref="R204">
    <cfRule type="containsText" dxfId="985" priority="1176" stopIfTrue="1" operator="containsText" text="Error">
      <formula>NOT(ISERROR(SEARCH("Error",R204)))</formula>
    </cfRule>
  </conditionalFormatting>
  <conditionalFormatting sqref="S204">
    <cfRule type="containsText" dxfId="984" priority="1175" stopIfTrue="1" operator="containsText" text="Error">
      <formula>NOT(ISERROR(SEARCH("Error",S204)))</formula>
    </cfRule>
  </conditionalFormatting>
  <conditionalFormatting sqref="T204">
    <cfRule type="containsText" dxfId="983" priority="1174" stopIfTrue="1" operator="containsText" text="Error">
      <formula>NOT(ISERROR(SEARCH("Error",T204)))</formula>
    </cfRule>
  </conditionalFormatting>
  <conditionalFormatting sqref="U204">
    <cfRule type="containsText" dxfId="982" priority="1173" stopIfTrue="1" operator="containsText" text="Error">
      <formula>NOT(ISERROR(SEARCH("Error",U204)))</formula>
    </cfRule>
  </conditionalFormatting>
  <conditionalFormatting sqref="V204">
    <cfRule type="containsText" dxfId="981" priority="1172" stopIfTrue="1" operator="containsText" text="Error">
      <formula>NOT(ISERROR(SEARCH("Error",V204)))</formula>
    </cfRule>
  </conditionalFormatting>
  <conditionalFormatting sqref="W204">
    <cfRule type="containsText" dxfId="980" priority="1171" stopIfTrue="1" operator="containsText" text="Error">
      <formula>NOT(ISERROR(SEARCH("Error",W204)))</formula>
    </cfRule>
  </conditionalFormatting>
  <conditionalFormatting sqref="X204:Y204">
    <cfRule type="containsText" dxfId="979" priority="1170" stopIfTrue="1" operator="containsText" text="Error">
      <formula>NOT(ISERROR(SEARCH("Error",X204)))</formula>
    </cfRule>
  </conditionalFormatting>
  <conditionalFormatting sqref="R211:S211">
    <cfRule type="containsText" dxfId="978" priority="1169" stopIfTrue="1" operator="containsText" text="Error">
      <formula>NOT(ISERROR(SEARCH("Error",R211)))</formula>
    </cfRule>
  </conditionalFormatting>
  <conditionalFormatting sqref="R217">
    <cfRule type="containsText" dxfId="977" priority="1168" stopIfTrue="1" operator="containsText" text="Error">
      <formula>NOT(ISERROR(SEARCH("Error",R217)))</formula>
    </cfRule>
  </conditionalFormatting>
  <conditionalFormatting sqref="V217">
    <cfRule type="containsText" dxfId="976" priority="1167" stopIfTrue="1" operator="containsText" text="Error">
      <formula>NOT(ISERROR(SEARCH("Error",V217)))</formula>
    </cfRule>
  </conditionalFormatting>
  <conditionalFormatting sqref="X217:Y217">
    <cfRule type="containsText" dxfId="975" priority="1166" stopIfTrue="1" operator="containsText" text="Error">
      <formula>NOT(ISERROR(SEARCH("Error",X217)))</formula>
    </cfRule>
  </conditionalFormatting>
  <conditionalFormatting sqref="R271">
    <cfRule type="containsText" dxfId="974" priority="1165" stopIfTrue="1" operator="containsText" text="Error">
      <formula>NOT(ISERROR(SEARCH("Error",R271)))</formula>
    </cfRule>
  </conditionalFormatting>
  <conditionalFormatting sqref="S271">
    <cfRule type="containsText" dxfId="973" priority="1164" stopIfTrue="1" operator="containsText" text="Error">
      <formula>NOT(ISERROR(SEARCH("Error",S271)))</formula>
    </cfRule>
  </conditionalFormatting>
  <conditionalFormatting sqref="T271">
    <cfRule type="containsText" dxfId="972" priority="1163" stopIfTrue="1" operator="containsText" text="Error">
      <formula>NOT(ISERROR(SEARCH("Error",T271)))</formula>
    </cfRule>
  </conditionalFormatting>
  <conditionalFormatting sqref="U271">
    <cfRule type="containsText" dxfId="971" priority="1162" stopIfTrue="1" operator="containsText" text="Error">
      <formula>NOT(ISERROR(SEARCH("Error",U271)))</formula>
    </cfRule>
  </conditionalFormatting>
  <conditionalFormatting sqref="V271">
    <cfRule type="containsText" dxfId="970" priority="1161" stopIfTrue="1" operator="containsText" text="Error">
      <formula>NOT(ISERROR(SEARCH("Error",V271)))</formula>
    </cfRule>
  </conditionalFormatting>
  <conditionalFormatting sqref="W271">
    <cfRule type="containsText" dxfId="969" priority="1160" stopIfTrue="1" operator="containsText" text="Error">
      <formula>NOT(ISERROR(SEARCH("Error",W271)))</formula>
    </cfRule>
  </conditionalFormatting>
  <conditionalFormatting sqref="X271:Y271">
    <cfRule type="containsText" dxfId="968" priority="1159" stopIfTrue="1" operator="containsText" text="Error">
      <formula>NOT(ISERROR(SEARCH("Error",X271)))</formula>
    </cfRule>
  </conditionalFormatting>
  <conditionalFormatting sqref="R273:U273">
    <cfRule type="cellIs" dxfId="967" priority="1158" stopIfTrue="1" operator="equal">
      <formula>"Error"</formula>
    </cfRule>
  </conditionalFormatting>
  <conditionalFormatting sqref="R273:U273">
    <cfRule type="cellIs" dxfId="966" priority="1157" stopIfTrue="1" operator="equal">
      <formula>"Error"</formula>
    </cfRule>
  </conditionalFormatting>
  <conditionalFormatting sqref="S273:U273">
    <cfRule type="containsText" dxfId="965" priority="1156" stopIfTrue="1" operator="containsText" text="Error">
      <formula>NOT(ISERROR(SEARCH("Error",S273)))</formula>
    </cfRule>
  </conditionalFormatting>
  <conditionalFormatting sqref="R235:R238 N238:Q238">
    <cfRule type="containsText" dxfId="964" priority="1155" stopIfTrue="1" operator="containsText" text="Error">
      <formula>NOT(ISERROR(SEARCH("Error",N235)))</formula>
    </cfRule>
  </conditionalFormatting>
  <conditionalFormatting sqref="S235:S238">
    <cfRule type="containsText" dxfId="963" priority="1154" stopIfTrue="1" operator="containsText" text="Error">
      <formula>NOT(ISERROR(SEARCH("Error",S235)))</formula>
    </cfRule>
  </conditionalFormatting>
  <conditionalFormatting sqref="T235:T238">
    <cfRule type="containsText" dxfId="962" priority="1153" stopIfTrue="1" operator="containsText" text="Error">
      <formula>NOT(ISERROR(SEARCH("Error",T235)))</formula>
    </cfRule>
  </conditionalFormatting>
  <conditionalFormatting sqref="U235:U238">
    <cfRule type="containsText" dxfId="961" priority="1152" stopIfTrue="1" operator="containsText" text="Error">
      <formula>NOT(ISERROR(SEARCH("Error",U235)))</formula>
    </cfRule>
  </conditionalFormatting>
  <conditionalFormatting sqref="V235:V238">
    <cfRule type="containsText" dxfId="960" priority="1151" stopIfTrue="1" operator="containsText" text="Error">
      <formula>NOT(ISERROR(SEARCH("Error",V235)))</formula>
    </cfRule>
  </conditionalFormatting>
  <conditionalFormatting sqref="W235:W237">
    <cfRule type="containsText" dxfId="959" priority="1150" stopIfTrue="1" operator="containsText" text="Error">
      <formula>NOT(ISERROR(SEARCH("Error",W235)))</formula>
    </cfRule>
  </conditionalFormatting>
  <conditionalFormatting sqref="X235:Y238">
    <cfRule type="containsText" dxfId="958" priority="1149" stopIfTrue="1" operator="containsText" text="Error">
      <formula>NOT(ISERROR(SEARCH("Error",X235)))</formula>
    </cfRule>
  </conditionalFormatting>
  <conditionalFormatting sqref="R239">
    <cfRule type="containsText" dxfId="957" priority="1148" stopIfTrue="1" operator="containsText" text="Error">
      <formula>NOT(ISERROR(SEARCH("Error",R239)))</formula>
    </cfRule>
  </conditionalFormatting>
  <conditionalFormatting sqref="S239">
    <cfRule type="containsText" dxfId="956" priority="1147" stopIfTrue="1" operator="containsText" text="Error">
      <formula>NOT(ISERROR(SEARCH("Error",S239)))</formula>
    </cfRule>
  </conditionalFormatting>
  <conditionalFormatting sqref="T239">
    <cfRule type="containsText" dxfId="955" priority="1146" stopIfTrue="1" operator="containsText" text="Error">
      <formula>NOT(ISERROR(SEARCH("Error",T239)))</formula>
    </cfRule>
  </conditionalFormatting>
  <conditionalFormatting sqref="U239">
    <cfRule type="containsText" dxfId="954" priority="1145" stopIfTrue="1" operator="containsText" text="Error">
      <formula>NOT(ISERROR(SEARCH("Error",U239)))</formula>
    </cfRule>
  </conditionalFormatting>
  <conditionalFormatting sqref="V239">
    <cfRule type="containsText" dxfId="953" priority="1144" stopIfTrue="1" operator="containsText" text="Error">
      <formula>NOT(ISERROR(SEARCH("Error",V239)))</formula>
    </cfRule>
  </conditionalFormatting>
  <conditionalFormatting sqref="W239">
    <cfRule type="containsText" dxfId="952" priority="1143" stopIfTrue="1" operator="containsText" text="Error">
      <formula>NOT(ISERROR(SEARCH("Error",W239)))</formula>
    </cfRule>
  </conditionalFormatting>
  <conditionalFormatting sqref="X239:Y239">
    <cfRule type="containsText" dxfId="951" priority="1142" stopIfTrue="1" operator="containsText" text="Error">
      <formula>NOT(ISERROR(SEARCH("Error",X239)))</formula>
    </cfRule>
  </conditionalFormatting>
  <conditionalFormatting sqref="R262:R264">
    <cfRule type="containsText" dxfId="950" priority="1141" stopIfTrue="1" operator="containsText" text="Error">
      <formula>NOT(ISERROR(SEARCH("Error",R262)))</formula>
    </cfRule>
  </conditionalFormatting>
  <conditionalFormatting sqref="S262:S264">
    <cfRule type="containsText" dxfId="949" priority="1140" stopIfTrue="1" operator="containsText" text="Error">
      <formula>NOT(ISERROR(SEARCH("Error",S262)))</formula>
    </cfRule>
  </conditionalFormatting>
  <conditionalFormatting sqref="T262:T264">
    <cfRule type="containsText" dxfId="948" priority="1139" stopIfTrue="1" operator="containsText" text="Error">
      <formula>NOT(ISERROR(SEARCH("Error",T262)))</formula>
    </cfRule>
  </conditionalFormatting>
  <conditionalFormatting sqref="U262:U264">
    <cfRule type="containsText" dxfId="947" priority="1138" stopIfTrue="1" operator="containsText" text="Error">
      <formula>NOT(ISERROR(SEARCH("Error",U262)))</formula>
    </cfRule>
  </conditionalFormatting>
  <conditionalFormatting sqref="V262:V264">
    <cfRule type="containsText" dxfId="946" priority="1137" stopIfTrue="1" operator="containsText" text="Error">
      <formula>NOT(ISERROR(SEARCH("Error",V262)))</formula>
    </cfRule>
  </conditionalFormatting>
  <conditionalFormatting sqref="W262:W264">
    <cfRule type="containsText" dxfId="945" priority="1136" stopIfTrue="1" operator="containsText" text="Error">
      <formula>NOT(ISERROR(SEARCH("Error",W262)))</formula>
    </cfRule>
  </conditionalFormatting>
  <conditionalFormatting sqref="X262:Y264">
    <cfRule type="containsText" dxfId="944" priority="1135" stopIfTrue="1" operator="containsText" text="Error">
      <formula>NOT(ISERROR(SEARCH("Error",X262)))</formula>
    </cfRule>
  </conditionalFormatting>
  <conditionalFormatting sqref="R265">
    <cfRule type="containsText" dxfId="943" priority="1134" stopIfTrue="1" operator="containsText" text="Error">
      <formula>NOT(ISERROR(SEARCH("Error",R265)))</formula>
    </cfRule>
  </conditionalFormatting>
  <conditionalFormatting sqref="S265">
    <cfRule type="containsText" dxfId="942" priority="1133" stopIfTrue="1" operator="containsText" text="Error">
      <formula>NOT(ISERROR(SEARCH("Error",S265)))</formula>
    </cfRule>
  </conditionalFormatting>
  <conditionalFormatting sqref="T265">
    <cfRule type="containsText" dxfId="941" priority="1132" stopIfTrue="1" operator="containsText" text="Error">
      <formula>NOT(ISERROR(SEARCH("Error",T265)))</formula>
    </cfRule>
  </conditionalFormatting>
  <conditionalFormatting sqref="U265">
    <cfRule type="containsText" dxfId="940" priority="1131" stopIfTrue="1" operator="containsText" text="Error">
      <formula>NOT(ISERROR(SEARCH("Error",U265)))</formula>
    </cfRule>
  </conditionalFormatting>
  <conditionalFormatting sqref="V265">
    <cfRule type="containsText" dxfId="939" priority="1130" stopIfTrue="1" operator="containsText" text="Error">
      <formula>NOT(ISERROR(SEARCH("Error",V265)))</formula>
    </cfRule>
  </conditionalFormatting>
  <conditionalFormatting sqref="W265">
    <cfRule type="containsText" dxfId="938" priority="1129" stopIfTrue="1" operator="containsText" text="Error">
      <formula>NOT(ISERROR(SEARCH("Error",W265)))</formula>
    </cfRule>
  </conditionalFormatting>
  <conditionalFormatting sqref="X265:Y265">
    <cfRule type="containsText" dxfId="937" priority="1128" stopIfTrue="1" operator="containsText" text="Error">
      <formula>NOT(ISERROR(SEARCH("Error",X265)))</formula>
    </cfRule>
  </conditionalFormatting>
  <conditionalFormatting sqref="AA212 AA205 AA241:AA243 AA252">
    <cfRule type="containsText" dxfId="936" priority="1127" stopIfTrue="1" operator="containsText" text="Error">
      <formula>NOT(ISERROR(SEARCH("Error",AA205)))</formula>
    </cfRule>
  </conditionalFormatting>
  <conditionalFormatting sqref="AA253">
    <cfRule type="cellIs" dxfId="935" priority="1126" stopIfTrue="1" operator="equal">
      <formula>"Error"</formula>
    </cfRule>
  </conditionalFormatting>
  <conditionalFormatting sqref="AA253">
    <cfRule type="cellIs" dxfId="934" priority="1125" stopIfTrue="1" operator="equal">
      <formula>"Error"</formula>
    </cfRule>
  </conditionalFormatting>
  <conditionalFormatting sqref="AA253">
    <cfRule type="containsText" dxfId="933" priority="1124" stopIfTrue="1" operator="containsText" text="Error">
      <formula>NOT(ISERROR(SEARCH("Error",AA253)))</formula>
    </cfRule>
  </conditionalFormatting>
  <conditionalFormatting sqref="AA207">
    <cfRule type="cellIs" dxfId="932" priority="1123" stopIfTrue="1" operator="equal">
      <formula>"Error"</formula>
    </cfRule>
  </conditionalFormatting>
  <conditionalFormatting sqref="AA207">
    <cfRule type="cellIs" dxfId="931" priority="1122" stopIfTrue="1" operator="equal">
      <formula>"Error"</formula>
    </cfRule>
  </conditionalFormatting>
  <conditionalFormatting sqref="AA206">
    <cfRule type="cellIs" dxfId="930" priority="1121" stopIfTrue="1" operator="equal">
      <formula>"Error"</formula>
    </cfRule>
  </conditionalFormatting>
  <conditionalFormatting sqref="AA254 AA197 AA220 AA201:AA203 AA206:AA209">
    <cfRule type="containsText" dxfId="929" priority="1120" stopIfTrue="1" operator="containsText" text="Error">
      <formula>NOT(ISERROR(SEARCH("Error",AA197)))</formula>
    </cfRule>
  </conditionalFormatting>
  <conditionalFormatting sqref="AA210">
    <cfRule type="containsText" dxfId="928" priority="1119" stopIfTrue="1" operator="containsText" text="Error">
      <formula>NOT(ISERROR(SEARCH("Error",AA210)))</formula>
    </cfRule>
  </conditionalFormatting>
  <conditionalFormatting sqref="AA204">
    <cfRule type="containsText" dxfId="927" priority="1118" stopIfTrue="1" operator="containsText" text="Error">
      <formula>NOT(ISERROR(SEARCH("Error",AA204)))</formula>
    </cfRule>
  </conditionalFormatting>
  <conditionalFormatting sqref="AA211:AF211">
    <cfRule type="containsText" dxfId="926" priority="1117" stopIfTrue="1" operator="containsText" text="Error">
      <formula>NOT(ISERROR(SEARCH("Error",AA211)))</formula>
    </cfRule>
  </conditionalFormatting>
  <conditionalFormatting sqref="AA217">
    <cfRule type="containsText" dxfId="925" priority="1116" stopIfTrue="1" operator="containsText" text="Error">
      <formula>NOT(ISERROR(SEARCH("Error",AA217)))</formula>
    </cfRule>
  </conditionalFormatting>
  <conditionalFormatting sqref="AA271">
    <cfRule type="containsText" dxfId="924" priority="1115" stopIfTrue="1" operator="containsText" text="Error">
      <formula>NOT(ISERROR(SEARCH("Error",AA271)))</formula>
    </cfRule>
  </conditionalFormatting>
  <conditionalFormatting sqref="AA200">
    <cfRule type="containsText" dxfId="923" priority="1114" stopIfTrue="1" operator="containsText" text="Error">
      <formula>NOT(ISERROR(SEARCH("Error",AA200)))</formula>
    </cfRule>
  </conditionalFormatting>
  <conditionalFormatting sqref="AA255 AA261 AA267:AA268 AA272">
    <cfRule type="containsText" dxfId="922" priority="1113" stopIfTrue="1" operator="containsText" text="Error">
      <formula>NOT(ISERROR(SEARCH("Error",AA255)))</formula>
    </cfRule>
  </conditionalFormatting>
  <conditionalFormatting sqref="AA273">
    <cfRule type="cellIs" dxfId="921" priority="1112" stopIfTrue="1" operator="equal">
      <formula>"Error"</formula>
    </cfRule>
  </conditionalFormatting>
  <conditionalFormatting sqref="AA273">
    <cfRule type="cellIs" dxfId="920" priority="1111" stopIfTrue="1" operator="equal">
      <formula>"Error"</formula>
    </cfRule>
  </conditionalFormatting>
  <conditionalFormatting sqref="AA273">
    <cfRule type="containsText" dxfId="919" priority="1110" stopIfTrue="1" operator="containsText" text="Error">
      <formula>NOT(ISERROR(SEARCH("Error",AA273)))</formula>
    </cfRule>
  </conditionalFormatting>
  <conditionalFormatting sqref="AA240">
    <cfRule type="containsText" dxfId="918" priority="1109" stopIfTrue="1" operator="containsText" text="Error">
      <formula>NOT(ISERROR(SEARCH("Error",AA240)))</formula>
    </cfRule>
  </conditionalFormatting>
  <conditionalFormatting sqref="AA235:AA238">
    <cfRule type="containsText" dxfId="917" priority="1108" stopIfTrue="1" operator="containsText" text="Error">
      <formula>NOT(ISERROR(SEARCH("Error",AA235)))</formula>
    </cfRule>
  </conditionalFormatting>
  <conditionalFormatting sqref="AA239">
    <cfRule type="containsText" dxfId="916" priority="1107" stopIfTrue="1" operator="containsText" text="Error">
      <formula>NOT(ISERROR(SEARCH("Error",AA239)))</formula>
    </cfRule>
  </conditionalFormatting>
  <conditionalFormatting sqref="AA266">
    <cfRule type="containsText" dxfId="915" priority="1106" stopIfTrue="1" operator="containsText" text="Error">
      <formula>NOT(ISERROR(SEARCH("Error",AA266)))</formula>
    </cfRule>
  </conditionalFormatting>
  <conditionalFormatting sqref="AA262:AA264">
    <cfRule type="containsText" dxfId="914" priority="1105" stopIfTrue="1" operator="containsText" text="Error">
      <formula>NOT(ISERROR(SEARCH("Error",AA262)))</formula>
    </cfRule>
  </conditionalFormatting>
  <conditionalFormatting sqref="AA265">
    <cfRule type="containsText" dxfId="913" priority="1104" stopIfTrue="1" operator="containsText" text="Error">
      <formula>NOT(ISERROR(SEARCH("Error",AA265)))</formula>
    </cfRule>
  </conditionalFormatting>
  <conditionalFormatting sqref="AA260">
    <cfRule type="containsText" dxfId="912" priority="1103" stopIfTrue="1" operator="containsText" text="Error">
      <formula>NOT(ISERROR(SEARCH("Error",AA260)))</formula>
    </cfRule>
  </conditionalFormatting>
  <conditionalFormatting sqref="AA245">
    <cfRule type="containsText" dxfId="911" priority="1101" stopIfTrue="1" operator="containsText" text="Error">
      <formula>NOT(ISERROR(SEARCH("Error",AA245)))</formula>
    </cfRule>
  </conditionalFormatting>
  <conditionalFormatting sqref="R245:S245">
    <cfRule type="containsText" dxfId="910" priority="1102" stopIfTrue="1" operator="containsText" text="Error">
      <formula>NOT(ISERROR(SEARCH("Error",R245)))</formula>
    </cfRule>
  </conditionalFormatting>
  <conditionalFormatting sqref="AA244">
    <cfRule type="containsText" dxfId="909" priority="1092" stopIfTrue="1" operator="containsText" text="Error">
      <formula>NOT(ISERROR(SEARCH("Error",AA244)))</formula>
    </cfRule>
  </conditionalFormatting>
  <conditionalFormatting sqref="X244">
    <cfRule type="containsText" dxfId="908" priority="1094" stopIfTrue="1" operator="containsText" text="Error">
      <formula>NOT(ISERROR(SEARCH("Error",X244)))</formula>
    </cfRule>
  </conditionalFormatting>
  <conditionalFormatting sqref="R244">
    <cfRule type="containsText" dxfId="907" priority="1100" stopIfTrue="1" operator="containsText" text="Error">
      <formula>NOT(ISERROR(SEARCH("Error",R244)))</formula>
    </cfRule>
  </conditionalFormatting>
  <conditionalFormatting sqref="S244">
    <cfRule type="containsText" dxfId="906" priority="1099" stopIfTrue="1" operator="containsText" text="Error">
      <formula>NOT(ISERROR(SEARCH("Error",S244)))</formula>
    </cfRule>
  </conditionalFormatting>
  <conditionalFormatting sqref="T244">
    <cfRule type="containsText" dxfId="905" priority="1098" stopIfTrue="1" operator="containsText" text="Error">
      <formula>NOT(ISERROR(SEARCH("Error",T244)))</formula>
    </cfRule>
  </conditionalFormatting>
  <conditionalFormatting sqref="U244">
    <cfRule type="containsText" dxfId="904" priority="1097" stopIfTrue="1" operator="containsText" text="Error">
      <formula>NOT(ISERROR(SEARCH("Error",U244)))</formula>
    </cfRule>
  </conditionalFormatting>
  <conditionalFormatting sqref="V244">
    <cfRule type="containsText" dxfId="903" priority="1096" stopIfTrue="1" operator="containsText" text="Error">
      <formula>NOT(ISERROR(SEARCH("Error",V244)))</formula>
    </cfRule>
  </conditionalFormatting>
  <conditionalFormatting sqref="W244">
    <cfRule type="containsText" dxfId="902" priority="1095" stopIfTrue="1" operator="containsText" text="Error">
      <formula>NOT(ISERROR(SEARCH("Error",W244)))</formula>
    </cfRule>
  </conditionalFormatting>
  <conditionalFormatting sqref="Y244">
    <cfRule type="containsText" dxfId="901" priority="1093" stopIfTrue="1" operator="containsText" text="Error">
      <formula>NOT(ISERROR(SEARCH("Error",Y244)))</formula>
    </cfRule>
  </conditionalFormatting>
  <conditionalFormatting sqref="AA270">
    <cfRule type="containsText" dxfId="900" priority="1083" stopIfTrue="1" operator="containsText" text="Error">
      <formula>NOT(ISERROR(SEARCH("Error",AA270)))</formula>
    </cfRule>
  </conditionalFormatting>
  <conditionalFormatting sqref="AA248">
    <cfRule type="cellIs" dxfId="899" priority="1079" stopIfTrue="1" operator="equal">
      <formula>"Error"</formula>
    </cfRule>
  </conditionalFormatting>
  <conditionalFormatting sqref="X270">
    <cfRule type="containsText" dxfId="898" priority="1085" stopIfTrue="1" operator="containsText" text="Error">
      <formula>NOT(ISERROR(SEARCH("Error",X270)))</formula>
    </cfRule>
  </conditionalFormatting>
  <conditionalFormatting sqref="R270">
    <cfRule type="containsText" dxfId="897" priority="1091" stopIfTrue="1" operator="containsText" text="Error">
      <formula>NOT(ISERROR(SEARCH("Error",R270)))</formula>
    </cfRule>
  </conditionalFormatting>
  <conditionalFormatting sqref="W270">
    <cfRule type="containsText" dxfId="896" priority="1086" stopIfTrue="1" operator="containsText" text="Error">
      <formula>NOT(ISERROR(SEARCH("Error",W270)))</formula>
    </cfRule>
  </conditionalFormatting>
  <conditionalFormatting sqref="T270">
    <cfRule type="containsText" dxfId="895" priority="1089" stopIfTrue="1" operator="containsText" text="Error">
      <formula>NOT(ISERROR(SEARCH("Error",T270)))</formula>
    </cfRule>
  </conditionalFormatting>
  <conditionalFormatting sqref="R269:S269">
    <cfRule type="containsText" dxfId="894" priority="1082" stopIfTrue="1" operator="containsText" text="Error">
      <formula>NOT(ISERROR(SEARCH("Error",R269)))</formula>
    </cfRule>
  </conditionalFormatting>
  <conditionalFormatting sqref="U270">
    <cfRule type="containsText" dxfId="893" priority="1088" stopIfTrue="1" operator="containsText" text="Error">
      <formula>NOT(ISERROR(SEARCH("Error",U270)))</formula>
    </cfRule>
  </conditionalFormatting>
  <conditionalFormatting sqref="S270">
    <cfRule type="containsText" dxfId="892" priority="1090" stopIfTrue="1" operator="containsText" text="Error">
      <formula>NOT(ISERROR(SEARCH("Error",S270)))</formula>
    </cfRule>
  </conditionalFormatting>
  <conditionalFormatting sqref="V270">
    <cfRule type="containsText" dxfId="891" priority="1087" stopIfTrue="1" operator="containsText" text="Error">
      <formula>NOT(ISERROR(SEARCH("Error",V270)))</formula>
    </cfRule>
  </conditionalFormatting>
  <conditionalFormatting sqref="Y270">
    <cfRule type="containsText" dxfId="890" priority="1084" stopIfTrue="1" operator="containsText" text="Error">
      <formula>NOT(ISERROR(SEARCH("Error",Y270)))</formula>
    </cfRule>
  </conditionalFormatting>
  <conditionalFormatting sqref="AA269">
    <cfRule type="containsText" dxfId="889" priority="1081" stopIfTrue="1" operator="containsText" text="Error">
      <formula>NOT(ISERROR(SEARCH("Error",AA269)))</formula>
    </cfRule>
  </conditionalFormatting>
  <conditionalFormatting sqref="AA247">
    <cfRule type="containsText" dxfId="888" priority="1080" stopIfTrue="1" operator="containsText" text="Error">
      <formula>NOT(ISERROR(SEARCH("Error",AA247)))</formula>
    </cfRule>
  </conditionalFormatting>
  <conditionalFormatting sqref="AA248">
    <cfRule type="containsText" dxfId="887" priority="1077" stopIfTrue="1" operator="containsText" text="Error">
      <formula>NOT(ISERROR(SEARCH("Error",AA248)))</formula>
    </cfRule>
  </conditionalFormatting>
  <conditionalFormatting sqref="AA248">
    <cfRule type="cellIs" dxfId="886" priority="1078" stopIfTrue="1" operator="equal">
      <formula>"Error"</formula>
    </cfRule>
  </conditionalFormatting>
  <conditionalFormatting sqref="X249:Y249">
    <cfRule type="containsText" dxfId="885" priority="1076" stopIfTrue="1" operator="containsText" text="Error">
      <formula>NOT(ISERROR(SEARCH("Error",X249)))</formula>
    </cfRule>
  </conditionalFormatting>
  <conditionalFormatting sqref="AA249">
    <cfRule type="containsText" dxfId="884" priority="1075" stopIfTrue="1" operator="containsText" text="Error">
      <formula>NOT(ISERROR(SEARCH("Error",AA249)))</formula>
    </cfRule>
  </conditionalFormatting>
  <conditionalFormatting sqref="AA251">
    <cfRule type="containsText" dxfId="883" priority="1074" stopIfTrue="1" operator="containsText" text="Error">
      <formula>NOT(ISERROR(SEARCH("Error",AA251)))</formula>
    </cfRule>
  </conditionalFormatting>
  <conditionalFormatting sqref="U215:U216 U218:U219">
    <cfRule type="containsText" dxfId="882" priority="1073" stopIfTrue="1" operator="containsText" text="Error">
      <formula>NOT(ISERROR(SEARCH("Error",U215)))</formula>
    </cfRule>
  </conditionalFormatting>
  <conditionalFormatting sqref="W249">
    <cfRule type="containsText" dxfId="881" priority="1072" stopIfTrue="1" operator="containsText" text="Error">
      <formula>NOT(ISERROR(SEARCH("Error",W249)))</formula>
    </cfRule>
  </conditionalFormatting>
  <conditionalFormatting sqref="W248">
    <cfRule type="cellIs" dxfId="880" priority="1070" stopIfTrue="1" operator="equal">
      <formula>"Error"</formula>
    </cfRule>
  </conditionalFormatting>
  <conditionalFormatting sqref="W247">
    <cfRule type="containsText" dxfId="879" priority="1071" stopIfTrue="1" operator="containsText" text="Error">
      <formula>NOT(ISERROR(SEARCH("Error",W247)))</formula>
    </cfRule>
  </conditionalFormatting>
  <conditionalFormatting sqref="W248">
    <cfRule type="containsText" dxfId="878" priority="1068" stopIfTrue="1" operator="containsText" text="Error">
      <formula>NOT(ISERROR(SEARCH("Error",W248)))</formula>
    </cfRule>
  </conditionalFormatting>
  <conditionalFormatting sqref="W248">
    <cfRule type="cellIs" dxfId="877" priority="1069" stopIfTrue="1" operator="equal">
      <formula>"Error"</formula>
    </cfRule>
  </conditionalFormatting>
  <conditionalFormatting sqref="Z267:Z268">
    <cfRule type="containsText" dxfId="876" priority="1067" stopIfTrue="1" operator="containsText" text="Error">
      <formula>NOT(ISERROR(SEARCH("Error",Z267)))</formula>
    </cfRule>
  </conditionalFormatting>
  <conditionalFormatting sqref="Z266">
    <cfRule type="containsText" dxfId="875" priority="1066" stopIfTrue="1" operator="containsText" text="Error">
      <formula>NOT(ISERROR(SEARCH("Error",Z266)))</formula>
    </cfRule>
  </conditionalFormatting>
  <conditionalFormatting sqref="Z272">
    <cfRule type="containsText" dxfId="874" priority="1065" stopIfTrue="1" operator="containsText" text="Error">
      <formula>NOT(ISERROR(SEARCH("Error",Z272)))</formula>
    </cfRule>
  </conditionalFormatting>
  <conditionalFormatting sqref="Z273">
    <cfRule type="cellIs" dxfId="873" priority="1064" stopIfTrue="1" operator="equal">
      <formula>"Error"</formula>
    </cfRule>
  </conditionalFormatting>
  <conditionalFormatting sqref="Z273">
    <cfRule type="cellIs" dxfId="872" priority="1063" stopIfTrue="1" operator="equal">
      <formula>"Error"</formula>
    </cfRule>
  </conditionalFormatting>
  <conditionalFormatting sqref="Z273">
    <cfRule type="containsText" dxfId="871" priority="1062" stopIfTrue="1" operator="containsText" text="Error">
      <formula>NOT(ISERROR(SEARCH("Error",Z273)))</formula>
    </cfRule>
  </conditionalFormatting>
  <conditionalFormatting sqref="Z241:Z242">
    <cfRule type="containsText" dxfId="870" priority="1061" stopIfTrue="1" operator="containsText" text="Error">
      <formula>NOT(ISERROR(SEARCH("Error",Z241)))</formula>
    </cfRule>
  </conditionalFormatting>
  <conditionalFormatting sqref="Z240">
    <cfRule type="containsText" dxfId="869" priority="1060" stopIfTrue="1" operator="containsText" text="Error">
      <formula>NOT(ISERROR(SEARCH("Error",Z240)))</formula>
    </cfRule>
  </conditionalFormatting>
  <conditionalFormatting sqref="Z251:Z252">
    <cfRule type="containsText" dxfId="868" priority="1059" stopIfTrue="1" operator="containsText" text="Error">
      <formula>NOT(ISERROR(SEARCH("Error",Z251)))</formula>
    </cfRule>
  </conditionalFormatting>
  <conditionalFormatting sqref="Z253">
    <cfRule type="cellIs" dxfId="867" priority="1058" stopIfTrue="1" operator="equal">
      <formula>"Error"</formula>
    </cfRule>
  </conditionalFormatting>
  <conditionalFormatting sqref="Z253">
    <cfRule type="cellIs" dxfId="866" priority="1057" stopIfTrue="1" operator="equal">
      <formula>"Error"</formula>
    </cfRule>
  </conditionalFormatting>
  <conditionalFormatting sqref="Z253">
    <cfRule type="containsText" dxfId="865" priority="1056" stopIfTrue="1" operator="containsText" text="Error">
      <formula>NOT(ISERROR(SEARCH("Error",Z253)))</formula>
    </cfRule>
  </conditionalFormatting>
  <conditionalFormatting sqref="Z205">
    <cfRule type="containsText" dxfId="864" priority="1055" stopIfTrue="1" operator="containsText" text="Error">
      <formula>NOT(ISERROR(SEARCH("Error",Z205)))</formula>
    </cfRule>
  </conditionalFormatting>
  <conditionalFormatting sqref="Z207">
    <cfRule type="cellIs" dxfId="863" priority="1054" stopIfTrue="1" operator="equal">
      <formula>"Error"</formula>
    </cfRule>
  </conditionalFormatting>
  <conditionalFormatting sqref="Z207">
    <cfRule type="cellIs" dxfId="862" priority="1053" stopIfTrue="1" operator="equal">
      <formula>"Error"</formula>
    </cfRule>
  </conditionalFormatting>
  <conditionalFormatting sqref="Z206">
    <cfRule type="cellIs" dxfId="861" priority="1052" stopIfTrue="1" operator="equal">
      <formula>"Error"</formula>
    </cfRule>
  </conditionalFormatting>
  <conditionalFormatting sqref="Z206:Z207">
    <cfRule type="containsText" dxfId="860" priority="1051" stopIfTrue="1" operator="containsText" text="Error">
      <formula>NOT(ISERROR(SEARCH("Error",Z206)))</formula>
    </cfRule>
  </conditionalFormatting>
  <conditionalFormatting sqref="W238">
    <cfRule type="containsText" dxfId="859" priority="1050" stopIfTrue="1" operator="containsText" text="Error">
      <formula>NOT(ISERROR(SEARCH("Error",W238)))</formula>
    </cfRule>
  </conditionalFormatting>
  <conditionalFormatting sqref="U217">
    <cfRule type="containsText" dxfId="858" priority="1047" stopIfTrue="1" operator="containsText" text="Error">
      <formula>NOT(ISERROR(SEARCH("Error",U217)))</formula>
    </cfRule>
  </conditionalFormatting>
  <conditionalFormatting sqref="S217">
    <cfRule type="containsText" dxfId="857" priority="1049" stopIfTrue="1" operator="containsText" text="Error">
      <formula>NOT(ISERROR(SEARCH("Error",S217)))</formula>
    </cfRule>
  </conditionalFormatting>
  <conditionalFormatting sqref="T217">
    <cfRule type="containsText" dxfId="856" priority="1048" stopIfTrue="1" operator="containsText" text="Error">
      <formula>NOT(ISERROR(SEARCH("Error",T217)))</formula>
    </cfRule>
  </conditionalFormatting>
  <conditionalFormatting sqref="W217">
    <cfRule type="containsText" dxfId="855" priority="1046" stopIfTrue="1" operator="containsText" text="Error">
      <formula>NOT(ISERROR(SEARCH("Error",W217)))</formula>
    </cfRule>
  </conditionalFormatting>
  <conditionalFormatting sqref="W215:W216">
    <cfRule type="containsText" dxfId="854" priority="1045" stopIfTrue="1" operator="containsText" text="Error">
      <formula>NOT(ISERROR(SEARCH("Error",W215)))</formula>
    </cfRule>
  </conditionalFormatting>
  <conditionalFormatting sqref="V349:Y349 V377:Y377 R294:U295 R341:Y342 R375:Y375 R371:Y371 R347:Y347 R344:Y345 Y294:Y295">
    <cfRule type="cellIs" dxfId="853" priority="1044" stopIfTrue="1" operator="equal">
      <formula>"Error"</formula>
    </cfRule>
  </conditionalFormatting>
  <conditionalFormatting sqref="X302:Y303 R307:Y307 R350 R376:R377 S376:U376 V293:W293 R378:U378 V376:Y378 V333:Y333 R348:U348 V348:Y349 V364:Y364 R288:Y288 R361:U364 V361:W363 R330:U333 V330:W332 R293:U295 R298:U298 R302:V303 Z319:AA325 R351:Y351 Z356:AA356 T299:Y299 T335:Y335 Y293:Y295 R355:Y356">
    <cfRule type="containsText" dxfId="852" priority="1043" stopIfTrue="1" operator="containsText" text="Error">
      <formula>NOT(ISERROR(SEARCH("Error",R288)))</formula>
    </cfRule>
  </conditionalFormatting>
  <conditionalFormatting sqref="R285 R296:R297 R289:R292">
    <cfRule type="containsText" dxfId="851" priority="1042" stopIfTrue="1" operator="containsText" text="Error">
      <formula>NOT(ISERROR(SEARCH("Error",R285)))</formula>
    </cfRule>
  </conditionalFormatting>
  <conditionalFormatting sqref="S285 S296:S297 S350 S301 S289:S292">
    <cfRule type="containsText" dxfId="850" priority="1041" stopIfTrue="1" operator="containsText" text="Error">
      <formula>NOT(ISERROR(SEARCH("Error",S285)))</formula>
    </cfRule>
  </conditionalFormatting>
  <conditionalFormatting sqref="T285 T296:T297 T350 T301 T289:T292">
    <cfRule type="containsText" dxfId="849" priority="1040" stopIfTrue="1" operator="containsText" text="Error">
      <formula>NOT(ISERROR(SEARCH("Error",T285)))</formula>
    </cfRule>
  </conditionalFormatting>
  <conditionalFormatting sqref="U285 U296:U297 U350 U301 U289:U292">
    <cfRule type="containsText" dxfId="848" priority="1039" stopIfTrue="1" operator="containsText" text="Error">
      <formula>NOT(ISERROR(SEARCH("Error",U285)))</formula>
    </cfRule>
  </conditionalFormatting>
  <conditionalFormatting sqref="V295:W295">
    <cfRule type="cellIs" dxfId="847" priority="1038" stopIfTrue="1" operator="equal">
      <formula>"Error"</formula>
    </cfRule>
  </conditionalFormatting>
  <conditionalFormatting sqref="V295:W295">
    <cfRule type="cellIs" dxfId="846" priority="1037" stopIfTrue="1" operator="equal">
      <formula>"Error"</formula>
    </cfRule>
  </conditionalFormatting>
  <conditionalFormatting sqref="V294:W294">
    <cfRule type="cellIs" dxfId="845" priority="1036" stopIfTrue="1" operator="equal">
      <formula>"Error"</formula>
    </cfRule>
  </conditionalFormatting>
  <conditionalFormatting sqref="V285 V296:V297 V350 V301 V289:V292 V294:W295">
    <cfRule type="containsText" dxfId="844" priority="1035" stopIfTrue="1" operator="containsText" text="Error">
      <formula>NOT(ISERROR(SEARCH("Error",V285)))</formula>
    </cfRule>
  </conditionalFormatting>
  <conditionalFormatting sqref="V298">
    <cfRule type="containsText" dxfId="843" priority="1034" stopIfTrue="1" operator="containsText" text="Error">
      <formula>NOT(ISERROR(SEARCH("Error",V298)))</formula>
    </cfRule>
  </conditionalFormatting>
  <conditionalFormatting sqref="W285 W296:W297 W350 W301 W289:W292">
    <cfRule type="containsText" dxfId="842" priority="1033" stopIfTrue="1" operator="containsText" text="Error">
      <formula>NOT(ISERROR(SEARCH("Error",W285)))</formula>
    </cfRule>
  </conditionalFormatting>
  <conditionalFormatting sqref="W298">
    <cfRule type="containsText" dxfId="841" priority="1032" stopIfTrue="1" operator="containsText" text="Error">
      <formula>NOT(ISERROR(SEARCH("Error",W298)))</formula>
    </cfRule>
  </conditionalFormatting>
  <conditionalFormatting sqref="X285:Y285 X296:Y297 X350:Y350 X301:Y301 X289:Y292">
    <cfRule type="containsText" dxfId="840" priority="1031" stopIfTrue="1" operator="containsText" text="Error">
      <formula>NOT(ISERROR(SEARCH("Error",X285)))</formula>
    </cfRule>
  </conditionalFormatting>
  <conditionalFormatting sqref="X298:Y298">
    <cfRule type="containsText" dxfId="839" priority="1030" stopIfTrue="1" operator="containsText" text="Error">
      <formula>NOT(ISERROR(SEARCH("Error",X298)))</formula>
    </cfRule>
  </conditionalFormatting>
  <conditionalFormatting sqref="R299:S299">
    <cfRule type="containsText" dxfId="838" priority="1029" stopIfTrue="1" operator="containsText" text="Error">
      <formula>NOT(ISERROR(SEARCH("Error",R299)))</formula>
    </cfRule>
  </conditionalFormatting>
  <conditionalFormatting sqref="R304">
    <cfRule type="containsText" dxfId="837" priority="1028" stopIfTrue="1" operator="containsText" text="Error">
      <formula>NOT(ISERROR(SEARCH("Error",R304)))</formula>
    </cfRule>
  </conditionalFormatting>
  <conditionalFormatting sqref="S304">
    <cfRule type="containsText" dxfId="836" priority="1027" stopIfTrue="1" operator="containsText" text="Error">
      <formula>NOT(ISERROR(SEARCH("Error",S304)))</formula>
    </cfRule>
  </conditionalFormatting>
  <conditionalFormatting sqref="T304">
    <cfRule type="containsText" dxfId="835" priority="1026" stopIfTrue="1" operator="containsText" text="Error">
      <formula>NOT(ISERROR(SEARCH("Error",T304)))</formula>
    </cfRule>
  </conditionalFormatting>
  <conditionalFormatting sqref="U304">
    <cfRule type="containsText" dxfId="834" priority="1025" stopIfTrue="1" operator="containsText" text="Error">
      <formula>NOT(ISERROR(SEARCH("Error",U304)))</formula>
    </cfRule>
  </conditionalFormatting>
  <conditionalFormatting sqref="V304">
    <cfRule type="containsText" dxfId="833" priority="1024" stopIfTrue="1" operator="containsText" text="Error">
      <formula>NOT(ISERROR(SEARCH("Error",V304)))</formula>
    </cfRule>
  </conditionalFormatting>
  <conditionalFormatting sqref="W304">
    <cfRule type="containsText" dxfId="832" priority="1023" stopIfTrue="1" operator="containsText" text="Error">
      <formula>NOT(ISERROR(SEARCH("Error",W304)))</formula>
    </cfRule>
  </conditionalFormatting>
  <conditionalFormatting sqref="X304:Y304">
    <cfRule type="containsText" dxfId="831" priority="1022" stopIfTrue="1" operator="containsText" text="Error">
      <formula>NOT(ISERROR(SEARCH("Error",X304)))</formula>
    </cfRule>
  </conditionalFormatting>
  <conditionalFormatting sqref="R349 X331:Y332">
    <cfRule type="containsText" dxfId="830" priority="1021" stopIfTrue="1" operator="containsText" text="Error">
      <formula>NOT(ISERROR(SEARCH("Error",R331)))</formula>
    </cfRule>
  </conditionalFormatting>
  <conditionalFormatting sqref="R349:U349">
    <cfRule type="cellIs" dxfId="829" priority="1020" stopIfTrue="1" operator="equal">
      <formula>"Error"</formula>
    </cfRule>
  </conditionalFormatting>
  <conditionalFormatting sqref="R349:U349">
    <cfRule type="cellIs" dxfId="828" priority="1019" stopIfTrue="1" operator="equal">
      <formula>"Error"</formula>
    </cfRule>
  </conditionalFormatting>
  <conditionalFormatting sqref="S349:U349">
    <cfRule type="containsText" dxfId="827" priority="1018" stopIfTrue="1" operator="containsText" text="Error">
      <formula>NOT(ISERROR(SEARCH("Error",S349)))</formula>
    </cfRule>
  </conditionalFormatting>
  <conditionalFormatting sqref="X362:Y363">
    <cfRule type="containsText" dxfId="826" priority="1017" stopIfTrue="1" operator="containsText" text="Error">
      <formula>NOT(ISERROR(SEARCH("Error",X362)))</formula>
    </cfRule>
  </conditionalFormatting>
  <conditionalFormatting sqref="R377:U377">
    <cfRule type="cellIs" dxfId="825" priority="1016" stopIfTrue="1" operator="equal">
      <formula>"Error"</formula>
    </cfRule>
  </conditionalFormatting>
  <conditionalFormatting sqref="R377:U377">
    <cfRule type="cellIs" dxfId="824" priority="1015" stopIfTrue="1" operator="equal">
      <formula>"Error"</formula>
    </cfRule>
  </conditionalFormatting>
  <conditionalFormatting sqref="S377:U377">
    <cfRule type="containsText" dxfId="823" priority="1014" stopIfTrue="1" operator="containsText" text="Error">
      <formula>NOT(ISERROR(SEARCH("Error",S377)))</formula>
    </cfRule>
  </conditionalFormatting>
  <conditionalFormatting sqref="X330:Y330">
    <cfRule type="containsText" dxfId="822" priority="1013" stopIfTrue="1" operator="containsText" text="Error">
      <formula>NOT(ISERROR(SEARCH("Error",X330)))</formula>
    </cfRule>
  </conditionalFormatting>
  <conditionalFormatting sqref="R326:R328">
    <cfRule type="containsText" dxfId="821" priority="1012" stopIfTrue="1" operator="containsText" text="Error">
      <formula>NOT(ISERROR(SEARCH("Error",R326)))</formula>
    </cfRule>
  </conditionalFormatting>
  <conditionalFormatting sqref="S326:S328">
    <cfRule type="containsText" dxfId="820" priority="1011" stopIfTrue="1" operator="containsText" text="Error">
      <formula>NOT(ISERROR(SEARCH("Error",S326)))</formula>
    </cfRule>
  </conditionalFormatting>
  <conditionalFormatting sqref="T326:T328">
    <cfRule type="containsText" dxfId="819" priority="1010" stopIfTrue="1" operator="containsText" text="Error">
      <formula>NOT(ISERROR(SEARCH("Error",T326)))</formula>
    </cfRule>
  </conditionalFormatting>
  <conditionalFormatting sqref="U326:U328">
    <cfRule type="containsText" dxfId="818" priority="1009" stopIfTrue="1" operator="containsText" text="Error">
      <formula>NOT(ISERROR(SEARCH("Error",U326)))</formula>
    </cfRule>
  </conditionalFormatting>
  <conditionalFormatting sqref="V326:V328">
    <cfRule type="containsText" dxfId="817" priority="1008" stopIfTrue="1" operator="containsText" text="Error">
      <formula>NOT(ISERROR(SEARCH("Error",V326)))</formula>
    </cfRule>
  </conditionalFormatting>
  <conditionalFormatting sqref="W326:W328">
    <cfRule type="containsText" dxfId="816" priority="1007" stopIfTrue="1" operator="containsText" text="Error">
      <formula>NOT(ISERROR(SEARCH("Error",W326)))</formula>
    </cfRule>
  </conditionalFormatting>
  <conditionalFormatting sqref="X326:Y328">
    <cfRule type="containsText" dxfId="815" priority="1006" stopIfTrue="1" operator="containsText" text="Error">
      <formula>NOT(ISERROR(SEARCH("Error",X326)))</formula>
    </cfRule>
  </conditionalFormatting>
  <conditionalFormatting sqref="R329">
    <cfRule type="containsText" dxfId="814" priority="1005" stopIfTrue="1" operator="containsText" text="Error">
      <formula>NOT(ISERROR(SEARCH("Error",R329)))</formula>
    </cfRule>
  </conditionalFormatting>
  <conditionalFormatting sqref="S329">
    <cfRule type="containsText" dxfId="813" priority="1004" stopIfTrue="1" operator="containsText" text="Error">
      <formula>NOT(ISERROR(SEARCH("Error",S329)))</formula>
    </cfRule>
  </conditionalFormatting>
  <conditionalFormatting sqref="T329">
    <cfRule type="containsText" dxfId="812" priority="1003" stopIfTrue="1" operator="containsText" text="Error">
      <formula>NOT(ISERROR(SEARCH("Error",T329)))</formula>
    </cfRule>
  </conditionalFormatting>
  <conditionalFormatting sqref="U329">
    <cfRule type="containsText" dxfId="811" priority="1002" stopIfTrue="1" operator="containsText" text="Error">
      <formula>NOT(ISERROR(SEARCH("Error",U329)))</formula>
    </cfRule>
  </conditionalFormatting>
  <conditionalFormatting sqref="V329">
    <cfRule type="containsText" dxfId="810" priority="1001" stopIfTrue="1" operator="containsText" text="Error">
      <formula>NOT(ISERROR(SEARCH("Error",V329)))</formula>
    </cfRule>
  </conditionalFormatting>
  <conditionalFormatting sqref="W329">
    <cfRule type="containsText" dxfId="809" priority="1000" stopIfTrue="1" operator="containsText" text="Error">
      <formula>NOT(ISERROR(SEARCH("Error",W329)))</formula>
    </cfRule>
  </conditionalFormatting>
  <conditionalFormatting sqref="X329:Y329">
    <cfRule type="containsText" dxfId="808" priority="999" stopIfTrue="1" operator="containsText" text="Error">
      <formula>NOT(ISERROR(SEARCH("Error",X329)))</formula>
    </cfRule>
  </conditionalFormatting>
  <conditionalFormatting sqref="X361:Y361">
    <cfRule type="containsText" dxfId="807" priority="998" stopIfTrue="1" operator="containsText" text="Error">
      <formula>NOT(ISERROR(SEARCH("Error",X361)))</formula>
    </cfRule>
  </conditionalFormatting>
  <conditionalFormatting sqref="R357:R359">
    <cfRule type="containsText" dxfId="806" priority="997" stopIfTrue="1" operator="containsText" text="Error">
      <formula>NOT(ISERROR(SEARCH("Error",R357)))</formula>
    </cfRule>
  </conditionalFormatting>
  <conditionalFormatting sqref="S357:S359">
    <cfRule type="containsText" dxfId="805" priority="996" stopIfTrue="1" operator="containsText" text="Error">
      <formula>NOT(ISERROR(SEARCH("Error",S357)))</formula>
    </cfRule>
  </conditionalFormatting>
  <conditionalFormatting sqref="T357:T359">
    <cfRule type="containsText" dxfId="804" priority="995" stopIfTrue="1" operator="containsText" text="Error">
      <formula>NOT(ISERROR(SEARCH("Error",T357)))</formula>
    </cfRule>
  </conditionalFormatting>
  <conditionalFormatting sqref="U357:U359">
    <cfRule type="containsText" dxfId="803" priority="994" stopIfTrue="1" operator="containsText" text="Error">
      <formula>NOT(ISERROR(SEARCH("Error",U357)))</formula>
    </cfRule>
  </conditionalFormatting>
  <conditionalFormatting sqref="V357:V359">
    <cfRule type="containsText" dxfId="802" priority="993" stopIfTrue="1" operator="containsText" text="Error">
      <formula>NOT(ISERROR(SEARCH("Error",V357)))</formula>
    </cfRule>
  </conditionalFormatting>
  <conditionalFormatting sqref="W357:W359">
    <cfRule type="containsText" dxfId="801" priority="992" stopIfTrue="1" operator="containsText" text="Error">
      <formula>NOT(ISERROR(SEARCH("Error",W357)))</formula>
    </cfRule>
  </conditionalFormatting>
  <conditionalFormatting sqref="X357:Y359">
    <cfRule type="containsText" dxfId="800" priority="991" stopIfTrue="1" operator="containsText" text="Error">
      <formula>NOT(ISERROR(SEARCH("Error",X357)))</formula>
    </cfRule>
  </conditionalFormatting>
  <conditionalFormatting sqref="R360">
    <cfRule type="containsText" dxfId="799" priority="990" stopIfTrue="1" operator="containsText" text="Error">
      <formula>NOT(ISERROR(SEARCH("Error",R360)))</formula>
    </cfRule>
  </conditionalFormatting>
  <conditionalFormatting sqref="S360">
    <cfRule type="containsText" dxfId="798" priority="989" stopIfTrue="1" operator="containsText" text="Error">
      <formula>NOT(ISERROR(SEARCH("Error",S360)))</formula>
    </cfRule>
  </conditionalFormatting>
  <conditionalFormatting sqref="T360">
    <cfRule type="containsText" dxfId="797" priority="988" stopIfTrue="1" operator="containsText" text="Error">
      <formula>NOT(ISERROR(SEARCH("Error",T360)))</formula>
    </cfRule>
  </conditionalFormatting>
  <conditionalFormatting sqref="U360">
    <cfRule type="containsText" dxfId="796" priority="987" stopIfTrue="1" operator="containsText" text="Error">
      <formula>NOT(ISERROR(SEARCH("Error",U360)))</formula>
    </cfRule>
  </conditionalFormatting>
  <conditionalFormatting sqref="V360">
    <cfRule type="containsText" dxfId="795" priority="986" stopIfTrue="1" operator="containsText" text="Error">
      <formula>NOT(ISERROR(SEARCH("Error",V360)))</formula>
    </cfRule>
  </conditionalFormatting>
  <conditionalFormatting sqref="W360">
    <cfRule type="containsText" dxfId="794" priority="985" stopIfTrue="1" operator="containsText" text="Error">
      <formula>NOT(ISERROR(SEARCH("Error",W360)))</formula>
    </cfRule>
  </conditionalFormatting>
  <conditionalFormatting sqref="X360:Y360">
    <cfRule type="containsText" dxfId="793" priority="984" stopIfTrue="1" operator="containsText" text="Error">
      <formula>NOT(ISERROR(SEARCH("Error",X360)))</formula>
    </cfRule>
  </conditionalFormatting>
  <conditionalFormatting sqref="AA307 AA378 AA293">
    <cfRule type="containsText" dxfId="792" priority="983" stopIfTrue="1" operator="containsText" text="Error">
      <formula>NOT(ISERROR(SEARCH("Error",AA293)))</formula>
    </cfRule>
  </conditionalFormatting>
  <conditionalFormatting sqref="AA295">
    <cfRule type="cellIs" dxfId="791" priority="980" stopIfTrue="1" operator="equal">
      <formula>"Error"</formula>
    </cfRule>
  </conditionalFormatting>
  <conditionalFormatting sqref="AA295">
    <cfRule type="cellIs" dxfId="790" priority="979" stopIfTrue="1" operator="equal">
      <formula>"Error"</formula>
    </cfRule>
  </conditionalFormatting>
  <conditionalFormatting sqref="AA294">
    <cfRule type="cellIs" dxfId="789" priority="978" stopIfTrue="1" operator="equal">
      <formula>"Error"</formula>
    </cfRule>
  </conditionalFormatting>
  <conditionalFormatting sqref="AA285 AA350 AA301 AA289:AA292 AA294:AA297">
    <cfRule type="containsText" dxfId="788" priority="977" stopIfTrue="1" operator="containsText" text="Error">
      <formula>NOT(ISERROR(SEARCH("Error",AA285)))</formula>
    </cfRule>
  </conditionalFormatting>
  <conditionalFormatting sqref="AA298">
    <cfRule type="containsText" dxfId="787" priority="976" stopIfTrue="1" operator="containsText" text="Error">
      <formula>NOT(ISERROR(SEARCH("Error",AA298)))</formula>
    </cfRule>
  </conditionalFormatting>
  <conditionalFormatting sqref="AA299">
    <cfRule type="containsText" dxfId="786" priority="975" stopIfTrue="1" operator="containsText" text="Error">
      <formula>NOT(ISERROR(SEARCH("Error",AA299)))</formula>
    </cfRule>
  </conditionalFormatting>
  <conditionalFormatting sqref="AA304">
    <cfRule type="containsText" dxfId="785" priority="974" stopIfTrue="1" operator="containsText" text="Error">
      <formula>NOT(ISERROR(SEARCH("Error",AA304)))</formula>
    </cfRule>
  </conditionalFormatting>
  <conditionalFormatting sqref="AA288">
    <cfRule type="containsText" dxfId="784" priority="973" stopIfTrue="1" operator="containsText" text="Error">
      <formula>NOT(ISERROR(SEARCH("Error",AA288)))</formula>
    </cfRule>
  </conditionalFormatting>
  <conditionalFormatting sqref="AA349">
    <cfRule type="cellIs" dxfId="783" priority="970" stopIfTrue="1" operator="equal">
      <formula>"Error"</formula>
    </cfRule>
  </conditionalFormatting>
  <conditionalFormatting sqref="AA331:AA333 AA348">
    <cfRule type="containsText" dxfId="782" priority="971" stopIfTrue="1" operator="containsText" text="Error">
      <formula>NOT(ISERROR(SEARCH("Error",AA331)))</formula>
    </cfRule>
  </conditionalFormatting>
  <conditionalFormatting sqref="AA349">
    <cfRule type="cellIs" dxfId="781" priority="969" stopIfTrue="1" operator="equal">
      <formula>"Error"</formula>
    </cfRule>
  </conditionalFormatting>
  <conditionalFormatting sqref="AA349">
    <cfRule type="containsText" dxfId="780" priority="968" stopIfTrue="1" operator="containsText" text="Error">
      <formula>NOT(ISERROR(SEARCH("Error",AA349)))</formula>
    </cfRule>
  </conditionalFormatting>
  <conditionalFormatting sqref="AA351:AA354 AA362:AA364 AA376">
    <cfRule type="containsText" dxfId="779" priority="967" stopIfTrue="1" operator="containsText" text="Error">
      <formula>NOT(ISERROR(SEARCH("Error",AA351)))</formula>
    </cfRule>
  </conditionalFormatting>
  <conditionalFormatting sqref="AA377">
    <cfRule type="cellIs" dxfId="778" priority="966" stopIfTrue="1" operator="equal">
      <formula>"Error"</formula>
    </cfRule>
  </conditionalFormatting>
  <conditionalFormatting sqref="AA377">
    <cfRule type="cellIs" dxfId="777" priority="965" stopIfTrue="1" operator="equal">
      <formula>"Error"</formula>
    </cfRule>
  </conditionalFormatting>
  <conditionalFormatting sqref="AA377">
    <cfRule type="containsText" dxfId="776" priority="964" stopIfTrue="1" operator="containsText" text="Error">
      <formula>NOT(ISERROR(SEARCH("Error",AA377)))</formula>
    </cfRule>
  </conditionalFormatting>
  <conditionalFormatting sqref="AA330">
    <cfRule type="containsText" dxfId="775" priority="963" stopIfTrue="1" operator="containsText" text="Error">
      <formula>NOT(ISERROR(SEARCH("Error",AA330)))</formula>
    </cfRule>
  </conditionalFormatting>
  <conditionalFormatting sqref="AA326:AA328">
    <cfRule type="containsText" dxfId="774" priority="962" stopIfTrue="1" operator="containsText" text="Error">
      <formula>NOT(ISERROR(SEARCH("Error",AA326)))</formula>
    </cfRule>
  </conditionalFormatting>
  <conditionalFormatting sqref="AA329">
    <cfRule type="containsText" dxfId="773" priority="961" stopIfTrue="1" operator="containsText" text="Error">
      <formula>NOT(ISERROR(SEARCH("Error",AA329)))</formula>
    </cfRule>
  </conditionalFormatting>
  <conditionalFormatting sqref="AA361">
    <cfRule type="containsText" dxfId="772" priority="960" stopIfTrue="1" operator="containsText" text="Error">
      <formula>NOT(ISERROR(SEARCH("Error",AA361)))</formula>
    </cfRule>
  </conditionalFormatting>
  <conditionalFormatting sqref="AA357:AA359">
    <cfRule type="containsText" dxfId="771" priority="959" stopIfTrue="1" operator="containsText" text="Error">
      <formula>NOT(ISERROR(SEARCH("Error",AA357)))</formula>
    </cfRule>
  </conditionalFormatting>
  <conditionalFormatting sqref="AA360">
    <cfRule type="containsText" dxfId="770" priority="958" stopIfTrue="1" operator="containsText" text="Error">
      <formula>NOT(ISERROR(SEARCH("Error",AA360)))</formula>
    </cfRule>
  </conditionalFormatting>
  <conditionalFormatting sqref="AA355">
    <cfRule type="containsText" dxfId="769" priority="957" stopIfTrue="1" operator="containsText" text="Error">
      <formula>NOT(ISERROR(SEARCH("Error",AA355)))</formula>
    </cfRule>
  </conditionalFormatting>
  <conditionalFormatting sqref="S334">
    <cfRule type="containsText" dxfId="768" priority="951" stopIfTrue="1" operator="containsText" text="Error">
      <formula>NOT(ISERROR(SEARCH("Error",S334)))</formula>
    </cfRule>
  </conditionalFormatting>
  <conditionalFormatting sqref="U334">
    <cfRule type="containsText" dxfId="767" priority="949" stopIfTrue="1" operator="containsText" text="Error">
      <formula>NOT(ISERROR(SEARCH("Error",U334)))</formula>
    </cfRule>
  </conditionalFormatting>
  <conditionalFormatting sqref="V334">
    <cfRule type="containsText" dxfId="766" priority="948" stopIfTrue="1" operator="containsText" text="Error">
      <formula>NOT(ISERROR(SEARCH("Error",V334)))</formula>
    </cfRule>
  </conditionalFormatting>
  <conditionalFormatting sqref="X334">
    <cfRule type="containsText" dxfId="765" priority="946" stopIfTrue="1" operator="containsText" text="Error">
      <formula>NOT(ISERROR(SEARCH("Error",X334)))</formula>
    </cfRule>
  </conditionalFormatting>
  <conditionalFormatting sqref="R335:S335">
    <cfRule type="containsText" dxfId="764" priority="956" stopIfTrue="1" operator="containsText" text="Error">
      <formula>NOT(ISERROR(SEARCH("Error",R335)))</formula>
    </cfRule>
  </conditionalFormatting>
  <conditionalFormatting sqref="AA335">
    <cfRule type="containsText" dxfId="763" priority="955" stopIfTrue="1" operator="containsText" text="Error">
      <formula>NOT(ISERROR(SEARCH("Error",AA335)))</formula>
    </cfRule>
  </conditionalFormatting>
  <conditionalFormatting sqref="AA342">
    <cfRule type="cellIs" dxfId="762" priority="954" stopIfTrue="1" operator="equal">
      <formula>"Error"</formula>
    </cfRule>
  </conditionalFormatting>
  <conditionalFormatting sqref="AA341">
    <cfRule type="cellIs" dxfId="761" priority="953" stopIfTrue="1" operator="equal">
      <formula>"Error"</formula>
    </cfRule>
  </conditionalFormatting>
  <conditionalFormatting sqref="R334">
    <cfRule type="containsText" dxfId="760" priority="952" stopIfTrue="1" operator="containsText" text="Error">
      <formula>NOT(ISERROR(SEARCH("Error",R334)))</formula>
    </cfRule>
  </conditionalFormatting>
  <conditionalFormatting sqref="T334">
    <cfRule type="containsText" dxfId="759" priority="950" stopIfTrue="1" operator="containsText" text="Error">
      <formula>NOT(ISERROR(SEARCH("Error",T334)))</formula>
    </cfRule>
  </conditionalFormatting>
  <conditionalFormatting sqref="W334">
    <cfRule type="containsText" dxfId="758" priority="947" stopIfTrue="1" operator="containsText" text="Error">
      <formula>NOT(ISERROR(SEARCH("Error",W334)))</formula>
    </cfRule>
  </conditionalFormatting>
  <conditionalFormatting sqref="Y334">
    <cfRule type="containsText" dxfId="757" priority="945" stopIfTrue="1" operator="containsText" text="Error">
      <formula>NOT(ISERROR(SEARCH("Error",Y334)))</formula>
    </cfRule>
  </conditionalFormatting>
  <conditionalFormatting sqref="AA334">
    <cfRule type="containsText" dxfId="756" priority="944" stopIfTrue="1" operator="containsText" text="Error">
      <formula>NOT(ISERROR(SEARCH("Error",AA334)))</formula>
    </cfRule>
  </conditionalFormatting>
  <conditionalFormatting sqref="AA344">
    <cfRule type="cellIs" dxfId="755" priority="941" stopIfTrue="1" operator="equal">
      <formula>"Error"</formula>
    </cfRule>
  </conditionalFormatting>
  <conditionalFormatting sqref="R344:U344">
    <cfRule type="cellIs" dxfId="754" priority="943" stopIfTrue="1" operator="equal">
      <formula>"Error"</formula>
    </cfRule>
  </conditionalFormatting>
  <conditionalFormatting sqref="R344:U344">
    <cfRule type="cellIs" dxfId="753" priority="942" stopIfTrue="1" operator="equal">
      <formula>"Error"</formula>
    </cfRule>
  </conditionalFormatting>
  <conditionalFormatting sqref="AA344">
    <cfRule type="cellIs" dxfId="752" priority="940" stopIfTrue="1" operator="equal">
      <formula>"Error"</formula>
    </cfRule>
  </conditionalFormatting>
  <conditionalFormatting sqref="AA375">
    <cfRule type="cellIs" dxfId="751" priority="939" stopIfTrue="1" operator="equal">
      <formula>"Error"</formula>
    </cfRule>
  </conditionalFormatting>
  <conditionalFormatting sqref="S366">
    <cfRule type="containsText" dxfId="750" priority="937" stopIfTrue="1" operator="containsText" text="Error">
      <formula>NOT(ISERROR(SEARCH("Error",S366)))</formula>
    </cfRule>
  </conditionalFormatting>
  <conditionalFormatting sqref="U366">
    <cfRule type="containsText" dxfId="749" priority="935" stopIfTrue="1" operator="containsText" text="Error">
      <formula>NOT(ISERROR(SEARCH("Error",U366)))</formula>
    </cfRule>
  </conditionalFormatting>
  <conditionalFormatting sqref="V366">
    <cfRule type="containsText" dxfId="748" priority="934" stopIfTrue="1" operator="containsText" text="Error">
      <formula>NOT(ISERROR(SEARCH("Error",V366)))</formula>
    </cfRule>
  </conditionalFormatting>
  <conditionalFormatting sqref="X366">
    <cfRule type="containsText" dxfId="747" priority="932" stopIfTrue="1" operator="containsText" text="Error">
      <formula>NOT(ISERROR(SEARCH("Error",X366)))</formula>
    </cfRule>
  </conditionalFormatting>
  <conditionalFormatting sqref="R366">
    <cfRule type="containsText" dxfId="746" priority="938" stopIfTrue="1" operator="containsText" text="Error">
      <formula>NOT(ISERROR(SEARCH("Error",R366)))</formula>
    </cfRule>
  </conditionalFormatting>
  <conditionalFormatting sqref="T366">
    <cfRule type="containsText" dxfId="745" priority="936" stopIfTrue="1" operator="containsText" text="Error">
      <formula>NOT(ISERROR(SEARCH("Error",T366)))</formula>
    </cfRule>
  </conditionalFormatting>
  <conditionalFormatting sqref="W366">
    <cfRule type="containsText" dxfId="744" priority="933" stopIfTrue="1" operator="containsText" text="Error">
      <formula>NOT(ISERROR(SEARCH("Error",W366)))</formula>
    </cfRule>
  </conditionalFormatting>
  <conditionalFormatting sqref="Y366">
    <cfRule type="containsText" dxfId="743" priority="931" stopIfTrue="1" operator="containsText" text="Error">
      <formula>NOT(ISERROR(SEARCH("Error",Y366)))</formula>
    </cfRule>
  </conditionalFormatting>
  <conditionalFormatting sqref="AA366">
    <cfRule type="containsText" dxfId="742" priority="930" stopIfTrue="1" operator="containsText" text="Error">
      <formula>NOT(ISERROR(SEARCH("Error",AA366)))</formula>
    </cfRule>
  </conditionalFormatting>
  <conditionalFormatting sqref="R365">
    <cfRule type="containsText" dxfId="741" priority="929" stopIfTrue="1" operator="containsText" text="Error">
      <formula>NOT(ISERROR(SEARCH("Error",R365)))</formula>
    </cfRule>
  </conditionalFormatting>
  <conditionalFormatting sqref="S365">
    <cfRule type="containsText" dxfId="740" priority="928" stopIfTrue="1" operator="containsText" text="Error">
      <formula>NOT(ISERROR(SEARCH("Error",S365)))</formula>
    </cfRule>
  </conditionalFormatting>
  <conditionalFormatting sqref="T365">
    <cfRule type="containsText" dxfId="739" priority="927" stopIfTrue="1" operator="containsText" text="Error">
      <formula>NOT(ISERROR(SEARCH("Error",T365)))</formula>
    </cfRule>
  </conditionalFormatting>
  <conditionalFormatting sqref="U365">
    <cfRule type="containsText" dxfId="738" priority="926" stopIfTrue="1" operator="containsText" text="Error">
      <formula>NOT(ISERROR(SEARCH("Error",U365)))</formula>
    </cfRule>
  </conditionalFormatting>
  <conditionalFormatting sqref="V365">
    <cfRule type="containsText" dxfId="737" priority="925" stopIfTrue="1" operator="containsText" text="Error">
      <formula>NOT(ISERROR(SEARCH("Error",V365)))</formula>
    </cfRule>
  </conditionalFormatting>
  <conditionalFormatting sqref="W365">
    <cfRule type="containsText" dxfId="736" priority="924" stopIfTrue="1" operator="containsText" text="Error">
      <formula>NOT(ISERROR(SEARCH("Error",W365)))</formula>
    </cfRule>
  </conditionalFormatting>
  <conditionalFormatting sqref="X365">
    <cfRule type="containsText" dxfId="735" priority="923" stopIfTrue="1" operator="containsText" text="Error">
      <formula>NOT(ISERROR(SEARCH("Error",X365)))</formula>
    </cfRule>
  </conditionalFormatting>
  <conditionalFormatting sqref="Y365">
    <cfRule type="containsText" dxfId="734" priority="922" stopIfTrue="1" operator="containsText" text="Error">
      <formula>NOT(ISERROR(SEARCH("Error",Y365)))</formula>
    </cfRule>
  </conditionalFormatting>
  <conditionalFormatting sqref="AA365">
    <cfRule type="containsText" dxfId="733" priority="921" stopIfTrue="1" operator="containsText" text="Error">
      <formula>NOT(ISERROR(SEARCH("Error",AA365)))</formula>
    </cfRule>
  </conditionalFormatting>
  <conditionalFormatting sqref="AA345">
    <cfRule type="cellIs" dxfId="732" priority="920" stopIfTrue="1" operator="equal">
      <formula>"Error"</formula>
    </cfRule>
  </conditionalFormatting>
  <conditionalFormatting sqref="AA347">
    <cfRule type="cellIs" dxfId="731" priority="919" stopIfTrue="1" operator="equal">
      <formula>"Error"</formula>
    </cfRule>
  </conditionalFormatting>
  <conditionalFormatting sqref="Y344">
    <cfRule type="cellIs" dxfId="730" priority="918" stopIfTrue="1" operator="equal">
      <formula>"Error"</formula>
    </cfRule>
  </conditionalFormatting>
  <conditionalFormatting sqref="Y344">
    <cfRule type="cellIs" dxfId="729" priority="917" stopIfTrue="1" operator="equal">
      <formula>"Error"</formula>
    </cfRule>
  </conditionalFormatting>
  <conditionalFormatting sqref="Z307 Z378 Z293">
    <cfRule type="containsText" dxfId="728" priority="916" stopIfTrue="1" operator="containsText" text="Error">
      <formula>NOT(ISERROR(SEARCH("Error",Z293)))</formula>
    </cfRule>
  </conditionalFormatting>
  <conditionalFormatting sqref="Z295">
    <cfRule type="cellIs" dxfId="727" priority="913" stopIfTrue="1" operator="equal">
      <formula>"Error"</formula>
    </cfRule>
  </conditionalFormatting>
  <conditionalFormatting sqref="Z295">
    <cfRule type="cellIs" dxfId="726" priority="912" stopIfTrue="1" operator="equal">
      <formula>"Error"</formula>
    </cfRule>
  </conditionalFormatting>
  <conditionalFormatting sqref="Z294">
    <cfRule type="cellIs" dxfId="725" priority="911" stopIfTrue="1" operator="equal">
      <formula>"Error"</formula>
    </cfRule>
  </conditionalFormatting>
  <conditionalFormatting sqref="Z285 Z350 Z301 Z289:Z292 Z294:Z297">
    <cfRule type="containsText" dxfId="724" priority="910" stopIfTrue="1" operator="containsText" text="Error">
      <formula>NOT(ISERROR(SEARCH("Error",Z285)))</formula>
    </cfRule>
  </conditionalFormatting>
  <conditionalFormatting sqref="Z298">
    <cfRule type="containsText" dxfId="723" priority="909" stopIfTrue="1" operator="containsText" text="Error">
      <formula>NOT(ISERROR(SEARCH("Error",Z298)))</formula>
    </cfRule>
  </conditionalFormatting>
  <conditionalFormatting sqref="Z299">
    <cfRule type="containsText" dxfId="722" priority="908" stopIfTrue="1" operator="containsText" text="Error">
      <formula>NOT(ISERROR(SEARCH("Error",Z299)))</formula>
    </cfRule>
  </conditionalFormatting>
  <conditionalFormatting sqref="Z304">
    <cfRule type="containsText" dxfId="721" priority="907" stopIfTrue="1" operator="containsText" text="Error">
      <formula>NOT(ISERROR(SEARCH("Error",Z304)))</formula>
    </cfRule>
  </conditionalFormatting>
  <conditionalFormatting sqref="Z288">
    <cfRule type="containsText" dxfId="720" priority="906" stopIfTrue="1" operator="containsText" text="Error">
      <formula>NOT(ISERROR(SEARCH("Error",Z288)))</formula>
    </cfRule>
  </conditionalFormatting>
  <conditionalFormatting sqref="Z349">
    <cfRule type="cellIs" dxfId="719" priority="903" stopIfTrue="1" operator="equal">
      <formula>"Error"</formula>
    </cfRule>
  </conditionalFormatting>
  <conditionalFormatting sqref="Z331:Z333 Z348">
    <cfRule type="containsText" dxfId="718" priority="904" stopIfTrue="1" operator="containsText" text="Error">
      <formula>NOT(ISERROR(SEARCH("Error",Z331)))</formula>
    </cfRule>
  </conditionalFormatting>
  <conditionalFormatting sqref="Z349">
    <cfRule type="cellIs" dxfId="717" priority="902" stopIfTrue="1" operator="equal">
      <formula>"Error"</formula>
    </cfRule>
  </conditionalFormatting>
  <conditionalFormatting sqref="Z349">
    <cfRule type="containsText" dxfId="716" priority="901" stopIfTrue="1" operator="containsText" text="Error">
      <formula>NOT(ISERROR(SEARCH("Error",Z349)))</formula>
    </cfRule>
  </conditionalFormatting>
  <conditionalFormatting sqref="Z351:Z354 Z362:Z364">
    <cfRule type="containsText" dxfId="715" priority="900" stopIfTrue="1" operator="containsText" text="Error">
      <formula>NOT(ISERROR(SEARCH("Error",Z351)))</formula>
    </cfRule>
  </conditionalFormatting>
  <conditionalFormatting sqref="Z330">
    <cfRule type="containsText" dxfId="714" priority="899" stopIfTrue="1" operator="containsText" text="Error">
      <formula>NOT(ISERROR(SEARCH("Error",Z330)))</formula>
    </cfRule>
  </conditionalFormatting>
  <conditionalFormatting sqref="Z326:Z328">
    <cfRule type="containsText" dxfId="713" priority="898" stopIfTrue="1" operator="containsText" text="Error">
      <formula>NOT(ISERROR(SEARCH("Error",Z326)))</formula>
    </cfRule>
  </conditionalFormatting>
  <conditionalFormatting sqref="Z329">
    <cfRule type="containsText" dxfId="712" priority="897" stopIfTrue="1" operator="containsText" text="Error">
      <formula>NOT(ISERROR(SEARCH("Error",Z329)))</formula>
    </cfRule>
  </conditionalFormatting>
  <conditionalFormatting sqref="Z361">
    <cfRule type="containsText" dxfId="711" priority="896" stopIfTrue="1" operator="containsText" text="Error">
      <formula>NOT(ISERROR(SEARCH("Error",Z361)))</formula>
    </cfRule>
  </conditionalFormatting>
  <conditionalFormatting sqref="Z357:Z359">
    <cfRule type="containsText" dxfId="710" priority="895" stopIfTrue="1" operator="containsText" text="Error">
      <formula>NOT(ISERROR(SEARCH("Error",Z357)))</formula>
    </cfRule>
  </conditionalFormatting>
  <conditionalFormatting sqref="Z360">
    <cfRule type="containsText" dxfId="709" priority="894" stopIfTrue="1" operator="containsText" text="Error">
      <formula>NOT(ISERROR(SEARCH("Error",Z360)))</formula>
    </cfRule>
  </conditionalFormatting>
  <conditionalFormatting sqref="Z355">
    <cfRule type="containsText" dxfId="708" priority="893" stopIfTrue="1" operator="containsText" text="Error">
      <formula>NOT(ISERROR(SEARCH("Error",Z355)))</formula>
    </cfRule>
  </conditionalFormatting>
  <conditionalFormatting sqref="Z335">
    <cfRule type="containsText" dxfId="707" priority="892" stopIfTrue="1" operator="containsText" text="Error">
      <formula>NOT(ISERROR(SEARCH("Error",Z335)))</formula>
    </cfRule>
  </conditionalFormatting>
  <conditionalFormatting sqref="Z342">
    <cfRule type="cellIs" dxfId="706" priority="891" stopIfTrue="1" operator="equal">
      <formula>"Error"</formula>
    </cfRule>
  </conditionalFormatting>
  <conditionalFormatting sqref="Z341">
    <cfRule type="cellIs" dxfId="705" priority="890" stopIfTrue="1" operator="equal">
      <formula>"Error"</formula>
    </cfRule>
  </conditionalFormatting>
  <conditionalFormatting sqref="Z334">
    <cfRule type="containsText" dxfId="704" priority="889" stopIfTrue="1" operator="containsText" text="Error">
      <formula>NOT(ISERROR(SEARCH("Error",Z334)))</formula>
    </cfRule>
  </conditionalFormatting>
  <conditionalFormatting sqref="Z344">
    <cfRule type="cellIs" dxfId="703" priority="888" stopIfTrue="1" operator="equal">
      <formula>"Error"</formula>
    </cfRule>
  </conditionalFormatting>
  <conditionalFormatting sqref="Z344">
    <cfRule type="cellIs" dxfId="702" priority="887" stopIfTrue="1" operator="equal">
      <formula>"Error"</formula>
    </cfRule>
  </conditionalFormatting>
  <conditionalFormatting sqref="Z371 Z375">
    <cfRule type="cellIs" dxfId="701" priority="886" stopIfTrue="1" operator="equal">
      <formula>"Error"</formula>
    </cfRule>
  </conditionalFormatting>
  <conditionalFormatting sqref="Z366">
    <cfRule type="containsText" dxfId="700" priority="885" stopIfTrue="1" operator="containsText" text="Error">
      <formula>NOT(ISERROR(SEARCH("Error",Z366)))</formula>
    </cfRule>
  </conditionalFormatting>
  <conditionalFormatting sqref="Z365">
    <cfRule type="containsText" dxfId="699" priority="884" stopIfTrue="1" operator="containsText" text="Error">
      <formula>NOT(ISERROR(SEARCH("Error",Z365)))</formula>
    </cfRule>
  </conditionalFormatting>
  <conditionalFormatting sqref="Z345">
    <cfRule type="cellIs" dxfId="698" priority="883" stopIfTrue="1" operator="equal">
      <formula>"Error"</formula>
    </cfRule>
  </conditionalFormatting>
  <conditionalFormatting sqref="Z347">
    <cfRule type="cellIs" dxfId="697" priority="882" stopIfTrue="1" operator="equal">
      <formula>"Error"</formula>
    </cfRule>
  </conditionalFormatting>
  <conditionalFormatting sqref="X293">
    <cfRule type="containsText" dxfId="696" priority="881" stopIfTrue="1" operator="containsText" text="Error">
      <formula>NOT(ISERROR(SEARCH("Error",X293)))</formula>
    </cfRule>
  </conditionalFormatting>
  <conditionalFormatting sqref="X295">
    <cfRule type="cellIs" dxfId="695" priority="880" stopIfTrue="1" operator="equal">
      <formula>"Error"</formula>
    </cfRule>
  </conditionalFormatting>
  <conditionalFormatting sqref="X295">
    <cfRule type="cellIs" dxfId="694" priority="879" stopIfTrue="1" operator="equal">
      <formula>"Error"</formula>
    </cfRule>
  </conditionalFormatting>
  <conditionalFormatting sqref="X294">
    <cfRule type="cellIs" dxfId="693" priority="878" stopIfTrue="1" operator="equal">
      <formula>"Error"</formula>
    </cfRule>
  </conditionalFormatting>
  <conditionalFormatting sqref="X294:X295">
    <cfRule type="containsText" dxfId="692" priority="877" stopIfTrue="1" operator="containsText" text="Error">
      <formula>NOT(ISERROR(SEARCH("Error",X294)))</formula>
    </cfRule>
  </conditionalFormatting>
  <conditionalFormatting sqref="Z376">
    <cfRule type="containsText" dxfId="691" priority="876" stopIfTrue="1" operator="containsText" text="Error">
      <formula>NOT(ISERROR(SEARCH("Error",Z376)))</formula>
    </cfRule>
  </conditionalFormatting>
  <conditionalFormatting sqref="Z377">
    <cfRule type="cellIs" dxfId="690" priority="875" stopIfTrue="1" operator="equal">
      <formula>"Error"</formula>
    </cfRule>
  </conditionalFormatting>
  <conditionalFormatting sqref="Z377">
    <cfRule type="cellIs" dxfId="689" priority="874" stopIfTrue="1" operator="equal">
      <formula>"Error"</formula>
    </cfRule>
  </conditionalFormatting>
  <conditionalFormatting sqref="Z377">
    <cfRule type="containsText" dxfId="688" priority="873" stopIfTrue="1" operator="containsText" text="Error">
      <formula>NOT(ISERROR(SEARCH("Error",Z377)))</formula>
    </cfRule>
  </conditionalFormatting>
  <conditionalFormatting sqref="AA371">
    <cfRule type="cellIs" dxfId="687" priority="872" stopIfTrue="1" operator="equal">
      <formula>"Error"</formula>
    </cfRule>
  </conditionalFormatting>
  <conditionalFormatting sqref="W302">
    <cfRule type="containsText" dxfId="686" priority="869" stopIfTrue="1" operator="containsText" text="Error">
      <formula>NOT(ISERROR(SEARCH("Error",W302)))</formula>
    </cfRule>
  </conditionalFormatting>
  <conditionalFormatting sqref="Z302">
    <cfRule type="containsText" dxfId="685" priority="868" stopIfTrue="1" operator="containsText" text="Error">
      <formula>NOT(ISERROR(SEARCH("Error",Z302)))</formula>
    </cfRule>
  </conditionalFormatting>
  <conditionalFormatting sqref="AA302">
    <cfRule type="containsText" dxfId="684" priority="867" stopIfTrue="1" operator="containsText" text="Error">
      <formula>NOT(ISERROR(SEARCH("Error",AA302)))</formula>
    </cfRule>
  </conditionalFormatting>
  <conditionalFormatting sqref="AA303">
    <cfRule type="containsText" dxfId="683" priority="866" stopIfTrue="1" operator="containsText" text="Error">
      <formula>NOT(ISERROR(SEARCH("Error",AA303)))</formula>
    </cfRule>
  </conditionalFormatting>
  <conditionalFormatting sqref="Z303">
    <cfRule type="containsText" dxfId="682" priority="865" stopIfTrue="1" operator="containsText" text="Error">
      <formula>NOT(ISERROR(SEARCH("Error",Z303)))</formula>
    </cfRule>
  </conditionalFormatting>
  <conditionalFormatting sqref="W303">
    <cfRule type="containsText" dxfId="681" priority="864" stopIfTrue="1" operator="containsText" text="Error">
      <formula>NOT(ISERROR(SEARCH("Error",W303)))</formula>
    </cfRule>
  </conditionalFormatting>
  <conditionalFormatting sqref="R403:U404 R444:Z444">
    <cfRule type="cellIs" dxfId="680" priority="863" stopIfTrue="1" operator="equal">
      <formula>"Error"</formula>
    </cfRule>
  </conditionalFormatting>
  <conditionalFormatting sqref="Y402 V400:X400 AA432 Y412:Y413 Y417 V412:V413 R417:V417 R423:S427 R413:T413 R412:U412 R396:W396 V402:W402 R447:U447 R430:W430 R402:U404 R437:U439 V439:W439 R456:U459 V458:W459 R420:U420 V437:Y438 V456:Y457 V432:Y432 Y459:Z459 Z430 Z396:Z401 Z423 Z426:Z427 Z447 R431:U432 V431:W431 R448:W450">
    <cfRule type="containsText" dxfId="679" priority="862" stopIfTrue="1" operator="containsText" text="Error">
      <formula>NOT(ISERROR(SEARCH("Error",R396)))</formula>
    </cfRule>
  </conditionalFormatting>
  <conditionalFormatting sqref="V404:W404 Y404">
    <cfRule type="cellIs" dxfId="678" priority="855" stopIfTrue="1" operator="equal">
      <formula>"Error"</formula>
    </cfRule>
  </conditionalFormatting>
  <conditionalFormatting sqref="R393 R397:R399 R401">
    <cfRule type="containsText" dxfId="677" priority="860" stopIfTrue="1" operator="containsText" text="Error">
      <formula>NOT(ISERROR(SEARCH("Error",R393)))</formula>
    </cfRule>
  </conditionalFormatting>
  <conditionalFormatting sqref="Y393 Y429 Y397:Y399 Y401">
    <cfRule type="containsText" dxfId="676" priority="851" stopIfTrue="1" operator="containsText" text="Error">
      <formula>NOT(ISERROR(SEARCH("Error",Y393)))</formula>
    </cfRule>
  </conditionalFormatting>
  <conditionalFormatting sqref="S393 S429 S397:S399 S401">
    <cfRule type="containsText" dxfId="675" priority="859" stopIfTrue="1" operator="containsText" text="Error">
      <formula>NOT(ISERROR(SEARCH("Error",S393)))</formula>
    </cfRule>
  </conditionalFormatting>
  <conditionalFormatting sqref="T393 T429 T397:T399 T401">
    <cfRule type="containsText" dxfId="674" priority="858" stopIfTrue="1" operator="containsText" text="Error">
      <formula>NOT(ISERROR(SEARCH("Error",T393)))</formula>
    </cfRule>
  </conditionalFormatting>
  <conditionalFormatting sqref="U393 U429 U397:U399 U401">
    <cfRule type="containsText" dxfId="673" priority="857" stopIfTrue="1" operator="containsText" text="Error">
      <formula>NOT(ISERROR(SEARCH("Error",U393)))</formula>
    </cfRule>
  </conditionalFormatting>
  <conditionalFormatting sqref="V404:W404 Y404">
    <cfRule type="cellIs" dxfId="672" priority="856" stopIfTrue="1" operator="equal">
      <formula>"Error"</formula>
    </cfRule>
  </conditionalFormatting>
  <conditionalFormatting sqref="V403:W403 Y403">
    <cfRule type="cellIs" dxfId="671" priority="854" stopIfTrue="1" operator="equal">
      <formula>"Error"</formula>
    </cfRule>
  </conditionalFormatting>
  <conditionalFormatting sqref="V393 V429 V403:W404 V397:V399 Y403:Y404 V401">
    <cfRule type="containsText" dxfId="670" priority="853" stopIfTrue="1" operator="containsText" text="Error">
      <formula>NOT(ISERROR(SEARCH("Error",V393)))</formula>
    </cfRule>
  </conditionalFormatting>
  <conditionalFormatting sqref="W393 W429 W397:W399 W401">
    <cfRule type="containsText" dxfId="669" priority="852" stopIfTrue="1" operator="containsText" text="Error">
      <formula>NOT(ISERROR(SEARCH("Error",W393)))</formula>
    </cfRule>
  </conditionalFormatting>
  <conditionalFormatting sqref="Y396">
    <cfRule type="containsText" dxfId="668" priority="850" stopIfTrue="1" operator="containsText" text="Error">
      <formula>NOT(ISERROR(SEARCH("Error",Y396)))</formula>
    </cfRule>
  </conditionalFormatting>
  <conditionalFormatting sqref="Y430 Y439">
    <cfRule type="containsText" dxfId="667" priority="849" stopIfTrue="1" operator="containsText" text="Error">
      <formula>NOT(ISERROR(SEARCH("Error",Y430)))</formula>
    </cfRule>
  </conditionalFormatting>
  <conditionalFormatting sqref="R409:W409 Y409">
    <cfRule type="cellIs" dxfId="666" priority="848" stopIfTrue="1" operator="equal">
      <formula>"Error"</formula>
    </cfRule>
  </conditionalFormatting>
  <conditionalFormatting sqref="R409:W409 Y409">
    <cfRule type="cellIs" dxfId="665" priority="847" stopIfTrue="1" operator="equal">
      <formula>"Error"</formula>
    </cfRule>
  </conditionalFormatting>
  <conditionalFormatting sqref="S409:W409 Y409">
    <cfRule type="containsText" dxfId="664" priority="846" stopIfTrue="1" operator="containsText" text="Error">
      <formula>NOT(ISERROR(SEARCH("Error",S409)))</formula>
    </cfRule>
  </conditionalFormatting>
  <conditionalFormatting sqref="Y458 Y448:Y450">
    <cfRule type="containsText" dxfId="663" priority="845" stopIfTrue="1" operator="containsText" text="Error">
      <formula>NOT(ISERROR(SEARCH("Error",Y448)))</formula>
    </cfRule>
  </conditionalFormatting>
  <conditionalFormatting sqref="X413 X459 X402">
    <cfRule type="containsText" dxfId="662" priority="844" stopIfTrue="1" operator="containsText" text="Error">
      <formula>NOT(ISERROR(SEARCH("Error",X402)))</formula>
    </cfRule>
  </conditionalFormatting>
  <conditionalFormatting sqref="X404">
    <cfRule type="cellIs" dxfId="661" priority="840" stopIfTrue="1" operator="equal">
      <formula>"Error"</formula>
    </cfRule>
  </conditionalFormatting>
  <conditionalFormatting sqref="X393 X429 X397:X399 X401">
    <cfRule type="containsText" dxfId="660" priority="837" stopIfTrue="1" operator="containsText" text="Error">
      <formula>NOT(ISERROR(SEARCH("Error",X393)))</formula>
    </cfRule>
  </conditionalFormatting>
  <conditionalFormatting sqref="X404">
    <cfRule type="cellIs" dxfId="659" priority="841" stopIfTrue="1" operator="equal">
      <formula>"Error"</formula>
    </cfRule>
  </conditionalFormatting>
  <conditionalFormatting sqref="X403">
    <cfRule type="cellIs" dxfId="658" priority="839" stopIfTrue="1" operator="equal">
      <formula>"Error"</formula>
    </cfRule>
  </conditionalFormatting>
  <conditionalFormatting sqref="X403:X404">
    <cfRule type="containsText" dxfId="657" priority="838" stopIfTrue="1" operator="containsText" text="Error">
      <formula>NOT(ISERROR(SEARCH("Error",X403)))</formula>
    </cfRule>
  </conditionalFormatting>
  <conditionalFormatting sqref="X396">
    <cfRule type="containsText" dxfId="656" priority="836" stopIfTrue="1" operator="containsText" text="Error">
      <formula>NOT(ISERROR(SEARCH("Error",X396)))</formula>
    </cfRule>
  </conditionalFormatting>
  <conditionalFormatting sqref="X430 X439">
    <cfRule type="containsText" dxfId="655" priority="835" stopIfTrue="1" operator="containsText" text="Error">
      <formula>NOT(ISERROR(SEARCH("Error",X430)))</formula>
    </cfRule>
  </conditionalFormatting>
  <conditionalFormatting sqref="X409">
    <cfRule type="cellIs" dxfId="654" priority="834" stopIfTrue="1" operator="equal">
      <formula>"Error"</formula>
    </cfRule>
  </conditionalFormatting>
  <conditionalFormatting sqref="X409">
    <cfRule type="cellIs" dxfId="653" priority="833" stopIfTrue="1" operator="equal">
      <formula>"Error"</formula>
    </cfRule>
  </conditionalFormatting>
  <conditionalFormatting sqref="X409">
    <cfRule type="containsText" dxfId="652" priority="832" stopIfTrue="1" operator="containsText" text="Error">
      <formula>NOT(ISERROR(SEARCH("Error",X409)))</formula>
    </cfRule>
  </conditionalFormatting>
  <conditionalFormatting sqref="X458 X448:X450">
    <cfRule type="containsText" dxfId="651" priority="831" stopIfTrue="1" operator="containsText" text="Error">
      <formula>NOT(ISERROR(SEARCH("Error",X448)))</formula>
    </cfRule>
  </conditionalFormatting>
  <conditionalFormatting sqref="Y400">
    <cfRule type="containsText" dxfId="650" priority="830" stopIfTrue="1" operator="containsText" text="Error">
      <formula>NOT(ISERROR(SEARCH("Error",Y400)))</formula>
    </cfRule>
  </conditionalFormatting>
  <conditionalFormatting sqref="R400:U400">
    <cfRule type="containsText" dxfId="649" priority="829" stopIfTrue="1" operator="containsText" text="Error">
      <formula>NOT(ISERROR(SEARCH("Error",R400)))</formula>
    </cfRule>
  </conditionalFormatting>
  <conditionalFormatting sqref="R433:R435">
    <cfRule type="containsText" dxfId="648" priority="828" stopIfTrue="1" operator="containsText" text="Error">
      <formula>NOT(ISERROR(SEARCH("Error",R433)))</formula>
    </cfRule>
  </conditionalFormatting>
  <conditionalFormatting sqref="S433:S435">
    <cfRule type="containsText" dxfId="647" priority="827" stopIfTrue="1" operator="containsText" text="Error">
      <formula>NOT(ISERROR(SEARCH("Error",S433)))</formula>
    </cfRule>
  </conditionalFormatting>
  <conditionalFormatting sqref="T433:T435">
    <cfRule type="containsText" dxfId="646" priority="826" stopIfTrue="1" operator="containsText" text="Error">
      <formula>NOT(ISERROR(SEARCH("Error",T433)))</formula>
    </cfRule>
  </conditionalFormatting>
  <conditionalFormatting sqref="U433:U435">
    <cfRule type="containsText" dxfId="645" priority="825" stopIfTrue="1" operator="containsText" text="Error">
      <formula>NOT(ISERROR(SEARCH("Error",U433)))</formula>
    </cfRule>
  </conditionalFormatting>
  <conditionalFormatting sqref="V433:V435">
    <cfRule type="containsText" dxfId="644" priority="824" stopIfTrue="1" operator="containsText" text="Error">
      <formula>NOT(ISERROR(SEARCH("Error",V433)))</formula>
    </cfRule>
  </conditionalFormatting>
  <conditionalFormatting sqref="W433:W435">
    <cfRule type="containsText" dxfId="643" priority="823" stopIfTrue="1" operator="containsText" text="Error">
      <formula>NOT(ISERROR(SEARCH("Error",W433)))</formula>
    </cfRule>
  </conditionalFormatting>
  <conditionalFormatting sqref="X433:Y435">
    <cfRule type="containsText" dxfId="642" priority="822" stopIfTrue="1" operator="containsText" text="Error">
      <formula>NOT(ISERROR(SEARCH("Error",X433)))</formula>
    </cfRule>
  </conditionalFormatting>
  <conditionalFormatting sqref="R455">
    <cfRule type="containsText" dxfId="641" priority="807" stopIfTrue="1" operator="containsText" text="Error">
      <formula>NOT(ISERROR(SEARCH("Error",R455)))</formula>
    </cfRule>
  </conditionalFormatting>
  <conditionalFormatting sqref="R436">
    <cfRule type="containsText" dxfId="640" priority="821" stopIfTrue="1" operator="containsText" text="Error">
      <formula>NOT(ISERROR(SEARCH("Error",R436)))</formula>
    </cfRule>
  </conditionalFormatting>
  <conditionalFormatting sqref="S436">
    <cfRule type="containsText" dxfId="639" priority="820" stopIfTrue="1" operator="containsText" text="Error">
      <formula>NOT(ISERROR(SEARCH("Error",S436)))</formula>
    </cfRule>
  </conditionalFormatting>
  <conditionalFormatting sqref="T436">
    <cfRule type="containsText" dxfId="638" priority="819" stopIfTrue="1" operator="containsText" text="Error">
      <formula>NOT(ISERROR(SEARCH("Error",T436)))</formula>
    </cfRule>
  </conditionalFormatting>
  <conditionalFormatting sqref="U436">
    <cfRule type="containsText" dxfId="637" priority="818" stopIfTrue="1" operator="containsText" text="Error">
      <formula>NOT(ISERROR(SEARCH("Error",U436)))</formula>
    </cfRule>
  </conditionalFormatting>
  <conditionalFormatting sqref="V436">
    <cfRule type="containsText" dxfId="636" priority="817" stopIfTrue="1" operator="containsText" text="Error">
      <formula>NOT(ISERROR(SEARCH("Error",V436)))</formula>
    </cfRule>
  </conditionalFormatting>
  <conditionalFormatting sqref="W436">
    <cfRule type="containsText" dxfId="635" priority="816" stopIfTrue="1" operator="containsText" text="Error">
      <formula>NOT(ISERROR(SEARCH("Error",W436)))</formula>
    </cfRule>
  </conditionalFormatting>
  <conditionalFormatting sqref="X436:Y436">
    <cfRule type="containsText" dxfId="634" priority="815" stopIfTrue="1" operator="containsText" text="Error">
      <formula>NOT(ISERROR(SEARCH("Error",X436)))</formula>
    </cfRule>
  </conditionalFormatting>
  <conditionalFormatting sqref="R451:R454">
    <cfRule type="containsText" dxfId="633" priority="814" stopIfTrue="1" operator="containsText" text="Error">
      <formula>NOT(ISERROR(SEARCH("Error",R451)))</formula>
    </cfRule>
  </conditionalFormatting>
  <conditionalFormatting sqref="S451:S454">
    <cfRule type="containsText" dxfId="632" priority="813" stopIfTrue="1" operator="containsText" text="Error">
      <formula>NOT(ISERROR(SEARCH("Error",S451)))</formula>
    </cfRule>
  </conditionalFormatting>
  <conditionalFormatting sqref="T451:T454">
    <cfRule type="containsText" dxfId="631" priority="812" stopIfTrue="1" operator="containsText" text="Error">
      <formula>NOT(ISERROR(SEARCH("Error",T451)))</formula>
    </cfRule>
  </conditionalFormatting>
  <conditionalFormatting sqref="U451:U454">
    <cfRule type="containsText" dxfId="630" priority="811" stopIfTrue="1" operator="containsText" text="Error">
      <formula>NOT(ISERROR(SEARCH("Error",U451)))</formula>
    </cfRule>
  </conditionalFormatting>
  <conditionalFormatting sqref="V451:V454">
    <cfRule type="containsText" dxfId="629" priority="810" stopIfTrue="1" operator="containsText" text="Error">
      <formula>NOT(ISERROR(SEARCH("Error",V451)))</formula>
    </cfRule>
  </conditionalFormatting>
  <conditionalFormatting sqref="W451:W454">
    <cfRule type="containsText" dxfId="628" priority="809" stopIfTrue="1" operator="containsText" text="Error">
      <formula>NOT(ISERROR(SEARCH("Error",W451)))</formula>
    </cfRule>
  </conditionalFormatting>
  <conditionalFormatting sqref="X451:Y454">
    <cfRule type="containsText" dxfId="627" priority="808" stopIfTrue="1" operator="containsText" text="Error">
      <formula>NOT(ISERROR(SEARCH("Error",X451)))</formula>
    </cfRule>
  </conditionalFormatting>
  <conditionalFormatting sqref="AA402 AA459">
    <cfRule type="containsText" dxfId="626" priority="794" stopIfTrue="1" operator="containsText" text="Error">
      <formula>NOT(ISERROR(SEARCH("Error",AA402)))</formula>
    </cfRule>
  </conditionalFormatting>
  <conditionalFormatting sqref="S455">
    <cfRule type="containsText" dxfId="625" priority="806" stopIfTrue="1" operator="containsText" text="Error">
      <formula>NOT(ISERROR(SEARCH("Error",S455)))</formula>
    </cfRule>
  </conditionalFormatting>
  <conditionalFormatting sqref="T455">
    <cfRule type="containsText" dxfId="624" priority="805" stopIfTrue="1" operator="containsText" text="Error">
      <formula>NOT(ISERROR(SEARCH("Error",T455)))</formula>
    </cfRule>
  </conditionalFormatting>
  <conditionalFormatting sqref="U455">
    <cfRule type="containsText" dxfId="623" priority="804" stopIfTrue="1" operator="containsText" text="Error">
      <formula>NOT(ISERROR(SEARCH("Error",U455)))</formula>
    </cfRule>
  </conditionalFormatting>
  <conditionalFormatting sqref="V455">
    <cfRule type="containsText" dxfId="622" priority="803" stopIfTrue="1" operator="containsText" text="Error">
      <formula>NOT(ISERROR(SEARCH("Error",V455)))</formula>
    </cfRule>
  </conditionalFormatting>
  <conditionalFormatting sqref="W455">
    <cfRule type="containsText" dxfId="621" priority="802" stopIfTrue="1" operator="containsText" text="Error">
      <formula>NOT(ISERROR(SEARCH("Error",W455)))</formula>
    </cfRule>
  </conditionalFormatting>
  <conditionalFormatting sqref="X455:Y455">
    <cfRule type="containsText" dxfId="620" priority="801" stopIfTrue="1" operator="containsText" text="Error">
      <formula>NOT(ISERROR(SEARCH("Error",X455)))</formula>
    </cfRule>
  </conditionalFormatting>
  <conditionalFormatting sqref="T423:T426">
    <cfRule type="containsText" dxfId="619" priority="800" stopIfTrue="1" operator="containsText" text="Error">
      <formula>NOT(ISERROR(SEARCH("Error",T423)))</formula>
    </cfRule>
  </conditionalFormatting>
  <conditionalFormatting sqref="U423:U426">
    <cfRule type="containsText" dxfId="618" priority="799" stopIfTrue="1" operator="containsText" text="Error">
      <formula>NOT(ISERROR(SEARCH("Error",U423)))</formula>
    </cfRule>
  </conditionalFormatting>
  <conditionalFormatting sqref="V423:V426">
    <cfRule type="containsText" dxfId="617" priority="798" stopIfTrue="1" operator="containsText" text="Error">
      <formula>NOT(ISERROR(SEARCH("Error",V423)))</formula>
    </cfRule>
  </conditionalFormatting>
  <conditionalFormatting sqref="W423:W426">
    <cfRule type="containsText" dxfId="616" priority="797" stopIfTrue="1" operator="containsText" text="Error">
      <formula>NOT(ISERROR(SEARCH("Error",W423)))</formula>
    </cfRule>
  </conditionalFormatting>
  <conditionalFormatting sqref="X423:X426">
    <cfRule type="containsText" dxfId="615" priority="796" stopIfTrue="1" operator="containsText" text="Error">
      <formula>NOT(ISERROR(SEARCH("Error",X423)))</formula>
    </cfRule>
  </conditionalFormatting>
  <conditionalFormatting sqref="Y423:Y426">
    <cfRule type="containsText" dxfId="614" priority="795" stopIfTrue="1" operator="containsText" text="Error">
      <formula>NOT(ISERROR(SEARCH("Error",Y423)))</formula>
    </cfRule>
  </conditionalFormatting>
  <conditionalFormatting sqref="AA404">
    <cfRule type="cellIs" dxfId="613" priority="790" stopIfTrue="1" operator="equal">
      <formula>"Error"</formula>
    </cfRule>
  </conditionalFormatting>
  <conditionalFormatting sqref="AA404">
    <cfRule type="cellIs" dxfId="612" priority="791" stopIfTrue="1" operator="equal">
      <formula>"Error"</formula>
    </cfRule>
  </conditionalFormatting>
  <conditionalFormatting sqref="AA403">
    <cfRule type="cellIs" dxfId="611" priority="789" stopIfTrue="1" operator="equal">
      <formula>"Error"</formula>
    </cfRule>
  </conditionalFormatting>
  <conditionalFormatting sqref="AA393 AA429 AA397:AA399 AA401">
    <cfRule type="containsText" dxfId="610" priority="788" stopIfTrue="1" operator="containsText" text="Error">
      <formula>NOT(ISERROR(SEARCH("Error",AA393)))</formula>
    </cfRule>
  </conditionalFormatting>
  <conditionalFormatting sqref="AA396">
    <cfRule type="containsText" dxfId="609" priority="787" stopIfTrue="1" operator="containsText" text="Error">
      <formula>NOT(ISERROR(SEARCH("Error",AA396)))</formula>
    </cfRule>
  </conditionalFormatting>
  <conditionalFormatting sqref="AA430 AA438:AA439">
    <cfRule type="containsText" dxfId="608" priority="786" stopIfTrue="1" operator="containsText" text="Error">
      <formula>NOT(ISERROR(SEARCH("Error",AA430)))</formula>
    </cfRule>
  </conditionalFormatting>
  <conditionalFormatting sqref="AA457:AA458">
    <cfRule type="containsText" dxfId="607" priority="782" stopIfTrue="1" operator="containsText" text="Error">
      <formula>NOT(ISERROR(SEARCH("Error",AA457)))</formula>
    </cfRule>
  </conditionalFormatting>
  <conditionalFormatting sqref="AA437">
    <cfRule type="containsText" dxfId="606" priority="781" stopIfTrue="1" operator="containsText" text="Error">
      <formula>NOT(ISERROR(SEARCH("Error",AA437)))</formula>
    </cfRule>
  </conditionalFormatting>
  <conditionalFormatting sqref="AA433:AA435">
    <cfRule type="containsText" dxfId="605" priority="780" stopIfTrue="1" operator="containsText" text="Error">
      <formula>NOT(ISERROR(SEARCH("Error",AA433)))</formula>
    </cfRule>
  </conditionalFormatting>
  <conditionalFormatting sqref="AA456">
    <cfRule type="containsText" dxfId="604" priority="779" stopIfTrue="1" operator="containsText" text="Error">
      <formula>NOT(ISERROR(SEARCH("Error",AA456)))</formula>
    </cfRule>
  </conditionalFormatting>
  <conditionalFormatting sqref="AA451:AA454">
    <cfRule type="containsText" dxfId="603" priority="778" stopIfTrue="1" operator="containsText" text="Error">
      <formula>NOT(ISERROR(SEARCH("Error",AA451)))</formula>
    </cfRule>
  </conditionalFormatting>
  <conditionalFormatting sqref="AA455">
    <cfRule type="containsText" dxfId="602" priority="777" stopIfTrue="1" operator="containsText" text="Error">
      <formula>NOT(ISERROR(SEARCH("Error",AA455)))</formula>
    </cfRule>
  </conditionalFormatting>
  <conditionalFormatting sqref="AA423:AA426">
    <cfRule type="containsText" dxfId="601" priority="776" stopIfTrue="1" operator="containsText" text="Error">
      <formula>NOT(ISERROR(SEARCH("Error",AA423)))</formula>
    </cfRule>
  </conditionalFormatting>
  <conditionalFormatting sqref="Y431">
    <cfRule type="containsText" dxfId="600" priority="775" stopIfTrue="1" operator="containsText" text="Error">
      <formula>NOT(ISERROR(SEARCH("Error",Y431)))</formula>
    </cfRule>
  </conditionalFormatting>
  <conditionalFormatting sqref="X431">
    <cfRule type="containsText" dxfId="599" priority="774" stopIfTrue="1" operator="containsText" text="Error">
      <formula>NOT(ISERROR(SEARCH("Error",X431)))</formula>
    </cfRule>
  </conditionalFormatting>
  <conditionalFormatting sqref="AA431">
    <cfRule type="containsText" dxfId="598" priority="773" stopIfTrue="1" operator="containsText" text="Error">
      <formula>NOT(ISERROR(SEARCH("Error",AA431)))</formula>
    </cfRule>
  </conditionalFormatting>
  <conditionalFormatting sqref="W427">
    <cfRule type="containsText" dxfId="597" priority="757" stopIfTrue="1" operator="containsText" text="Error">
      <formula>NOT(ISERROR(SEARCH("Error",W427)))</formula>
    </cfRule>
  </conditionalFormatting>
  <conditionalFormatting sqref="R421">
    <cfRule type="containsText" dxfId="596" priority="772" stopIfTrue="1" operator="containsText" text="Error">
      <formula>NOT(ISERROR(SEARCH("Error",R421)))</formula>
    </cfRule>
  </conditionalFormatting>
  <conditionalFormatting sqref="S421">
    <cfRule type="containsText" dxfId="595" priority="771" stopIfTrue="1" operator="containsText" text="Error">
      <formula>NOT(ISERROR(SEARCH("Error",S421)))</formula>
    </cfRule>
  </conditionalFormatting>
  <conditionalFormatting sqref="T421">
    <cfRule type="containsText" dxfId="594" priority="770" stopIfTrue="1" operator="containsText" text="Error">
      <formula>NOT(ISERROR(SEARCH("Error",T421)))</formula>
    </cfRule>
  </conditionalFormatting>
  <conditionalFormatting sqref="U421">
    <cfRule type="containsText" dxfId="593" priority="769" stopIfTrue="1" operator="containsText" text="Error">
      <formula>NOT(ISERROR(SEARCH("Error",U421)))</formula>
    </cfRule>
  </conditionalFormatting>
  <conditionalFormatting sqref="V421">
    <cfRule type="containsText" dxfId="592" priority="768" stopIfTrue="1" operator="containsText" text="Error">
      <formula>NOT(ISERROR(SEARCH("Error",V421)))</formula>
    </cfRule>
  </conditionalFormatting>
  <conditionalFormatting sqref="X421">
    <cfRule type="containsText" dxfId="591" priority="767" stopIfTrue="1" operator="containsText" text="Error">
      <formula>NOT(ISERROR(SEARCH("Error",X421)))</formula>
    </cfRule>
  </conditionalFormatting>
  <conditionalFormatting sqref="Y421">
    <cfRule type="containsText" dxfId="590" priority="766" stopIfTrue="1" operator="containsText" text="Error">
      <formula>NOT(ISERROR(SEARCH("Error",Y421)))</formula>
    </cfRule>
  </conditionalFormatting>
  <conditionalFormatting sqref="R414">
    <cfRule type="containsText" dxfId="589" priority="704" stopIfTrue="1" operator="containsText" text="Error">
      <formula>NOT(ISERROR(SEARCH("Error",R414)))</formula>
    </cfRule>
  </conditionalFormatting>
  <conditionalFormatting sqref="V420">
    <cfRule type="containsText" dxfId="588" priority="764" stopIfTrue="1" operator="containsText" text="Error">
      <formula>NOT(ISERROR(SEARCH("Error",V420)))</formula>
    </cfRule>
  </conditionalFormatting>
  <conditionalFormatting sqref="W420">
    <cfRule type="containsText" dxfId="587" priority="763" stopIfTrue="1" operator="containsText" text="Error">
      <formula>NOT(ISERROR(SEARCH("Error",W420)))</formula>
    </cfRule>
  </conditionalFormatting>
  <conditionalFormatting sqref="X420:Y420">
    <cfRule type="containsText" dxfId="586" priority="762" stopIfTrue="1" operator="containsText" text="Error">
      <formula>NOT(ISERROR(SEARCH("Error",X420)))</formula>
    </cfRule>
  </conditionalFormatting>
  <conditionalFormatting sqref="AA420">
    <cfRule type="containsText" dxfId="585" priority="761" stopIfTrue="1" operator="containsText" text="Error">
      <formula>NOT(ISERROR(SEARCH("Error",AA420)))</formula>
    </cfRule>
  </conditionalFormatting>
  <conditionalFormatting sqref="AA427">
    <cfRule type="containsText" dxfId="584" priority="754" stopIfTrue="1" operator="containsText" text="Error">
      <formula>NOT(ISERROR(SEARCH("Error",AA427)))</formula>
    </cfRule>
  </conditionalFormatting>
  <conditionalFormatting sqref="T427">
    <cfRule type="containsText" dxfId="583" priority="760" stopIfTrue="1" operator="containsText" text="Error">
      <formula>NOT(ISERROR(SEARCH("Error",T427)))</formula>
    </cfRule>
  </conditionalFormatting>
  <conditionalFormatting sqref="U427">
    <cfRule type="containsText" dxfId="582" priority="759" stopIfTrue="1" operator="containsText" text="Error">
      <formula>NOT(ISERROR(SEARCH("Error",U427)))</formula>
    </cfRule>
  </conditionalFormatting>
  <conditionalFormatting sqref="V427">
    <cfRule type="containsText" dxfId="581" priority="758" stopIfTrue="1" operator="containsText" text="Error">
      <formula>NOT(ISERROR(SEARCH("Error",V427)))</formula>
    </cfRule>
  </conditionalFormatting>
  <conditionalFormatting sqref="X427">
    <cfRule type="containsText" dxfId="580" priority="756" stopIfTrue="1" operator="containsText" text="Error">
      <formula>NOT(ISERROR(SEARCH("Error",X427)))</formula>
    </cfRule>
  </conditionalFormatting>
  <conditionalFormatting sqref="Y427">
    <cfRule type="containsText" dxfId="579" priority="755" stopIfTrue="1" operator="containsText" text="Error">
      <formula>NOT(ISERROR(SEARCH("Error",Y427)))</formula>
    </cfRule>
  </conditionalFormatting>
  <conditionalFormatting sqref="Y447">
    <cfRule type="containsText" dxfId="578" priority="752" stopIfTrue="1" operator="containsText" text="Error">
      <formula>NOT(ISERROR(SEARCH("Error",Y447)))</formula>
    </cfRule>
  </conditionalFormatting>
  <conditionalFormatting sqref="X447">
    <cfRule type="containsText" dxfId="577" priority="751" stopIfTrue="1" operator="containsText" text="Error">
      <formula>NOT(ISERROR(SEARCH("Error",X447)))</formula>
    </cfRule>
  </conditionalFormatting>
  <conditionalFormatting sqref="AA447">
    <cfRule type="containsText" dxfId="576" priority="750" stopIfTrue="1" operator="containsText" text="Error">
      <formula>NOT(ISERROR(SEARCH("Error",AA447)))</formula>
    </cfRule>
  </conditionalFormatting>
  <conditionalFormatting sqref="AA444">
    <cfRule type="cellIs" dxfId="575" priority="747" stopIfTrue="1" operator="equal">
      <formula>"Error"</formula>
    </cfRule>
  </conditionalFormatting>
  <conditionalFormatting sqref="R444:U444">
    <cfRule type="cellIs" dxfId="574" priority="749" stopIfTrue="1" operator="equal">
      <formula>"Error"</formula>
    </cfRule>
  </conditionalFormatting>
  <conditionalFormatting sqref="R444:U444">
    <cfRule type="cellIs" dxfId="573" priority="748" stopIfTrue="1" operator="equal">
      <formula>"Error"</formula>
    </cfRule>
  </conditionalFormatting>
  <conditionalFormatting sqref="AA444">
    <cfRule type="cellIs" dxfId="572" priority="746" stopIfTrue="1" operator="equal">
      <formula>"Error"</formula>
    </cfRule>
  </conditionalFormatting>
  <conditionalFormatting sqref="U444">
    <cfRule type="cellIs" dxfId="571" priority="744" stopIfTrue="1" operator="equal">
      <formula>"Error"</formula>
    </cfRule>
  </conditionalFormatting>
  <conditionalFormatting sqref="Y444">
    <cfRule type="cellIs" dxfId="570" priority="743" stopIfTrue="1" operator="equal">
      <formula>"Error"</formula>
    </cfRule>
  </conditionalFormatting>
  <conditionalFormatting sqref="Y444">
    <cfRule type="cellIs" dxfId="569" priority="742" stopIfTrue="1" operator="equal">
      <formula>"Error"</formula>
    </cfRule>
  </conditionalFormatting>
  <conditionalFormatting sqref="Y444">
    <cfRule type="cellIs" dxfId="568" priority="741" stopIfTrue="1" operator="equal">
      <formula>"Error"</formula>
    </cfRule>
  </conditionalFormatting>
  <conditionalFormatting sqref="Y444">
    <cfRule type="cellIs" dxfId="567" priority="740" stopIfTrue="1" operator="equal">
      <formula>"Error"</formula>
    </cfRule>
  </conditionalFormatting>
  <conditionalFormatting sqref="U413">
    <cfRule type="containsText" dxfId="566" priority="739" stopIfTrue="1" operator="containsText" text="Error">
      <formula>NOT(ISERROR(SEARCH("Error",U413)))</formula>
    </cfRule>
  </conditionalFormatting>
  <conditionalFormatting sqref="R444:T444">
    <cfRule type="cellIs" dxfId="565" priority="738" stopIfTrue="1" operator="equal">
      <formula>"Error"</formula>
    </cfRule>
  </conditionalFormatting>
  <conditionalFormatting sqref="AA400">
    <cfRule type="containsText" dxfId="564" priority="737" stopIfTrue="1" operator="containsText" text="Error">
      <formula>NOT(ISERROR(SEARCH("Error",AA400)))</formula>
    </cfRule>
  </conditionalFormatting>
  <conditionalFormatting sqref="Z456">
    <cfRule type="containsText" dxfId="563" priority="711" stopIfTrue="1" operator="containsText" text="Error">
      <formula>NOT(ISERROR(SEARCH("Error",Z456)))</formula>
    </cfRule>
  </conditionalFormatting>
  <conditionalFormatting sqref="Z409:AB409">
    <cfRule type="containsText" dxfId="562" priority="713" stopIfTrue="1" operator="containsText" text="Error">
      <formula>NOT(ISERROR(SEARCH("Error",Z409)))</formula>
    </cfRule>
  </conditionalFormatting>
  <conditionalFormatting sqref="Z393">
    <cfRule type="containsText" dxfId="561" priority="736" stopIfTrue="1" operator="containsText" text="Error">
      <formula>NOT(ISERROR(SEARCH("Error",Z393)))</formula>
    </cfRule>
  </conditionalFormatting>
  <conditionalFormatting sqref="Z404">
    <cfRule type="cellIs" dxfId="560" priority="734" stopIfTrue="1" operator="equal">
      <formula>"Error"</formula>
    </cfRule>
  </conditionalFormatting>
  <conditionalFormatting sqref="Z402">
    <cfRule type="containsText" dxfId="559" priority="735" stopIfTrue="1" operator="containsText" text="Error">
      <formula>NOT(ISERROR(SEARCH("Error",Z402)))</formula>
    </cfRule>
  </conditionalFormatting>
  <conditionalFormatting sqref="Z404">
    <cfRule type="cellIs" dxfId="558" priority="733" stopIfTrue="1" operator="equal">
      <formula>"Error"</formula>
    </cfRule>
  </conditionalFormatting>
  <conditionalFormatting sqref="Z403">
    <cfRule type="cellIs" dxfId="557" priority="732" stopIfTrue="1" operator="equal">
      <formula>"Error"</formula>
    </cfRule>
  </conditionalFormatting>
  <conditionalFormatting sqref="Z403:Z404">
    <cfRule type="containsText" dxfId="556" priority="731" stopIfTrue="1" operator="containsText" text="Error">
      <formula>NOT(ISERROR(SEARCH("Error",Z403)))</formula>
    </cfRule>
  </conditionalFormatting>
  <conditionalFormatting sqref="Z421">
    <cfRule type="containsText" dxfId="555" priority="730" stopIfTrue="1" operator="containsText" text="Error">
      <formula>NOT(ISERROR(SEARCH("Error",Z421)))</formula>
    </cfRule>
  </conditionalFormatting>
  <conditionalFormatting sqref="Z420">
    <cfRule type="containsText" dxfId="554" priority="729" stopIfTrue="1" operator="containsText" text="Error">
      <formula>NOT(ISERROR(SEARCH("Error",Z420)))</formula>
    </cfRule>
  </conditionalFormatting>
  <conditionalFormatting sqref="Z394:Z395">
    <cfRule type="containsText" dxfId="553" priority="728" stopIfTrue="1" operator="containsText" text="Error">
      <formula>NOT(ISERROR(SEARCH("Error",Z394)))</formula>
    </cfRule>
  </conditionalFormatting>
  <conditionalFormatting sqref="Z424:Z425">
    <cfRule type="containsText" dxfId="552" priority="725" stopIfTrue="1" operator="containsText" text="Error">
      <formula>NOT(ISERROR(SEARCH("Error",Z424)))</formula>
    </cfRule>
  </conditionalFormatting>
  <conditionalFormatting sqref="Z432">
    <cfRule type="containsText" dxfId="551" priority="724" stopIfTrue="1" operator="containsText" text="Error">
      <formula>NOT(ISERROR(SEARCH("Error",Z432)))</formula>
    </cfRule>
  </conditionalFormatting>
  <conditionalFormatting sqref="Z433:Z435">
    <cfRule type="containsText" dxfId="550" priority="723" stopIfTrue="1" operator="containsText" text="Error">
      <formula>NOT(ISERROR(SEARCH("Error",Z433)))</formula>
    </cfRule>
  </conditionalFormatting>
  <conditionalFormatting sqref="Z436">
    <cfRule type="containsText" dxfId="549" priority="722" stopIfTrue="1" operator="containsText" text="Error">
      <formula>NOT(ISERROR(SEARCH("Error",Z436)))</formula>
    </cfRule>
  </conditionalFormatting>
  <conditionalFormatting sqref="Z431">
    <cfRule type="containsText" dxfId="548" priority="721" stopIfTrue="1" operator="containsText" text="Error">
      <formula>NOT(ISERROR(SEARCH("Error",Z431)))</formula>
    </cfRule>
  </conditionalFormatting>
  <conditionalFormatting sqref="Z438:Z439">
    <cfRule type="containsText" dxfId="547" priority="720" stopIfTrue="1" operator="containsText" text="Error">
      <formula>NOT(ISERROR(SEARCH("Error",Z438)))</formula>
    </cfRule>
  </conditionalFormatting>
  <conditionalFormatting sqref="Z437">
    <cfRule type="containsText" dxfId="546" priority="719" stopIfTrue="1" operator="containsText" text="Error">
      <formula>NOT(ISERROR(SEARCH("Error",Z437)))</formula>
    </cfRule>
  </conditionalFormatting>
  <conditionalFormatting sqref="Z444">
    <cfRule type="cellIs" dxfId="545" priority="718" stopIfTrue="1" operator="equal">
      <formula>"Error"</formula>
    </cfRule>
  </conditionalFormatting>
  <conditionalFormatting sqref="Z444">
    <cfRule type="cellIs" dxfId="544" priority="717" stopIfTrue="1" operator="equal">
      <formula>"Error"</formula>
    </cfRule>
  </conditionalFormatting>
  <conditionalFormatting sqref="Z409:AB409">
    <cfRule type="cellIs" dxfId="543" priority="715" stopIfTrue="1" operator="equal">
      <formula>"Error"</formula>
    </cfRule>
  </conditionalFormatting>
  <conditionalFormatting sqref="Z409:AB409">
    <cfRule type="cellIs" dxfId="542" priority="714" stopIfTrue="1" operator="equal">
      <formula>"Error"</formula>
    </cfRule>
  </conditionalFormatting>
  <conditionalFormatting sqref="Z450 Z457:Z458">
    <cfRule type="containsText" dxfId="541" priority="712" stopIfTrue="1" operator="containsText" text="Error">
      <formula>NOT(ISERROR(SEARCH("Error",Z450)))</formula>
    </cfRule>
  </conditionalFormatting>
  <conditionalFormatting sqref="Z451:Z454">
    <cfRule type="containsText" dxfId="540" priority="710" stopIfTrue="1" operator="containsText" text="Error">
      <formula>NOT(ISERROR(SEARCH("Error",Z451)))</formula>
    </cfRule>
  </conditionalFormatting>
  <conditionalFormatting sqref="Z455">
    <cfRule type="containsText" dxfId="539" priority="709" stopIfTrue="1" operator="containsText" text="Error">
      <formula>NOT(ISERROR(SEARCH("Error",Z455)))</formula>
    </cfRule>
  </conditionalFormatting>
  <conditionalFormatting sqref="Z449">
    <cfRule type="containsText" dxfId="538" priority="707" stopIfTrue="1" operator="containsText" text="Error">
      <formula>NOT(ISERROR(SEARCH("Error",Z449)))</formula>
    </cfRule>
  </conditionalFormatting>
  <conditionalFormatting sqref="W421">
    <cfRule type="containsText" dxfId="537" priority="706" stopIfTrue="1" operator="containsText" text="Error">
      <formula>NOT(ISERROR(SEARCH("Error",W421)))</formula>
    </cfRule>
  </conditionalFormatting>
  <conditionalFormatting sqref="X412">
    <cfRule type="containsText" dxfId="536" priority="705" stopIfTrue="1" operator="containsText" text="Error">
      <formula>NOT(ISERROR(SEARCH("Error",X412)))</formula>
    </cfRule>
  </conditionalFormatting>
  <conditionalFormatting sqref="S414">
    <cfRule type="containsText" dxfId="535" priority="703" stopIfTrue="1" operator="containsText" text="Error">
      <formula>NOT(ISERROR(SEARCH("Error",S414)))</formula>
    </cfRule>
  </conditionalFormatting>
  <conditionalFormatting sqref="T414">
    <cfRule type="containsText" dxfId="534" priority="702" stopIfTrue="1" operator="containsText" text="Error">
      <formula>NOT(ISERROR(SEARCH("Error",T414)))</formula>
    </cfRule>
  </conditionalFormatting>
  <conditionalFormatting sqref="U414">
    <cfRule type="containsText" dxfId="533" priority="701" stopIfTrue="1" operator="containsText" text="Error">
      <formula>NOT(ISERROR(SEARCH("Error",U414)))</formula>
    </cfRule>
  </conditionalFormatting>
  <conditionalFormatting sqref="V414">
    <cfRule type="containsText" dxfId="532" priority="700" stopIfTrue="1" operator="containsText" text="Error">
      <formula>NOT(ISERROR(SEARCH("Error",V414)))</formula>
    </cfRule>
  </conditionalFormatting>
  <conditionalFormatting sqref="X414">
    <cfRule type="containsText" dxfId="531" priority="699" stopIfTrue="1" operator="containsText" text="Error">
      <formula>NOT(ISERROR(SEARCH("Error",X414)))</formula>
    </cfRule>
  </conditionalFormatting>
  <conditionalFormatting sqref="Y414">
    <cfRule type="containsText" dxfId="530" priority="698" stopIfTrue="1" operator="containsText" text="Error">
      <formula>NOT(ISERROR(SEARCH("Error",Y414)))</formula>
    </cfRule>
  </conditionalFormatting>
  <conditionalFormatting sqref="X417">
    <cfRule type="containsText" dxfId="529" priority="697" stopIfTrue="1" operator="containsText" text="Error">
      <formula>NOT(ISERROR(SEARCH("Error",X417)))</formula>
    </cfRule>
  </conditionalFormatting>
  <conditionalFormatting sqref="AA436">
    <cfRule type="containsText" dxfId="528" priority="696" stopIfTrue="1" operator="containsText" text="Error">
      <formula>NOT(ISERROR(SEARCH("Error",AA436)))</formula>
    </cfRule>
  </conditionalFormatting>
  <conditionalFormatting sqref="Z412:AA412">
    <cfRule type="containsText" dxfId="527" priority="695" stopIfTrue="1" operator="containsText" text="Error">
      <formula>NOT(ISERROR(SEARCH("Error",Z412)))</formula>
    </cfRule>
  </conditionalFormatting>
  <conditionalFormatting sqref="Z413:AA413">
    <cfRule type="containsText" dxfId="526" priority="694" stopIfTrue="1" operator="containsText" text="Error">
      <formula>NOT(ISERROR(SEARCH("Error",Z413)))</formula>
    </cfRule>
  </conditionalFormatting>
  <conditionalFormatting sqref="W412">
    <cfRule type="containsText" dxfId="525" priority="693" stopIfTrue="1" operator="containsText" text="Error">
      <formula>NOT(ISERROR(SEARCH("Error",W412)))</formula>
    </cfRule>
  </conditionalFormatting>
  <conditionalFormatting sqref="W413">
    <cfRule type="containsText" dxfId="524" priority="692" stopIfTrue="1" operator="containsText" text="Error">
      <formula>NOT(ISERROR(SEARCH("Error",W413)))</formula>
    </cfRule>
  </conditionalFormatting>
  <conditionalFormatting sqref="Z414:AA414">
    <cfRule type="containsText" dxfId="523" priority="691" stopIfTrue="1" operator="containsText" text="Error">
      <formula>NOT(ISERROR(SEARCH("Error",Z414)))</formula>
    </cfRule>
  </conditionalFormatting>
  <conditionalFormatting sqref="Z417:AA417">
    <cfRule type="containsText" dxfId="522" priority="690" stopIfTrue="1" operator="containsText" text="Error">
      <formula>NOT(ISERROR(SEARCH("Error",Z417)))</formula>
    </cfRule>
  </conditionalFormatting>
  <conditionalFormatting sqref="W417">
    <cfRule type="containsText" dxfId="521" priority="689" stopIfTrue="1" operator="containsText" text="Error">
      <formula>NOT(ISERROR(SEARCH("Error",W417)))</formula>
    </cfRule>
  </conditionalFormatting>
  <conditionalFormatting sqref="W414">
    <cfRule type="containsText" dxfId="520" priority="688" stopIfTrue="1" operator="containsText" text="Error">
      <formula>NOT(ISERROR(SEARCH("Error",W414)))</formula>
    </cfRule>
  </conditionalFormatting>
  <conditionalFormatting sqref="V487 V500:Y500 AA478 R469:R472 R487 R492:T493 R499:S499 R474:Y474 R488:Y488 U469:U472 R478:Y478 R486:Y486">
    <cfRule type="containsText" dxfId="519" priority="687" stopIfTrue="1" operator="containsText" text="Error">
      <formula>NOT(ISERROR(SEARCH("Error",R469)))</formula>
    </cfRule>
  </conditionalFormatting>
  <conditionalFormatting sqref="R494 R473 R483:R484">
    <cfRule type="containsText" dxfId="518" priority="685" stopIfTrue="1" operator="containsText" text="Error">
      <formula>NOT(ISERROR(SEARCH("Error",R473)))</formula>
    </cfRule>
  </conditionalFormatting>
  <conditionalFormatting sqref="S494 S487 S473 S483:S484">
    <cfRule type="containsText" dxfId="517" priority="683" stopIfTrue="1" operator="containsText" text="Error">
      <formula>NOT(ISERROR(SEARCH("Error",S473)))</formula>
    </cfRule>
  </conditionalFormatting>
  <conditionalFormatting sqref="S469:S470 S472">
    <cfRule type="containsText" dxfId="516" priority="682" stopIfTrue="1" operator="containsText" text="Error">
      <formula>NOT(ISERROR(SEARCH("Error",S469)))</formula>
    </cfRule>
  </conditionalFormatting>
  <conditionalFormatting sqref="T494 T487 T473 T483:T484">
    <cfRule type="containsText" dxfId="515" priority="681" stopIfTrue="1" operator="containsText" text="Error">
      <formula>NOT(ISERROR(SEARCH("Error",T473)))</formula>
    </cfRule>
  </conditionalFormatting>
  <conditionalFormatting sqref="T469:T470 T472">
    <cfRule type="containsText" dxfId="514" priority="680" stopIfTrue="1" operator="containsText" text="Error">
      <formula>NOT(ISERROR(SEARCH("Error",T469)))</formula>
    </cfRule>
  </conditionalFormatting>
  <conditionalFormatting sqref="Z500">
    <cfRule type="containsText" dxfId="513" priority="621" stopIfTrue="1" operator="containsText" text="Error">
      <formula>NOT(ISERROR(SEARCH("Error",Z500)))</formula>
    </cfRule>
  </conditionalFormatting>
  <conditionalFormatting sqref="U494 U473 U483:U484 U487">
    <cfRule type="containsText" dxfId="512" priority="679" stopIfTrue="1" operator="containsText" text="Error">
      <formula>NOT(ISERROR(SEARCH("Error",U473)))</formula>
    </cfRule>
  </conditionalFormatting>
  <conditionalFormatting sqref="U492:U493">
    <cfRule type="containsText" dxfId="511" priority="677" stopIfTrue="1" operator="containsText" text="Error">
      <formula>NOT(ISERROR(SEARCH("Error",U492)))</formula>
    </cfRule>
  </conditionalFormatting>
  <conditionalFormatting sqref="W493">
    <cfRule type="containsText" dxfId="510" priority="672" stopIfTrue="1" operator="containsText" text="Error">
      <formula>NOT(ISERROR(SEARCH("Error",W493)))</formula>
    </cfRule>
  </conditionalFormatting>
  <conditionalFormatting sqref="V494 V473 V483:V484">
    <cfRule type="containsText" dxfId="509" priority="676" stopIfTrue="1" operator="containsText" text="Error">
      <formula>NOT(ISERROR(SEARCH("Error",V473)))</formula>
    </cfRule>
  </conditionalFormatting>
  <conditionalFormatting sqref="W489 W492">
    <cfRule type="containsText" dxfId="508" priority="671" stopIfTrue="1" operator="containsText" text="Error">
      <formula>NOT(ISERROR(SEARCH("Error",W489)))</formula>
    </cfRule>
  </conditionalFormatting>
  <conditionalFormatting sqref="W494 W487 W473 W483:W484">
    <cfRule type="containsText" dxfId="507" priority="674" stopIfTrue="1" operator="containsText" text="Error">
      <formula>NOT(ISERROR(SEARCH("Error",W473)))</formula>
    </cfRule>
  </conditionalFormatting>
  <conditionalFormatting sqref="U479">
    <cfRule type="containsText" dxfId="506" priority="665" stopIfTrue="1" operator="containsText" text="Error">
      <formula>NOT(ISERROR(SEARCH("Error",U479)))</formula>
    </cfRule>
  </conditionalFormatting>
  <conditionalFormatting sqref="X494:Y494 X487:Y487 X473:Y473 X483:Y484">
    <cfRule type="containsText" dxfId="505" priority="670" stopIfTrue="1" operator="containsText" text="Error">
      <formula>NOT(ISERROR(SEARCH("Error",X473)))</formula>
    </cfRule>
  </conditionalFormatting>
  <conditionalFormatting sqref="U489">
    <cfRule type="containsText" dxfId="504" priority="617" stopIfTrue="1" operator="containsText" text="Error">
      <formula>NOT(ISERROR(SEARCH("Error",U489)))</formula>
    </cfRule>
  </conditionalFormatting>
  <conditionalFormatting sqref="R479">
    <cfRule type="containsText" dxfId="503" priority="668" stopIfTrue="1" operator="containsText" text="Error">
      <formula>NOT(ISERROR(SEARCH("Error",R479)))</formula>
    </cfRule>
  </conditionalFormatting>
  <conditionalFormatting sqref="X479:Y479">
    <cfRule type="containsText" dxfId="502" priority="662" stopIfTrue="1" operator="containsText" text="Error">
      <formula>NOT(ISERROR(SEARCH("Error",X479)))</formula>
    </cfRule>
  </conditionalFormatting>
  <conditionalFormatting sqref="S479">
    <cfRule type="containsText" dxfId="501" priority="667" stopIfTrue="1" operator="containsText" text="Error">
      <formula>NOT(ISERROR(SEARCH("Error",S479)))</formula>
    </cfRule>
  </conditionalFormatting>
  <conditionalFormatting sqref="T479">
    <cfRule type="containsText" dxfId="500" priority="666" stopIfTrue="1" operator="containsText" text="Error">
      <formula>NOT(ISERROR(SEARCH("Error",T479)))</formula>
    </cfRule>
  </conditionalFormatting>
  <conditionalFormatting sqref="V479">
    <cfRule type="containsText" dxfId="499" priority="664" stopIfTrue="1" operator="containsText" text="Error">
      <formula>NOT(ISERROR(SEARCH("Error",V479)))</formula>
    </cfRule>
  </conditionalFormatting>
  <conditionalFormatting sqref="W479">
    <cfRule type="containsText" dxfId="498" priority="663" stopIfTrue="1" operator="containsText" text="Error">
      <formula>NOT(ISERROR(SEARCH("Error",W479)))</formula>
    </cfRule>
  </conditionalFormatting>
  <conditionalFormatting sqref="W490:W491">
    <cfRule type="containsText" dxfId="497" priority="661" stopIfTrue="1" operator="containsText" text="Error">
      <formula>NOT(ISERROR(SEARCH("Error",W490)))</formula>
    </cfRule>
  </conditionalFormatting>
  <conditionalFormatting sqref="S471">
    <cfRule type="containsText" dxfId="496" priority="660" stopIfTrue="1" operator="containsText" text="Error">
      <formula>NOT(ISERROR(SEARCH("Error",S471)))</formula>
    </cfRule>
  </conditionalFormatting>
  <conditionalFormatting sqref="T471">
    <cfRule type="containsText" dxfId="495" priority="659" stopIfTrue="1" operator="containsText" text="Error">
      <formula>NOT(ISERROR(SEARCH("Error",T471)))</formula>
    </cfRule>
  </conditionalFormatting>
  <conditionalFormatting sqref="V492">
    <cfRule type="containsText" dxfId="494" priority="606" stopIfTrue="1" operator="containsText" text="Error">
      <formula>NOT(ISERROR(SEARCH("Error",V492)))</formula>
    </cfRule>
  </conditionalFormatting>
  <conditionalFormatting sqref="X492">
    <cfRule type="containsText" dxfId="493" priority="605" stopIfTrue="1" operator="containsText" text="Error">
      <formula>NOT(ISERROR(SEARCH("Error",X492)))</formula>
    </cfRule>
  </conditionalFormatting>
  <conditionalFormatting sqref="T499">
    <cfRule type="containsText" dxfId="492" priority="656" stopIfTrue="1" operator="containsText" text="Error">
      <formula>NOT(ISERROR(SEARCH("Error",T499)))</formula>
    </cfRule>
  </conditionalFormatting>
  <conditionalFormatting sqref="U499">
    <cfRule type="containsText" dxfId="491" priority="655" stopIfTrue="1" operator="containsText" text="Error">
      <formula>NOT(ISERROR(SEARCH("Error",U499)))</formula>
    </cfRule>
  </conditionalFormatting>
  <conditionalFormatting sqref="V499">
    <cfRule type="containsText" dxfId="490" priority="654" stopIfTrue="1" operator="containsText" text="Error">
      <formula>NOT(ISERROR(SEARCH("Error",V499)))</formula>
    </cfRule>
  </conditionalFormatting>
  <conditionalFormatting sqref="W499">
    <cfRule type="containsText" dxfId="489" priority="653" stopIfTrue="1" operator="containsText" text="Error">
      <formula>NOT(ISERROR(SEARCH("Error",W499)))</formula>
    </cfRule>
  </conditionalFormatting>
  <conditionalFormatting sqref="X499">
    <cfRule type="containsText" dxfId="488" priority="652" stopIfTrue="1" operator="containsText" text="Error">
      <formula>NOT(ISERROR(SEARCH("Error",X499)))</formula>
    </cfRule>
  </conditionalFormatting>
  <conditionalFormatting sqref="Y499">
    <cfRule type="containsText" dxfId="487" priority="651" stopIfTrue="1" operator="containsText" text="Error">
      <formula>NOT(ISERROR(SEARCH("Error",Y499)))</formula>
    </cfRule>
  </conditionalFormatting>
  <conditionalFormatting sqref="AA487:AA488 AA480">
    <cfRule type="containsText" dxfId="486" priority="650" stopIfTrue="1" operator="containsText" text="Error">
      <formula>NOT(ISERROR(SEARCH("Error",AA480)))</formula>
    </cfRule>
  </conditionalFormatting>
  <conditionalFormatting sqref="AA494 AA473">
    <cfRule type="containsText" dxfId="485" priority="647" stopIfTrue="1" operator="containsText" text="Error">
      <formula>NOT(ISERROR(SEARCH("Error",AA473)))</formula>
    </cfRule>
  </conditionalFormatting>
  <conditionalFormatting sqref="AA493">
    <cfRule type="containsText" dxfId="484" priority="645" stopIfTrue="1" operator="containsText" text="Error">
      <formula>NOT(ISERROR(SEARCH("Error",AA493)))</formula>
    </cfRule>
  </conditionalFormatting>
  <conditionalFormatting sqref="AA489 AA492">
    <cfRule type="containsText" dxfId="483" priority="644" stopIfTrue="1" operator="containsText" text="Error">
      <formula>NOT(ISERROR(SEARCH("Error",AA489)))</formula>
    </cfRule>
  </conditionalFormatting>
  <conditionalFormatting sqref="AA479">
    <cfRule type="containsText" dxfId="482" priority="643" stopIfTrue="1" operator="containsText" text="Error">
      <formula>NOT(ISERROR(SEARCH("Error",AA479)))</formula>
    </cfRule>
  </conditionalFormatting>
  <conditionalFormatting sqref="AA486">
    <cfRule type="containsText" dxfId="481" priority="642" stopIfTrue="1" operator="containsText" text="Error">
      <formula>NOT(ISERROR(SEARCH("Error",AA486)))</formula>
    </cfRule>
  </conditionalFormatting>
  <conditionalFormatting sqref="AA490:AA491">
    <cfRule type="containsText" dxfId="480" priority="641" stopIfTrue="1" operator="containsText" text="Error">
      <formula>NOT(ISERROR(SEARCH("Error",AA490)))</formula>
    </cfRule>
  </conditionalFormatting>
  <conditionalFormatting sqref="AA474">
    <cfRule type="containsText" dxfId="479" priority="640" stopIfTrue="1" operator="containsText" text="Error">
      <formula>NOT(ISERROR(SEARCH("Error",AA474)))</formula>
    </cfRule>
  </conditionalFormatting>
  <conditionalFormatting sqref="T534 T527 T513 T523:T524 T515:T517 T539">
    <cfRule type="containsText" dxfId="478" priority="587" stopIfTrue="1" operator="containsText" text="Error">
      <formula>NOT(ISERROR(SEARCH("Error",T513)))</formula>
    </cfRule>
  </conditionalFormatting>
  <conditionalFormatting sqref="AA499">
    <cfRule type="containsText" dxfId="477" priority="638" stopIfTrue="1" operator="containsText" text="Error">
      <formula>NOT(ISERROR(SEARCH("Error",AA499)))</formula>
    </cfRule>
  </conditionalFormatting>
  <conditionalFormatting sqref="AA500">
    <cfRule type="containsText" dxfId="476" priority="636" stopIfTrue="1" operator="containsText" text="Error">
      <formula>NOT(ISERROR(SEARCH("Error",AA500)))</formula>
    </cfRule>
  </conditionalFormatting>
  <conditionalFormatting sqref="R500:U500">
    <cfRule type="containsText" dxfId="475" priority="637" stopIfTrue="1" operator="containsText" text="Error">
      <formula>NOT(ISERROR(SEARCH("Error",R500)))</formula>
    </cfRule>
  </conditionalFormatting>
  <conditionalFormatting sqref="Z478">
    <cfRule type="containsText" dxfId="474" priority="635" stopIfTrue="1" operator="containsText" text="Error">
      <formula>NOT(ISERROR(SEARCH("Error",Z478)))</formula>
    </cfRule>
  </conditionalFormatting>
  <conditionalFormatting sqref="Z487:Z488 Z480">
    <cfRule type="containsText" dxfId="473" priority="634" stopIfTrue="1" operator="containsText" text="Error">
      <formula>NOT(ISERROR(SEARCH("Error",Z480)))</formula>
    </cfRule>
  </conditionalFormatting>
  <conditionalFormatting sqref="Z494 Z473">
    <cfRule type="containsText" dxfId="472" priority="631" stopIfTrue="1" operator="containsText" text="Error">
      <formula>NOT(ISERROR(SEARCH("Error",Z473)))</formula>
    </cfRule>
  </conditionalFormatting>
  <conditionalFormatting sqref="Z493">
    <cfRule type="containsText" dxfId="471" priority="629" stopIfTrue="1" operator="containsText" text="Error">
      <formula>NOT(ISERROR(SEARCH("Error",Z493)))</formula>
    </cfRule>
  </conditionalFormatting>
  <conditionalFormatting sqref="Z489 Z492">
    <cfRule type="containsText" dxfId="470" priority="628" stopIfTrue="1" operator="containsText" text="Error">
      <formula>NOT(ISERROR(SEARCH("Error",Z489)))</formula>
    </cfRule>
  </conditionalFormatting>
  <conditionalFormatting sqref="Z479">
    <cfRule type="containsText" dxfId="469" priority="627" stopIfTrue="1" operator="containsText" text="Error">
      <formula>NOT(ISERROR(SEARCH("Error",Z479)))</formula>
    </cfRule>
  </conditionalFormatting>
  <conditionalFormatting sqref="Z486">
    <cfRule type="containsText" dxfId="468" priority="626" stopIfTrue="1" operator="containsText" text="Error">
      <formula>NOT(ISERROR(SEARCH("Error",Z486)))</formula>
    </cfRule>
  </conditionalFormatting>
  <conditionalFormatting sqref="Z490:Z491">
    <cfRule type="containsText" dxfId="467" priority="625" stopIfTrue="1" operator="containsText" text="Error">
      <formula>NOT(ISERROR(SEARCH("Error",Z490)))</formula>
    </cfRule>
  </conditionalFormatting>
  <conditionalFormatting sqref="Z474">
    <cfRule type="containsText" dxfId="466" priority="624" stopIfTrue="1" operator="containsText" text="Error">
      <formula>NOT(ISERROR(SEARCH("Error",Z474)))</formula>
    </cfRule>
  </conditionalFormatting>
  <conditionalFormatting sqref="U519">
    <cfRule type="containsText" dxfId="465" priority="571" stopIfTrue="1" operator="containsText" text="Error">
      <formula>NOT(ISERROR(SEARCH("Error",U519)))</formula>
    </cfRule>
  </conditionalFormatting>
  <conditionalFormatting sqref="Z499">
    <cfRule type="containsText" dxfId="464" priority="622" stopIfTrue="1" operator="containsText" text="Error">
      <formula>NOT(ISERROR(SEARCH("Error",Z499)))</formula>
    </cfRule>
  </conditionalFormatting>
  <conditionalFormatting sqref="X489">
    <cfRule type="containsText" dxfId="463" priority="615" stopIfTrue="1" operator="containsText" text="Error">
      <formula>NOT(ISERROR(SEARCH("Error",X489)))</formula>
    </cfRule>
  </conditionalFormatting>
  <conditionalFormatting sqref="R489">
    <cfRule type="containsText" dxfId="462" priority="620" stopIfTrue="1" operator="containsText" text="Error">
      <formula>NOT(ISERROR(SEARCH("Error",R489)))</formula>
    </cfRule>
  </conditionalFormatting>
  <conditionalFormatting sqref="S489">
    <cfRule type="containsText" dxfId="461" priority="619" stopIfTrue="1" operator="containsText" text="Error">
      <formula>NOT(ISERROR(SEARCH("Error",S489)))</formula>
    </cfRule>
  </conditionalFormatting>
  <conditionalFormatting sqref="T489">
    <cfRule type="containsText" dxfId="460" priority="618" stopIfTrue="1" operator="containsText" text="Error">
      <formula>NOT(ISERROR(SEARCH("Error",T489)))</formula>
    </cfRule>
  </conditionalFormatting>
  <conditionalFormatting sqref="V489">
    <cfRule type="containsText" dxfId="459" priority="616" stopIfTrue="1" operator="containsText" text="Error">
      <formula>NOT(ISERROR(SEARCH("Error",V489)))</formula>
    </cfRule>
  </conditionalFormatting>
  <conditionalFormatting sqref="Y489">
    <cfRule type="containsText" dxfId="458" priority="614" stopIfTrue="1" operator="containsText" text="Error">
      <formula>NOT(ISERROR(SEARCH("Error",Y489)))</formula>
    </cfRule>
  </conditionalFormatting>
  <conditionalFormatting sqref="R490">
    <cfRule type="containsText" dxfId="457" priority="613" stopIfTrue="1" operator="containsText" text="Error">
      <formula>NOT(ISERROR(SEARCH("Error",R490)))</formula>
    </cfRule>
  </conditionalFormatting>
  <conditionalFormatting sqref="S490">
    <cfRule type="containsText" dxfId="456" priority="612" stopIfTrue="1" operator="containsText" text="Error">
      <formula>NOT(ISERROR(SEARCH("Error",S490)))</formula>
    </cfRule>
  </conditionalFormatting>
  <conditionalFormatting sqref="T490">
    <cfRule type="containsText" dxfId="455" priority="611" stopIfTrue="1" operator="containsText" text="Error">
      <formula>NOT(ISERROR(SEARCH("Error",T490)))</formula>
    </cfRule>
  </conditionalFormatting>
  <conditionalFormatting sqref="U490">
    <cfRule type="containsText" dxfId="454" priority="610" stopIfTrue="1" operator="containsText" text="Error">
      <formula>NOT(ISERROR(SEARCH("Error",U490)))</formula>
    </cfRule>
  </conditionalFormatting>
  <conditionalFormatting sqref="V490">
    <cfRule type="containsText" dxfId="453" priority="609" stopIfTrue="1" operator="containsText" text="Error">
      <formula>NOT(ISERROR(SEARCH("Error",V490)))</formula>
    </cfRule>
  </conditionalFormatting>
  <conditionalFormatting sqref="X490">
    <cfRule type="containsText" dxfId="452" priority="608" stopIfTrue="1" operator="containsText" text="Error">
      <formula>NOT(ISERROR(SEARCH("Error",X490)))</formula>
    </cfRule>
  </conditionalFormatting>
  <conditionalFormatting sqref="Y490">
    <cfRule type="containsText" dxfId="451" priority="607" stopIfTrue="1" operator="containsText" text="Error">
      <formula>NOT(ISERROR(SEARCH("Error",Y490)))</formula>
    </cfRule>
  </conditionalFormatting>
  <conditionalFormatting sqref="Y492">
    <cfRule type="containsText" dxfId="450" priority="604" stopIfTrue="1" operator="containsText" text="Error">
      <formula>NOT(ISERROR(SEARCH("Error",Y492)))</formula>
    </cfRule>
  </conditionalFormatting>
  <conditionalFormatting sqref="R491">
    <cfRule type="containsText" dxfId="449" priority="603" stopIfTrue="1" operator="containsText" text="Error">
      <formula>NOT(ISERROR(SEARCH("Error",R491)))</formula>
    </cfRule>
  </conditionalFormatting>
  <conditionalFormatting sqref="S491">
    <cfRule type="containsText" dxfId="448" priority="602" stopIfTrue="1" operator="containsText" text="Error">
      <formula>NOT(ISERROR(SEARCH("Error",S491)))</formula>
    </cfRule>
  </conditionalFormatting>
  <conditionalFormatting sqref="T491">
    <cfRule type="containsText" dxfId="447" priority="601" stopIfTrue="1" operator="containsText" text="Error">
      <formula>NOT(ISERROR(SEARCH("Error",T491)))</formula>
    </cfRule>
  </conditionalFormatting>
  <conditionalFormatting sqref="U491">
    <cfRule type="containsText" dxfId="446" priority="600" stopIfTrue="1" operator="containsText" text="Error">
      <formula>NOT(ISERROR(SEARCH("Error",U491)))</formula>
    </cfRule>
  </conditionalFormatting>
  <conditionalFormatting sqref="Y493">
    <cfRule type="containsText" dxfId="445" priority="594" stopIfTrue="1" operator="containsText" text="Error">
      <formula>NOT(ISERROR(SEARCH("Error",Y493)))</formula>
    </cfRule>
  </conditionalFormatting>
  <conditionalFormatting sqref="V491">
    <cfRule type="containsText" dxfId="444" priority="599" stopIfTrue="1" operator="containsText" text="Error">
      <formula>NOT(ISERROR(SEARCH("Error",V491)))</formula>
    </cfRule>
  </conditionalFormatting>
  <conditionalFormatting sqref="X491">
    <cfRule type="containsText" dxfId="443" priority="598" stopIfTrue="1" operator="containsText" text="Error">
      <formula>NOT(ISERROR(SEARCH("Error",X491)))</formula>
    </cfRule>
  </conditionalFormatting>
  <conditionalFormatting sqref="Y491">
    <cfRule type="containsText" dxfId="442" priority="597" stopIfTrue="1" operator="containsText" text="Error">
      <formula>NOT(ISERROR(SEARCH("Error",Y491)))</formula>
    </cfRule>
  </conditionalFormatting>
  <conditionalFormatting sqref="V493">
    <cfRule type="containsText" dxfId="441" priority="596" stopIfTrue="1" operator="containsText" text="Error">
      <formula>NOT(ISERROR(SEARCH("Error",V493)))</formula>
    </cfRule>
  </conditionalFormatting>
  <conditionalFormatting sqref="X493">
    <cfRule type="containsText" dxfId="440" priority="595" stopIfTrue="1" operator="containsText" text="Error">
      <formula>NOT(ISERROR(SEARCH("Error",X493)))</formula>
    </cfRule>
  </conditionalFormatting>
  <conditionalFormatting sqref="V527 AA518 R527 R510:R511 R532:T533 U510:V511 R514:Y514 R528:Y528 R540:Y540 R518:Y518 R509:Y509 R520:Y522 R526:Y526 Z539">
    <cfRule type="containsText" dxfId="439" priority="593" stopIfTrue="1" operator="containsText" text="Error">
      <formula>NOT(ISERROR(SEARCH("Error",R509)))</formula>
    </cfRule>
  </conditionalFormatting>
  <conditionalFormatting sqref="R534 R513 R523:R524 R515:R517 R539">
    <cfRule type="containsText" dxfId="438" priority="591" stopIfTrue="1" operator="containsText" text="Error">
      <formula>NOT(ISERROR(SEARCH("Error",R513)))</formula>
    </cfRule>
  </conditionalFormatting>
  <conditionalFormatting sqref="S534 S527 S513 S523:S524 S515:S517 S539">
    <cfRule type="containsText" dxfId="437" priority="589" stopIfTrue="1" operator="containsText" text="Error">
      <formula>NOT(ISERROR(SEARCH("Error",S513)))</formula>
    </cfRule>
  </conditionalFormatting>
  <conditionalFormatting sqref="S510:S511">
    <cfRule type="containsText" dxfId="436" priority="588" stopIfTrue="1" operator="containsText" text="Error">
      <formula>NOT(ISERROR(SEARCH("Error",S510)))</formula>
    </cfRule>
  </conditionalFormatting>
  <conditionalFormatting sqref="T510:T511">
    <cfRule type="containsText" dxfId="435" priority="586" stopIfTrue="1" operator="containsText" text="Error">
      <formula>NOT(ISERROR(SEARCH("Error",T510)))</formula>
    </cfRule>
  </conditionalFormatting>
  <conditionalFormatting sqref="W534 W527 W513 W523:W524 W515:W517 W539">
    <cfRule type="containsText" dxfId="434" priority="580" stopIfTrue="1" operator="containsText" text="Error">
      <formula>NOT(ISERROR(SEARCH("Error",W513)))</formula>
    </cfRule>
  </conditionalFormatting>
  <conditionalFormatting sqref="U534 U513 U523:U524 U527 U515:U517 U539">
    <cfRule type="containsText" dxfId="433" priority="585" stopIfTrue="1" operator="containsText" text="Error">
      <formula>NOT(ISERROR(SEARCH("Error",U513)))</formula>
    </cfRule>
  </conditionalFormatting>
  <conditionalFormatting sqref="U532:U533">
    <cfRule type="containsText" dxfId="432" priority="583" stopIfTrue="1" operator="containsText" text="Error">
      <formula>NOT(ISERROR(SEARCH("Error",U532)))</formula>
    </cfRule>
  </conditionalFormatting>
  <conditionalFormatting sqref="W533">
    <cfRule type="containsText" dxfId="431" priority="578" stopIfTrue="1" operator="containsText" text="Error">
      <formula>NOT(ISERROR(SEARCH("Error",W533)))</formula>
    </cfRule>
  </conditionalFormatting>
  <conditionalFormatting sqref="V534 V513 V523:V524 V515:V517 V539">
    <cfRule type="containsText" dxfId="430" priority="582" stopIfTrue="1" operator="containsText" text="Error">
      <formula>NOT(ISERROR(SEARCH("Error",V513)))</formula>
    </cfRule>
  </conditionalFormatting>
  <conditionalFormatting sqref="W510:W511">
    <cfRule type="containsText" dxfId="429" priority="579" stopIfTrue="1" operator="containsText" text="Error">
      <formula>NOT(ISERROR(SEARCH("Error",W510)))</formula>
    </cfRule>
  </conditionalFormatting>
  <conditionalFormatting sqref="W529 W532">
    <cfRule type="containsText" dxfId="428" priority="577" stopIfTrue="1" operator="containsText" text="Error">
      <formula>NOT(ISERROR(SEARCH("Error",W529)))</formula>
    </cfRule>
  </conditionalFormatting>
  <conditionalFormatting sqref="X534:Y534 X527:Y527 X513:Y513 X523:Y524 X515:Y516 X539:Y539 X517">
    <cfRule type="containsText" dxfId="427" priority="576" stopIfTrue="1" operator="containsText" text="Error">
      <formula>NOT(ISERROR(SEARCH("Error",X513)))</formula>
    </cfRule>
  </conditionalFormatting>
  <conditionalFormatting sqref="X510:Y511">
    <cfRule type="containsText" dxfId="426" priority="575" stopIfTrue="1" operator="containsText" text="Error">
      <formula>NOT(ISERROR(SEARCH("Error",X510)))</formula>
    </cfRule>
  </conditionalFormatting>
  <conditionalFormatting sqref="R519">
    <cfRule type="containsText" dxfId="425" priority="574" stopIfTrue="1" operator="containsText" text="Error">
      <formula>NOT(ISERROR(SEARCH("Error",R519)))</formula>
    </cfRule>
  </conditionalFormatting>
  <conditionalFormatting sqref="S519">
    <cfRule type="containsText" dxfId="424" priority="573" stopIfTrue="1" operator="containsText" text="Error">
      <formula>NOT(ISERROR(SEARCH("Error",S519)))</formula>
    </cfRule>
  </conditionalFormatting>
  <conditionalFormatting sqref="T519">
    <cfRule type="containsText" dxfId="423" priority="572" stopIfTrue="1" operator="containsText" text="Error">
      <formula>NOT(ISERROR(SEARCH("Error",T519)))</formula>
    </cfRule>
  </conditionalFormatting>
  <conditionalFormatting sqref="V519">
    <cfRule type="containsText" dxfId="422" priority="570" stopIfTrue="1" operator="containsText" text="Error">
      <formula>NOT(ISERROR(SEARCH("Error",V519)))</formula>
    </cfRule>
  </conditionalFormatting>
  <conditionalFormatting sqref="W519">
    <cfRule type="containsText" dxfId="421" priority="569" stopIfTrue="1" operator="containsText" text="Error">
      <formula>NOT(ISERROR(SEARCH("Error",W519)))</formula>
    </cfRule>
  </conditionalFormatting>
  <conditionalFormatting sqref="X519:Y519">
    <cfRule type="containsText" dxfId="420" priority="568" stopIfTrue="1" operator="containsText" text="Error">
      <formula>NOT(ISERROR(SEARCH("Error",X519)))</formula>
    </cfRule>
  </conditionalFormatting>
  <conditionalFormatting sqref="W530:W531">
    <cfRule type="containsText" dxfId="419" priority="567" stopIfTrue="1" operator="containsText" text="Error">
      <formula>NOT(ISERROR(SEARCH("Error",W530)))</formula>
    </cfRule>
  </conditionalFormatting>
  <conditionalFormatting sqref="Y517">
    <cfRule type="containsText" dxfId="418" priority="566" stopIfTrue="1" operator="containsText" text="Error">
      <formula>NOT(ISERROR(SEARCH("Error",Y517)))</formula>
    </cfRule>
  </conditionalFormatting>
  <conditionalFormatting sqref="AA540 AA527:AA528 AA520">
    <cfRule type="containsText" dxfId="417" priority="565" stopIfTrue="1" operator="containsText" text="Error">
      <formula>NOT(ISERROR(SEARCH("Error",AA520)))</formula>
    </cfRule>
  </conditionalFormatting>
  <conditionalFormatting sqref="AA534 AA513 AA515:AA517 AA521:AA524 AA539">
    <cfRule type="containsText" dxfId="416" priority="562" stopIfTrue="1" operator="containsText" text="Error">
      <formula>NOT(ISERROR(SEARCH("Error",AA513)))</formula>
    </cfRule>
  </conditionalFormatting>
  <conditionalFormatting sqref="AA533">
    <cfRule type="containsText" dxfId="415" priority="560" stopIfTrue="1" operator="containsText" text="Error">
      <formula>NOT(ISERROR(SEARCH("Error",AA533)))</formula>
    </cfRule>
  </conditionalFormatting>
  <conditionalFormatting sqref="AA529 AA532">
    <cfRule type="containsText" dxfId="414" priority="559" stopIfTrue="1" operator="containsText" text="Error">
      <formula>NOT(ISERROR(SEARCH("Error",AA529)))</formula>
    </cfRule>
  </conditionalFormatting>
  <conditionalFormatting sqref="AA519">
    <cfRule type="containsText" dxfId="413" priority="558" stopIfTrue="1" operator="containsText" text="Error">
      <formula>NOT(ISERROR(SEARCH("Error",AA519)))</formula>
    </cfRule>
  </conditionalFormatting>
  <conditionalFormatting sqref="AA526">
    <cfRule type="containsText" dxfId="412" priority="557" stopIfTrue="1" operator="containsText" text="Error">
      <formula>NOT(ISERROR(SEARCH("Error",AA526)))</formula>
    </cfRule>
  </conditionalFormatting>
  <conditionalFormatting sqref="AA530:AA531">
    <cfRule type="containsText" dxfId="411" priority="556" stopIfTrue="1" operator="containsText" text="Error">
      <formula>NOT(ISERROR(SEARCH("Error",AA530)))</formula>
    </cfRule>
  </conditionalFormatting>
  <conditionalFormatting sqref="AA514">
    <cfRule type="containsText" dxfId="410" priority="555" stopIfTrue="1" operator="containsText" text="Error">
      <formula>NOT(ISERROR(SEARCH("Error",AA514)))</formula>
    </cfRule>
  </conditionalFormatting>
  <conditionalFormatting sqref="Z518">
    <cfRule type="containsText" dxfId="409" priority="552" stopIfTrue="1" operator="containsText" text="Error">
      <formula>NOT(ISERROR(SEARCH("Error",Z518)))</formula>
    </cfRule>
  </conditionalFormatting>
  <conditionalFormatting sqref="Z527:Z528 Z520">
    <cfRule type="containsText" dxfId="408" priority="551" stopIfTrue="1" operator="containsText" text="Error">
      <formula>NOT(ISERROR(SEARCH("Error",Z520)))</formula>
    </cfRule>
  </conditionalFormatting>
  <conditionalFormatting sqref="Z534 Z513 Z515:Z517 Z521:Z524">
    <cfRule type="containsText" dxfId="407" priority="548" stopIfTrue="1" operator="containsText" text="Error">
      <formula>NOT(ISERROR(SEARCH("Error",Z513)))</formula>
    </cfRule>
  </conditionalFormatting>
  <conditionalFormatting sqref="Z533">
    <cfRule type="containsText" dxfId="406" priority="546" stopIfTrue="1" operator="containsText" text="Error">
      <formula>NOT(ISERROR(SEARCH("Error",Z533)))</formula>
    </cfRule>
  </conditionalFormatting>
  <conditionalFormatting sqref="Z529 Z532">
    <cfRule type="containsText" dxfId="405" priority="545" stopIfTrue="1" operator="containsText" text="Error">
      <formula>NOT(ISERROR(SEARCH("Error",Z529)))</formula>
    </cfRule>
  </conditionalFormatting>
  <conditionalFormatting sqref="Z519">
    <cfRule type="containsText" dxfId="404" priority="544" stopIfTrue="1" operator="containsText" text="Error">
      <formula>NOT(ISERROR(SEARCH("Error",Z519)))</formula>
    </cfRule>
  </conditionalFormatting>
  <conditionalFormatting sqref="Z526">
    <cfRule type="containsText" dxfId="403" priority="543" stopIfTrue="1" operator="containsText" text="Error">
      <formula>NOT(ISERROR(SEARCH("Error",Z526)))</formula>
    </cfRule>
  </conditionalFormatting>
  <conditionalFormatting sqref="Z530:Z531">
    <cfRule type="containsText" dxfId="402" priority="542" stopIfTrue="1" operator="containsText" text="Error">
      <formula>NOT(ISERROR(SEARCH("Error",Z530)))</formula>
    </cfRule>
  </conditionalFormatting>
  <conditionalFormatting sqref="Z514">
    <cfRule type="containsText" dxfId="401" priority="541" stopIfTrue="1" operator="containsText" text="Error">
      <formula>NOT(ISERROR(SEARCH("Error",Z514)))</formula>
    </cfRule>
  </conditionalFormatting>
  <conditionalFormatting sqref="Z540">
    <cfRule type="containsText" dxfId="400" priority="538" stopIfTrue="1" operator="containsText" text="Error">
      <formula>NOT(ISERROR(SEARCH("Error",Z540)))</formula>
    </cfRule>
  </conditionalFormatting>
  <conditionalFormatting sqref="V532">
    <cfRule type="containsText" dxfId="399" priority="523" stopIfTrue="1" operator="containsText" text="Error">
      <formula>NOT(ISERROR(SEARCH("Error",V532)))</formula>
    </cfRule>
  </conditionalFormatting>
  <conditionalFormatting sqref="R529">
    <cfRule type="containsText" dxfId="398" priority="537" stopIfTrue="1" operator="containsText" text="Error">
      <formula>NOT(ISERROR(SEARCH("Error",R529)))</formula>
    </cfRule>
  </conditionalFormatting>
  <conditionalFormatting sqref="S529">
    <cfRule type="containsText" dxfId="397" priority="536" stopIfTrue="1" operator="containsText" text="Error">
      <formula>NOT(ISERROR(SEARCH("Error",S529)))</formula>
    </cfRule>
  </conditionalFormatting>
  <conditionalFormatting sqref="T529">
    <cfRule type="containsText" dxfId="396" priority="535" stopIfTrue="1" operator="containsText" text="Error">
      <formula>NOT(ISERROR(SEARCH("Error",T529)))</formula>
    </cfRule>
  </conditionalFormatting>
  <conditionalFormatting sqref="U529">
    <cfRule type="containsText" dxfId="395" priority="534" stopIfTrue="1" operator="containsText" text="Error">
      <formula>NOT(ISERROR(SEARCH("Error",U529)))</formula>
    </cfRule>
  </conditionalFormatting>
  <conditionalFormatting sqref="V529">
    <cfRule type="containsText" dxfId="394" priority="533" stopIfTrue="1" operator="containsText" text="Error">
      <formula>NOT(ISERROR(SEARCH("Error",V529)))</formula>
    </cfRule>
  </conditionalFormatting>
  <conditionalFormatting sqref="X529">
    <cfRule type="containsText" dxfId="393" priority="532" stopIfTrue="1" operator="containsText" text="Error">
      <formula>NOT(ISERROR(SEARCH("Error",X529)))</formula>
    </cfRule>
  </conditionalFormatting>
  <conditionalFormatting sqref="Y529">
    <cfRule type="containsText" dxfId="392" priority="531" stopIfTrue="1" operator="containsText" text="Error">
      <formula>NOT(ISERROR(SEARCH("Error",Y529)))</formula>
    </cfRule>
  </conditionalFormatting>
  <conditionalFormatting sqref="R530">
    <cfRule type="containsText" dxfId="391" priority="530" stopIfTrue="1" operator="containsText" text="Error">
      <formula>NOT(ISERROR(SEARCH("Error",R530)))</formula>
    </cfRule>
  </conditionalFormatting>
  <conditionalFormatting sqref="S530">
    <cfRule type="containsText" dxfId="390" priority="529" stopIfTrue="1" operator="containsText" text="Error">
      <formula>NOT(ISERROR(SEARCH("Error",S530)))</formula>
    </cfRule>
  </conditionalFormatting>
  <conditionalFormatting sqref="T530">
    <cfRule type="containsText" dxfId="389" priority="528" stopIfTrue="1" operator="containsText" text="Error">
      <formula>NOT(ISERROR(SEARCH("Error",T530)))</formula>
    </cfRule>
  </conditionalFormatting>
  <conditionalFormatting sqref="U530">
    <cfRule type="containsText" dxfId="388" priority="527" stopIfTrue="1" operator="containsText" text="Error">
      <formula>NOT(ISERROR(SEARCH("Error",U530)))</formula>
    </cfRule>
  </conditionalFormatting>
  <conditionalFormatting sqref="V530">
    <cfRule type="containsText" dxfId="387" priority="526" stopIfTrue="1" operator="containsText" text="Error">
      <formula>NOT(ISERROR(SEARCH("Error",V530)))</formula>
    </cfRule>
  </conditionalFormatting>
  <conditionalFormatting sqref="X530">
    <cfRule type="containsText" dxfId="386" priority="525" stopIfTrue="1" operator="containsText" text="Error">
      <formula>NOT(ISERROR(SEARCH("Error",X530)))</formula>
    </cfRule>
  </conditionalFormatting>
  <conditionalFormatting sqref="Y530">
    <cfRule type="containsText" dxfId="385" priority="524" stopIfTrue="1" operator="containsText" text="Error">
      <formula>NOT(ISERROR(SEARCH("Error",Y530)))</formula>
    </cfRule>
  </conditionalFormatting>
  <conditionalFormatting sqref="X532">
    <cfRule type="containsText" dxfId="384" priority="522" stopIfTrue="1" operator="containsText" text="Error">
      <formula>NOT(ISERROR(SEARCH("Error",X532)))</formula>
    </cfRule>
  </conditionalFormatting>
  <conditionalFormatting sqref="Y532">
    <cfRule type="containsText" dxfId="383" priority="521" stopIfTrue="1" operator="containsText" text="Error">
      <formula>NOT(ISERROR(SEARCH("Error",Y532)))</formula>
    </cfRule>
  </conditionalFormatting>
  <conditionalFormatting sqref="R531">
    <cfRule type="containsText" dxfId="382" priority="520" stopIfTrue="1" operator="containsText" text="Error">
      <formula>NOT(ISERROR(SEARCH("Error",R531)))</formula>
    </cfRule>
  </conditionalFormatting>
  <conditionalFormatting sqref="S531">
    <cfRule type="containsText" dxfId="381" priority="519" stopIfTrue="1" operator="containsText" text="Error">
      <formula>NOT(ISERROR(SEARCH("Error",S531)))</formula>
    </cfRule>
  </conditionalFormatting>
  <conditionalFormatting sqref="T531">
    <cfRule type="containsText" dxfId="380" priority="518" stopIfTrue="1" operator="containsText" text="Error">
      <formula>NOT(ISERROR(SEARCH("Error",T531)))</formula>
    </cfRule>
  </conditionalFormatting>
  <conditionalFormatting sqref="U531">
    <cfRule type="containsText" dxfId="379" priority="517" stopIfTrue="1" operator="containsText" text="Error">
      <formula>NOT(ISERROR(SEARCH("Error",U531)))</formula>
    </cfRule>
  </conditionalFormatting>
  <conditionalFormatting sqref="V531">
    <cfRule type="containsText" dxfId="378" priority="516" stopIfTrue="1" operator="containsText" text="Error">
      <formula>NOT(ISERROR(SEARCH("Error",V531)))</formula>
    </cfRule>
  </conditionalFormatting>
  <conditionalFormatting sqref="X531">
    <cfRule type="containsText" dxfId="377" priority="515" stopIfTrue="1" operator="containsText" text="Error">
      <formula>NOT(ISERROR(SEARCH("Error",X531)))</formula>
    </cfRule>
  </conditionalFormatting>
  <conditionalFormatting sqref="Y531">
    <cfRule type="containsText" dxfId="376" priority="514" stopIfTrue="1" operator="containsText" text="Error">
      <formula>NOT(ISERROR(SEARCH("Error",Y531)))</formula>
    </cfRule>
  </conditionalFormatting>
  <conditionalFormatting sqref="V533">
    <cfRule type="containsText" dxfId="375" priority="513" stopIfTrue="1" operator="containsText" text="Error">
      <formula>NOT(ISERROR(SEARCH("Error",V533)))</formula>
    </cfRule>
  </conditionalFormatting>
  <conditionalFormatting sqref="X533">
    <cfRule type="containsText" dxfId="374" priority="512" stopIfTrue="1" operator="containsText" text="Error">
      <formula>NOT(ISERROR(SEARCH("Error",X533)))</formula>
    </cfRule>
  </conditionalFormatting>
  <conditionalFormatting sqref="Y533">
    <cfRule type="containsText" dxfId="373" priority="511" stopIfTrue="1" operator="containsText" text="Error">
      <formula>NOT(ISERROR(SEARCH("Error",Y533)))</formula>
    </cfRule>
  </conditionalFormatting>
  <conditionalFormatting sqref="AA551 U552 R544:Y551 R553:Y557">
    <cfRule type="containsText" dxfId="372" priority="510" stopIfTrue="1" operator="containsText" text="Error">
      <formula>NOT(ISERROR(SEARCH("Error",R544)))</formula>
    </cfRule>
  </conditionalFormatting>
  <conditionalFormatting sqref="R552">
    <cfRule type="containsText" dxfId="371" priority="509" stopIfTrue="1" operator="containsText" text="Error">
      <formula>NOT(ISERROR(SEARCH("Error",R552)))</formula>
    </cfRule>
  </conditionalFormatting>
  <conditionalFormatting sqref="S552">
    <cfRule type="containsText" dxfId="370" priority="508" stopIfTrue="1" operator="containsText" text="Error">
      <formula>NOT(ISERROR(SEARCH("Error",S552)))</formula>
    </cfRule>
  </conditionalFormatting>
  <conditionalFormatting sqref="T552">
    <cfRule type="containsText" dxfId="369" priority="507" stopIfTrue="1" operator="containsText" text="Error">
      <formula>NOT(ISERROR(SEARCH("Error",T552)))</formula>
    </cfRule>
  </conditionalFormatting>
  <conditionalFormatting sqref="V552">
    <cfRule type="containsText" dxfId="368" priority="506" stopIfTrue="1" operator="containsText" text="Error">
      <formula>NOT(ISERROR(SEARCH("Error",V552)))</formula>
    </cfRule>
  </conditionalFormatting>
  <conditionalFormatting sqref="W552">
    <cfRule type="containsText" dxfId="367" priority="505" stopIfTrue="1" operator="containsText" text="Error">
      <formula>NOT(ISERROR(SEARCH("Error",W552)))</formula>
    </cfRule>
  </conditionalFormatting>
  <conditionalFormatting sqref="X552:Y552">
    <cfRule type="containsText" dxfId="366" priority="504" stopIfTrue="1" operator="containsText" text="Error">
      <formula>NOT(ISERROR(SEARCH("Error",X552)))</formula>
    </cfRule>
  </conditionalFormatting>
  <conditionalFormatting sqref="R570:Y570">
    <cfRule type="cellIs" dxfId="365" priority="503" stopIfTrue="1" operator="equal">
      <formula>"Error"</formula>
    </cfRule>
  </conditionalFormatting>
  <conditionalFormatting sqref="AA544:AA550 AA553:AA557">
    <cfRule type="containsText" dxfId="364" priority="502" stopIfTrue="1" operator="containsText" text="Error">
      <formula>NOT(ISERROR(SEARCH("Error",AA544)))</formula>
    </cfRule>
  </conditionalFormatting>
  <conditionalFormatting sqref="AA552">
    <cfRule type="containsText" dxfId="363" priority="501" stopIfTrue="1" operator="containsText" text="Error">
      <formula>NOT(ISERROR(SEARCH("Error",AA552)))</formula>
    </cfRule>
  </conditionalFormatting>
  <conditionalFormatting sqref="AA570">
    <cfRule type="cellIs" dxfId="362" priority="500" stopIfTrue="1" operator="equal">
      <formula>"Error"</formula>
    </cfRule>
  </conditionalFormatting>
  <conditionalFormatting sqref="AA570">
    <cfRule type="cellIs" dxfId="361" priority="499" stopIfTrue="1" operator="equal">
      <formula>"Error"</formula>
    </cfRule>
  </conditionalFormatting>
  <conditionalFormatting sqref="Z551">
    <cfRule type="containsText" dxfId="360" priority="498" stopIfTrue="1" operator="containsText" text="Error">
      <formula>NOT(ISERROR(SEARCH("Error",Z551)))</formula>
    </cfRule>
  </conditionalFormatting>
  <conditionalFormatting sqref="Z544:Z550 Z553:Z557">
    <cfRule type="containsText" dxfId="359" priority="497" stopIfTrue="1" operator="containsText" text="Error">
      <formula>NOT(ISERROR(SEARCH("Error",Z544)))</formula>
    </cfRule>
  </conditionalFormatting>
  <conditionalFormatting sqref="Z552">
    <cfRule type="containsText" dxfId="358" priority="496" stopIfTrue="1" operator="containsText" text="Error">
      <formula>NOT(ISERROR(SEARCH("Error",Z552)))</formula>
    </cfRule>
  </conditionalFormatting>
  <conditionalFormatting sqref="Z570">
    <cfRule type="cellIs" dxfId="357" priority="495" stopIfTrue="1" operator="equal">
      <formula>"Error"</formula>
    </cfRule>
  </conditionalFormatting>
  <conditionalFormatting sqref="Z570">
    <cfRule type="cellIs" dxfId="356" priority="494" stopIfTrue="1" operator="equal">
      <formula>"Error"</formula>
    </cfRule>
  </conditionalFormatting>
  <conditionalFormatting sqref="R575">
    <cfRule type="containsText" dxfId="355" priority="493" stopIfTrue="1" operator="containsText" text="Error">
      <formula>NOT(ISERROR(SEARCH("Error",R575)))</formula>
    </cfRule>
  </conditionalFormatting>
  <conditionalFormatting sqref="S575">
    <cfRule type="containsText" dxfId="354" priority="492" stopIfTrue="1" operator="containsText" text="Error">
      <formula>NOT(ISERROR(SEARCH("Error",S575)))</formula>
    </cfRule>
  </conditionalFormatting>
  <conditionalFormatting sqref="T575">
    <cfRule type="containsText" dxfId="353" priority="491" stopIfTrue="1" operator="containsText" text="Error">
      <formula>NOT(ISERROR(SEARCH("Error",T575)))</formula>
    </cfRule>
  </conditionalFormatting>
  <conditionalFormatting sqref="U575">
    <cfRule type="containsText" dxfId="352" priority="490" stopIfTrue="1" operator="containsText" text="Error">
      <formula>NOT(ISERROR(SEARCH("Error",U575)))</formula>
    </cfRule>
  </conditionalFormatting>
  <conditionalFormatting sqref="V575">
    <cfRule type="containsText" dxfId="351" priority="489" stopIfTrue="1" operator="containsText" text="Error">
      <formula>NOT(ISERROR(SEARCH("Error",V575)))</formula>
    </cfRule>
  </conditionalFormatting>
  <conditionalFormatting sqref="X575">
    <cfRule type="containsText" dxfId="350" priority="488" stopIfTrue="1" operator="containsText" text="Error">
      <formula>NOT(ISERROR(SEARCH("Error",X575)))</formula>
    </cfRule>
  </conditionalFormatting>
  <conditionalFormatting sqref="Y575">
    <cfRule type="containsText" dxfId="349" priority="487" stopIfTrue="1" operator="containsText" text="Error">
      <formula>NOT(ISERROR(SEARCH("Error",Y575)))</formula>
    </cfRule>
  </conditionalFormatting>
  <conditionalFormatting sqref="R615:Y615">
    <cfRule type="containsText" dxfId="348" priority="486" stopIfTrue="1" operator="containsText" text="Error">
      <formula>NOT(ISERROR(SEARCH("Error",R615)))</formula>
    </cfRule>
  </conditionalFormatting>
  <conditionalFormatting sqref="AA615">
    <cfRule type="containsText" dxfId="347" priority="485" stopIfTrue="1" operator="containsText" text="Error">
      <formula>NOT(ISERROR(SEARCH("Error",AA615)))</formula>
    </cfRule>
  </conditionalFormatting>
  <conditionalFormatting sqref="Z615">
    <cfRule type="containsText" dxfId="346" priority="484" stopIfTrue="1" operator="containsText" text="Error">
      <formula>NOT(ISERROR(SEARCH("Error",Z615)))</formula>
    </cfRule>
  </conditionalFormatting>
  <conditionalFormatting sqref="N207:Q207">
    <cfRule type="cellIs" dxfId="345" priority="483" stopIfTrue="1" operator="equal">
      <formula>"Error"</formula>
    </cfRule>
  </conditionalFormatting>
  <conditionalFormatting sqref="N207">
    <cfRule type="cellIs" dxfId="344" priority="482" stopIfTrue="1" operator="equal">
      <formula>"Error"</formula>
    </cfRule>
  </conditionalFormatting>
  <conditionalFormatting sqref="N206">
    <cfRule type="cellIs" dxfId="343" priority="481" stopIfTrue="1" operator="equal">
      <formula>"Error"</formula>
    </cfRule>
  </conditionalFormatting>
  <conditionalFormatting sqref="O207">
    <cfRule type="cellIs" dxfId="342" priority="480" stopIfTrue="1" operator="equal">
      <formula>"Error"</formula>
    </cfRule>
  </conditionalFormatting>
  <conditionalFormatting sqref="O206">
    <cfRule type="cellIs" dxfId="341" priority="479" stopIfTrue="1" operator="equal">
      <formula>"Error"</formula>
    </cfRule>
  </conditionalFormatting>
  <conditionalFormatting sqref="P207:Q207">
    <cfRule type="cellIs" dxfId="340" priority="478" stopIfTrue="1" operator="equal">
      <formula>"Error"</formula>
    </cfRule>
  </conditionalFormatting>
  <conditionalFormatting sqref="P206:Q206">
    <cfRule type="cellIs" dxfId="339" priority="477" stopIfTrue="1" operator="equal">
      <formula>"Error"</formula>
    </cfRule>
  </conditionalFormatting>
  <conditionalFormatting sqref="N197:P197 N205:Q207 N201:P203 N193:Q195 N198:Q199">
    <cfRule type="containsText" dxfId="338" priority="476" stopIfTrue="1" operator="containsText" text="Error">
      <formula>NOT(ISERROR(SEARCH("Error",N193)))</formula>
    </cfRule>
  </conditionalFormatting>
  <conditionalFormatting sqref="Q197 Q201:Q203">
    <cfRule type="containsText" dxfId="337" priority="475" stopIfTrue="1" operator="containsText" text="Error">
      <formula>NOT(ISERROR(SEARCH("Error",Q197)))</formula>
    </cfRule>
  </conditionalFormatting>
  <conditionalFormatting sqref="N204:P204">
    <cfRule type="containsText" dxfId="336" priority="474" stopIfTrue="1" operator="containsText" text="Error">
      <formula>NOT(ISERROR(SEARCH("Error",N204)))</formula>
    </cfRule>
  </conditionalFormatting>
  <conditionalFormatting sqref="Q204">
    <cfRule type="containsText" dxfId="335" priority="473" stopIfTrue="1" operator="containsText" text="Error">
      <formula>NOT(ISERROR(SEARCH("Error",Q204)))</formula>
    </cfRule>
  </conditionalFormatting>
  <conditionalFormatting sqref="N200:Q200">
    <cfRule type="containsText" dxfId="334" priority="472" stopIfTrue="1" operator="containsText" text="Error">
      <formula>NOT(ISERROR(SEARCH("Error",N200)))</formula>
    </cfRule>
  </conditionalFormatting>
  <conditionalFormatting sqref="O196:Q196">
    <cfRule type="containsText" dxfId="333" priority="471" stopIfTrue="1" operator="containsText" text="Error">
      <formula>NOT(ISERROR(SEARCH("Error",O196)))</formula>
    </cfRule>
  </conditionalFormatting>
  <conditionalFormatting sqref="N196">
    <cfRule type="containsText" dxfId="332" priority="470" stopIfTrue="1" operator="containsText" text="Error">
      <formula>NOT(ISERROR(SEARCH("Error",N196)))</formula>
    </cfRule>
  </conditionalFormatting>
  <conditionalFormatting sqref="N210:Q210 N212:Q214">
    <cfRule type="containsText" dxfId="331" priority="469" stopIfTrue="1" operator="containsText" text="Error">
      <formula>NOT(ISERROR(SEARCH("Error",N210)))</formula>
    </cfRule>
  </conditionalFormatting>
  <conditionalFormatting sqref="N211:P211">
    <cfRule type="containsText" dxfId="330" priority="468" stopIfTrue="1" operator="containsText" text="Error">
      <formula>NOT(ISERROR(SEARCH("Error",N211)))</formula>
    </cfRule>
  </conditionalFormatting>
  <conditionalFormatting sqref="Q211">
    <cfRule type="containsText" dxfId="329" priority="467" stopIfTrue="1" operator="containsText" text="Error">
      <formula>NOT(ISERROR(SEARCH("Error",Q211)))</formula>
    </cfRule>
  </conditionalFormatting>
  <conditionalFormatting sqref="N220:Q220">
    <cfRule type="containsText" dxfId="328" priority="466" stopIfTrue="1" operator="containsText" text="Error">
      <formula>NOT(ISERROR(SEARCH("Error",N220)))</formula>
    </cfRule>
  </conditionalFormatting>
  <conditionalFormatting sqref="N217:P217">
    <cfRule type="containsText" dxfId="327" priority="465" stopIfTrue="1" operator="containsText" text="Error">
      <formula>NOT(ISERROR(SEARCH("Error",N217)))</formula>
    </cfRule>
  </conditionalFormatting>
  <conditionalFormatting sqref="Q217">
    <cfRule type="containsText" dxfId="326" priority="464" stopIfTrue="1" operator="containsText" text="Error">
      <formula>NOT(ISERROR(SEARCH("Error",Q217)))</formula>
    </cfRule>
  </conditionalFormatting>
  <conditionalFormatting sqref="N241:Q242 N229:Q234">
    <cfRule type="containsText" dxfId="325" priority="463" stopIfTrue="1" operator="containsText" text="Error">
      <formula>NOT(ISERROR(SEARCH("Error",N229)))</formula>
    </cfRule>
  </conditionalFormatting>
  <conditionalFormatting sqref="N235:P237 N240:Q240">
    <cfRule type="containsText" dxfId="324" priority="462" stopIfTrue="1" operator="containsText" text="Error">
      <formula>NOT(ISERROR(SEARCH("Error",N235)))</formula>
    </cfRule>
  </conditionalFormatting>
  <conditionalFormatting sqref="Q235:Q237">
    <cfRule type="containsText" dxfId="323" priority="461" stopIfTrue="1" operator="containsText" text="Error">
      <formula>NOT(ISERROR(SEARCH("Error",Q235)))</formula>
    </cfRule>
  </conditionalFormatting>
  <conditionalFormatting sqref="N239:P239">
    <cfRule type="containsText" dxfId="322" priority="460" stopIfTrue="1" operator="containsText" text="Error">
      <formula>NOT(ISERROR(SEARCH("Error",N239)))</formula>
    </cfRule>
  </conditionalFormatting>
  <conditionalFormatting sqref="Q239">
    <cfRule type="containsText" dxfId="321" priority="459" stopIfTrue="1" operator="containsText" text="Error">
      <formula>NOT(ISERROR(SEARCH("Error",Q239)))</formula>
    </cfRule>
  </conditionalFormatting>
  <conditionalFormatting sqref="N253:P253">
    <cfRule type="cellIs" dxfId="320" priority="458" stopIfTrue="1" operator="equal">
      <formula>"Error"</formula>
    </cfRule>
  </conditionalFormatting>
  <conditionalFormatting sqref="N253">
    <cfRule type="cellIs" dxfId="319" priority="457" stopIfTrue="1" operator="equal">
      <formula>"Error"</formula>
    </cfRule>
  </conditionalFormatting>
  <conditionalFormatting sqref="O253">
    <cfRule type="cellIs" dxfId="318" priority="456" stopIfTrue="1" operator="equal">
      <formula>"Error"</formula>
    </cfRule>
  </conditionalFormatting>
  <conditionalFormatting sqref="P253">
    <cfRule type="cellIs" dxfId="317" priority="455" stopIfTrue="1" operator="equal">
      <formula>"Error"</formula>
    </cfRule>
  </conditionalFormatting>
  <conditionalFormatting sqref="N252:Q253">
    <cfRule type="containsText" dxfId="316" priority="454" stopIfTrue="1" operator="containsText" text="Error">
      <formula>NOT(ISERROR(SEARCH("Error",N252)))</formula>
    </cfRule>
  </conditionalFormatting>
  <conditionalFormatting sqref="Q253">
    <cfRule type="cellIs" dxfId="315" priority="453" stopIfTrue="1" operator="equal">
      <formula>"Error"</formula>
    </cfRule>
  </conditionalFormatting>
  <conditionalFormatting sqref="Q253">
    <cfRule type="cellIs" dxfId="314" priority="452" stopIfTrue="1" operator="equal">
      <formula>"Error"</formula>
    </cfRule>
  </conditionalFormatting>
  <conditionalFormatting sqref="N267:Q268 N260:Q261">
    <cfRule type="containsText" dxfId="313" priority="451" stopIfTrue="1" operator="containsText" text="Error">
      <formula>NOT(ISERROR(SEARCH("Error",N260)))</formula>
    </cfRule>
  </conditionalFormatting>
  <conditionalFormatting sqref="N256:Q259">
    <cfRule type="containsText" dxfId="312" priority="450" stopIfTrue="1" operator="containsText" text="Error">
      <formula>NOT(ISERROR(SEARCH("Error",N256)))</formula>
    </cfRule>
  </conditionalFormatting>
  <conditionalFormatting sqref="N262:P264 N266:Q266">
    <cfRule type="containsText" dxfId="311" priority="449" stopIfTrue="1" operator="containsText" text="Error">
      <formula>NOT(ISERROR(SEARCH("Error",N262)))</formula>
    </cfRule>
  </conditionalFormatting>
  <conditionalFormatting sqref="Q262:Q264">
    <cfRule type="containsText" dxfId="310" priority="448" stopIfTrue="1" operator="containsText" text="Error">
      <formula>NOT(ISERROR(SEARCH("Error",Q262)))</formula>
    </cfRule>
  </conditionalFormatting>
  <conditionalFormatting sqref="N265:P265">
    <cfRule type="containsText" dxfId="309" priority="447" stopIfTrue="1" operator="containsText" text="Error">
      <formula>NOT(ISERROR(SEARCH("Error",N265)))</formula>
    </cfRule>
  </conditionalFormatting>
  <conditionalFormatting sqref="Q265">
    <cfRule type="containsText" dxfId="308" priority="446" stopIfTrue="1" operator="containsText" text="Error">
      <formula>NOT(ISERROR(SEARCH("Error",Q265)))</formula>
    </cfRule>
  </conditionalFormatting>
  <conditionalFormatting sqref="N273:P273">
    <cfRule type="cellIs" dxfId="307" priority="445" stopIfTrue="1" operator="equal">
      <formula>"Error"</formula>
    </cfRule>
  </conditionalFormatting>
  <conditionalFormatting sqref="N273">
    <cfRule type="cellIs" dxfId="306" priority="444" stopIfTrue="1" operator="equal">
      <formula>"Error"</formula>
    </cfRule>
  </conditionalFormatting>
  <conditionalFormatting sqref="O273">
    <cfRule type="cellIs" dxfId="305" priority="443" stopIfTrue="1" operator="equal">
      <formula>"Error"</formula>
    </cfRule>
  </conditionalFormatting>
  <conditionalFormatting sqref="P273">
    <cfRule type="cellIs" dxfId="304" priority="442" stopIfTrue="1" operator="equal">
      <formula>"Error"</formula>
    </cfRule>
  </conditionalFormatting>
  <conditionalFormatting sqref="N272:Q273">
    <cfRule type="containsText" dxfId="303" priority="441" stopIfTrue="1" operator="containsText" text="Error">
      <formula>NOT(ISERROR(SEARCH("Error",N272)))</formula>
    </cfRule>
  </conditionalFormatting>
  <conditionalFormatting sqref="Q273">
    <cfRule type="cellIs" dxfId="302" priority="440" stopIfTrue="1" operator="equal">
      <formula>"Error"</formula>
    </cfRule>
  </conditionalFormatting>
  <conditionalFormatting sqref="Q273">
    <cfRule type="cellIs" dxfId="301" priority="439" stopIfTrue="1" operator="equal">
      <formula>"Error"</formula>
    </cfRule>
  </conditionalFormatting>
  <conditionalFormatting sqref="N295:Q295">
    <cfRule type="cellIs" dxfId="300" priority="438" stopIfTrue="1" operator="equal">
      <formula>"Error"</formula>
    </cfRule>
  </conditionalFormatting>
  <conditionalFormatting sqref="N295">
    <cfRule type="cellIs" dxfId="299" priority="437" stopIfTrue="1" operator="equal">
      <formula>"Error"</formula>
    </cfRule>
  </conditionalFormatting>
  <conditionalFormatting sqref="N294">
    <cfRule type="cellIs" dxfId="298" priority="436" stopIfTrue="1" operator="equal">
      <formula>"Error"</formula>
    </cfRule>
  </conditionalFormatting>
  <conditionalFormatting sqref="O295">
    <cfRule type="cellIs" dxfId="297" priority="435" stopIfTrue="1" operator="equal">
      <formula>"Error"</formula>
    </cfRule>
  </conditionalFormatting>
  <conditionalFormatting sqref="O294">
    <cfRule type="cellIs" dxfId="296" priority="434" stopIfTrue="1" operator="equal">
      <formula>"Error"</formula>
    </cfRule>
  </conditionalFormatting>
  <conditionalFormatting sqref="P295:Q295">
    <cfRule type="cellIs" dxfId="295" priority="433" stopIfTrue="1" operator="equal">
      <formula>"Error"</formula>
    </cfRule>
  </conditionalFormatting>
  <conditionalFormatting sqref="P294:Q294">
    <cfRule type="cellIs" dxfId="294" priority="432" stopIfTrue="1" operator="equal">
      <formula>"Error"</formula>
    </cfRule>
  </conditionalFormatting>
  <conditionalFormatting sqref="Q294:Q295 N285:P285 N294:P297 N307:Q307 N350:Q350 N298:Q298 N289:P292 N293:Q293">
    <cfRule type="containsText" dxfId="293" priority="431" stopIfTrue="1" operator="containsText" text="Error">
      <formula>NOT(ISERROR(SEARCH("Error",N285)))</formula>
    </cfRule>
  </conditionalFormatting>
  <conditionalFormatting sqref="Q285 Q296:Q297 Q289:Q292">
    <cfRule type="containsText" dxfId="292" priority="429" stopIfTrue="1" operator="containsText" text="Error">
      <formula>NOT(ISERROR(SEARCH("Error",Q285)))</formula>
    </cfRule>
  </conditionalFormatting>
  <conditionalFormatting sqref="N299:P299">
    <cfRule type="containsText" dxfId="291" priority="426" stopIfTrue="1" operator="containsText" text="Error">
      <formula>NOT(ISERROR(SEARCH("Error",N299)))</formula>
    </cfRule>
  </conditionalFormatting>
  <conditionalFormatting sqref="Q299">
    <cfRule type="containsText" dxfId="290" priority="425" stopIfTrue="1" operator="containsText" text="Error">
      <formula>NOT(ISERROR(SEARCH("Error",Q299)))</formula>
    </cfRule>
  </conditionalFormatting>
  <conditionalFormatting sqref="N304:P304">
    <cfRule type="containsText" dxfId="289" priority="424" stopIfTrue="1" operator="containsText" text="Error">
      <formula>NOT(ISERROR(SEARCH("Error",N304)))</formula>
    </cfRule>
  </conditionalFormatting>
  <conditionalFormatting sqref="Q304">
    <cfRule type="containsText" dxfId="288" priority="423" stopIfTrue="1" operator="containsText" text="Error">
      <formula>NOT(ISERROR(SEARCH("Error",Q304)))</formula>
    </cfRule>
  </conditionalFormatting>
  <conditionalFormatting sqref="N288:Q288">
    <cfRule type="containsText" dxfId="287" priority="422" stopIfTrue="1" operator="containsText" text="Error">
      <formula>NOT(ISERROR(SEARCH("Error",N288)))</formula>
    </cfRule>
  </conditionalFormatting>
  <conditionalFormatting sqref="N349">
    <cfRule type="cellIs" dxfId="286" priority="419" stopIfTrue="1" operator="equal">
      <formula>"Error"</formula>
    </cfRule>
  </conditionalFormatting>
  <conditionalFormatting sqref="N349:P349">
    <cfRule type="cellIs" dxfId="285" priority="420" stopIfTrue="1" operator="equal">
      <formula>"Error"</formula>
    </cfRule>
  </conditionalFormatting>
  <conditionalFormatting sqref="P349">
    <cfRule type="cellIs" dxfId="284" priority="417" stopIfTrue="1" operator="equal">
      <formula>"Error"</formula>
    </cfRule>
  </conditionalFormatting>
  <conditionalFormatting sqref="O349">
    <cfRule type="cellIs" dxfId="283" priority="418" stopIfTrue="1" operator="equal">
      <formula>"Error"</formula>
    </cfRule>
  </conditionalFormatting>
  <conditionalFormatting sqref="Q349">
    <cfRule type="cellIs" dxfId="282" priority="415" stopIfTrue="1" operator="equal">
      <formula>"Error"</formula>
    </cfRule>
  </conditionalFormatting>
  <conditionalFormatting sqref="Q349">
    <cfRule type="cellIs" dxfId="281" priority="414" stopIfTrue="1" operator="equal">
      <formula>"Error"</formula>
    </cfRule>
  </conditionalFormatting>
  <conditionalFormatting sqref="N377:P377">
    <cfRule type="cellIs" dxfId="280" priority="413" stopIfTrue="1" operator="equal">
      <formula>"Error"</formula>
    </cfRule>
  </conditionalFormatting>
  <conditionalFormatting sqref="N377">
    <cfRule type="cellIs" dxfId="279" priority="412" stopIfTrue="1" operator="equal">
      <formula>"Error"</formula>
    </cfRule>
  </conditionalFormatting>
  <conditionalFormatting sqref="O377">
    <cfRule type="cellIs" dxfId="278" priority="411" stopIfTrue="1" operator="equal">
      <formula>"Error"</formula>
    </cfRule>
  </conditionalFormatting>
  <conditionalFormatting sqref="P377">
    <cfRule type="cellIs" dxfId="277" priority="410" stopIfTrue="1" operator="equal">
      <formula>"Error"</formula>
    </cfRule>
  </conditionalFormatting>
  <conditionalFormatting sqref="N351:Q351">
    <cfRule type="containsText" dxfId="276" priority="409" stopIfTrue="1" operator="containsText" text="Error">
      <formula>NOT(ISERROR(SEARCH("Error",N351)))</formula>
    </cfRule>
  </conditionalFormatting>
  <conditionalFormatting sqref="Q377">
    <cfRule type="cellIs" dxfId="275" priority="408" stopIfTrue="1" operator="equal">
      <formula>"Error"</formula>
    </cfRule>
  </conditionalFormatting>
  <conditionalFormatting sqref="Q377">
    <cfRule type="cellIs" dxfId="274" priority="407" stopIfTrue="1" operator="equal">
      <formula>"Error"</formula>
    </cfRule>
  </conditionalFormatting>
  <conditionalFormatting sqref="N326:P328 N330:Q330">
    <cfRule type="containsText" dxfId="273" priority="406" stopIfTrue="1" operator="containsText" text="Error">
      <formula>NOT(ISERROR(SEARCH("Error",N326)))</formula>
    </cfRule>
  </conditionalFormatting>
  <conditionalFormatting sqref="Q326:Q328">
    <cfRule type="containsText" dxfId="272" priority="405" stopIfTrue="1" operator="containsText" text="Error">
      <formula>NOT(ISERROR(SEARCH("Error",Q326)))</formula>
    </cfRule>
  </conditionalFormatting>
  <conditionalFormatting sqref="N329:P329">
    <cfRule type="containsText" dxfId="271" priority="404" stopIfTrue="1" operator="containsText" text="Error">
      <formula>NOT(ISERROR(SEARCH("Error",N329)))</formula>
    </cfRule>
  </conditionalFormatting>
  <conditionalFormatting sqref="Q329">
    <cfRule type="containsText" dxfId="270" priority="403" stopIfTrue="1" operator="containsText" text="Error">
      <formula>NOT(ISERROR(SEARCH("Error",Q329)))</formula>
    </cfRule>
  </conditionalFormatting>
  <conditionalFormatting sqref="N357:P359 N361:Q361">
    <cfRule type="containsText" dxfId="269" priority="402" stopIfTrue="1" operator="containsText" text="Error">
      <formula>NOT(ISERROR(SEARCH("Error",N357)))</formula>
    </cfRule>
  </conditionalFormatting>
  <conditionalFormatting sqref="Q357:Q359">
    <cfRule type="containsText" dxfId="268" priority="401" stopIfTrue="1" operator="containsText" text="Error">
      <formula>NOT(ISERROR(SEARCH("Error",Q357)))</formula>
    </cfRule>
  </conditionalFormatting>
  <conditionalFormatting sqref="N360:P360">
    <cfRule type="containsText" dxfId="267" priority="400" stopIfTrue="1" operator="containsText" text="Error">
      <formula>NOT(ISERROR(SEARCH("Error",N360)))</formula>
    </cfRule>
  </conditionalFormatting>
  <conditionalFormatting sqref="Q360">
    <cfRule type="containsText" dxfId="266" priority="399" stopIfTrue="1" operator="containsText" text="Error">
      <formula>NOT(ISERROR(SEARCH("Error",Q360)))</formula>
    </cfRule>
  </conditionalFormatting>
  <conditionalFormatting sqref="N320:Q323">
    <cfRule type="containsText" dxfId="265" priority="398" stopIfTrue="1" operator="containsText" text="Error">
      <formula>NOT(ISERROR(SEARCH("Error",N320)))</formula>
    </cfRule>
  </conditionalFormatting>
  <conditionalFormatting sqref="N404:Q404">
    <cfRule type="cellIs" dxfId="264" priority="397" stopIfTrue="1" operator="equal">
      <formula>"Error"</formula>
    </cfRule>
  </conditionalFormatting>
  <conditionalFormatting sqref="N404">
    <cfRule type="cellIs" dxfId="263" priority="396" stopIfTrue="1" operator="equal">
      <formula>"Error"</formula>
    </cfRule>
  </conditionalFormatting>
  <conditionalFormatting sqref="N403">
    <cfRule type="cellIs" dxfId="262" priority="395" stopIfTrue="1" operator="equal">
      <formula>"Error"</formula>
    </cfRule>
  </conditionalFormatting>
  <conditionalFormatting sqref="O404">
    <cfRule type="cellIs" dxfId="261" priority="394" stopIfTrue="1" operator="equal">
      <formula>"Error"</formula>
    </cfRule>
  </conditionalFormatting>
  <conditionalFormatting sqref="O403">
    <cfRule type="cellIs" dxfId="260" priority="393" stopIfTrue="1" operator="equal">
      <formula>"Error"</formula>
    </cfRule>
  </conditionalFormatting>
  <conditionalFormatting sqref="P404:Q404">
    <cfRule type="cellIs" dxfId="259" priority="392" stopIfTrue="1" operator="equal">
      <formula>"Error"</formula>
    </cfRule>
  </conditionalFormatting>
  <conditionalFormatting sqref="P403:Q403">
    <cfRule type="cellIs" dxfId="258" priority="391" stopIfTrue="1" operator="equal">
      <formula>"Error"</formula>
    </cfRule>
  </conditionalFormatting>
  <conditionalFormatting sqref="N393:P393 N402:Q404 N397:P399 N401:P401">
    <cfRule type="containsText" dxfId="257" priority="390" stopIfTrue="1" operator="containsText" text="Error">
      <formula>NOT(ISERROR(SEARCH("Error",N393)))</formula>
    </cfRule>
  </conditionalFormatting>
  <conditionalFormatting sqref="Q393 Q397:Q399 Q401">
    <cfRule type="containsText" dxfId="256" priority="389" stopIfTrue="1" operator="containsText" text="Error">
      <formula>NOT(ISERROR(SEARCH("Error",Q393)))</formula>
    </cfRule>
  </conditionalFormatting>
  <conditionalFormatting sqref="N396:Q396">
    <cfRule type="containsText" dxfId="255" priority="388" stopIfTrue="1" operator="containsText" text="Error">
      <formula>NOT(ISERROR(SEARCH("Error",N396)))</formula>
    </cfRule>
  </conditionalFormatting>
  <conditionalFormatting sqref="N400:Q400">
    <cfRule type="containsText" dxfId="254" priority="387" stopIfTrue="1" operator="containsText" text="Error">
      <formula>NOT(ISERROR(SEARCH("Error",N400)))</formula>
    </cfRule>
  </conditionalFormatting>
  <conditionalFormatting sqref="N420:Q420 N394:P394">
    <cfRule type="containsText" dxfId="253" priority="383" stopIfTrue="1" operator="containsText" text="Error">
      <formula>NOT(ISERROR(SEARCH("Error",N394)))</formula>
    </cfRule>
  </conditionalFormatting>
  <conditionalFormatting sqref="N421:P421">
    <cfRule type="containsText" dxfId="252" priority="381" stopIfTrue="1" operator="containsText" text="Error">
      <formula>NOT(ISERROR(SEARCH("Error",N421)))</formula>
    </cfRule>
  </conditionalFormatting>
  <conditionalFormatting sqref="Q421">
    <cfRule type="containsText" dxfId="251" priority="380" stopIfTrue="1" operator="containsText" text="Error">
      <formula>NOT(ISERROR(SEARCH("Error",Q421)))</formula>
    </cfRule>
  </conditionalFormatting>
  <conditionalFormatting sqref="Q394">
    <cfRule type="containsText" dxfId="250" priority="379" stopIfTrue="1" operator="containsText" text="Error">
      <formula>NOT(ISERROR(SEARCH("Error",Q394)))</formula>
    </cfRule>
  </conditionalFormatting>
  <conditionalFormatting sqref="N417:Q417">
    <cfRule type="containsText" dxfId="249" priority="378" stopIfTrue="1" operator="containsText" text="Error">
      <formula>NOT(ISERROR(SEARCH("Error",N417)))</formula>
    </cfRule>
  </conditionalFormatting>
  <conditionalFormatting sqref="N414:P414">
    <cfRule type="containsText" dxfId="248" priority="377" stopIfTrue="1" operator="containsText" text="Error">
      <formula>NOT(ISERROR(SEARCH("Error",N414)))</formula>
    </cfRule>
  </conditionalFormatting>
  <conditionalFormatting sqref="Q414">
    <cfRule type="containsText" dxfId="247" priority="376" stopIfTrue="1" operator="containsText" text="Error">
      <formula>NOT(ISERROR(SEARCH("Error",Q414)))</formula>
    </cfRule>
  </conditionalFormatting>
  <conditionalFormatting sqref="N424:Q425">
    <cfRule type="containsText" dxfId="246" priority="375" stopIfTrue="1" operator="containsText" text="Error">
      <formula>NOT(ISERROR(SEARCH("Error",N424)))</formula>
    </cfRule>
  </conditionalFormatting>
  <conditionalFormatting sqref="N438:Q439">
    <cfRule type="containsText" dxfId="245" priority="373" stopIfTrue="1" operator="containsText" text="Error">
      <formula>NOT(ISERROR(SEARCH("Error",N438)))</formula>
    </cfRule>
  </conditionalFormatting>
  <conditionalFormatting sqref="N433:P435 N437:Q437">
    <cfRule type="containsText" dxfId="244" priority="372" stopIfTrue="1" operator="containsText" text="Error">
      <formula>NOT(ISERROR(SEARCH("Error",N433)))</formula>
    </cfRule>
  </conditionalFormatting>
  <conditionalFormatting sqref="Q433:Q435">
    <cfRule type="containsText" dxfId="243" priority="371" stopIfTrue="1" operator="containsText" text="Error">
      <formula>NOT(ISERROR(SEARCH("Error",Q433)))</formula>
    </cfRule>
  </conditionalFormatting>
  <conditionalFormatting sqref="N436:P436">
    <cfRule type="containsText" dxfId="242" priority="370" stopIfTrue="1" operator="containsText" text="Error">
      <formula>NOT(ISERROR(SEARCH("Error",N436)))</formula>
    </cfRule>
  </conditionalFormatting>
  <conditionalFormatting sqref="Q436">
    <cfRule type="containsText" dxfId="241" priority="369" stopIfTrue="1" operator="containsText" text="Error">
      <formula>NOT(ISERROR(SEARCH("Error",Q436)))</formula>
    </cfRule>
  </conditionalFormatting>
  <conditionalFormatting sqref="N409:P409">
    <cfRule type="cellIs" dxfId="240" priority="368" stopIfTrue="1" operator="equal">
      <formula>"Error"</formula>
    </cfRule>
  </conditionalFormatting>
  <conditionalFormatting sqref="N409">
    <cfRule type="cellIs" dxfId="239" priority="367" stopIfTrue="1" operator="equal">
      <formula>"Error"</formula>
    </cfRule>
  </conditionalFormatting>
  <conditionalFormatting sqref="O409">
    <cfRule type="cellIs" dxfId="238" priority="366" stopIfTrue="1" operator="equal">
      <formula>"Error"</formula>
    </cfRule>
  </conditionalFormatting>
  <conditionalFormatting sqref="P409">
    <cfRule type="cellIs" dxfId="237" priority="365" stopIfTrue="1" operator="equal">
      <formula>"Error"</formula>
    </cfRule>
  </conditionalFormatting>
  <conditionalFormatting sqref="N409:Q409">
    <cfRule type="containsText" dxfId="236" priority="364" stopIfTrue="1" operator="containsText" text="Error">
      <formula>NOT(ISERROR(SEARCH("Error",N409)))</formula>
    </cfRule>
  </conditionalFormatting>
  <conditionalFormatting sqref="Q409">
    <cfRule type="cellIs" dxfId="235" priority="363" stopIfTrue="1" operator="equal">
      <formula>"Error"</formula>
    </cfRule>
  </conditionalFormatting>
  <conditionalFormatting sqref="Q409">
    <cfRule type="cellIs" dxfId="234" priority="362" stopIfTrue="1" operator="equal">
      <formula>"Error"</formula>
    </cfRule>
  </conditionalFormatting>
  <conditionalFormatting sqref="N457:Q458 N449:Q450">
    <cfRule type="containsText" dxfId="233" priority="361" stopIfTrue="1" operator="containsText" text="Error">
      <formula>NOT(ISERROR(SEARCH("Error",N449)))</formula>
    </cfRule>
  </conditionalFormatting>
  <conditionalFormatting sqref="N451:P454 N456:Q456">
    <cfRule type="containsText" dxfId="232" priority="359" stopIfTrue="1" operator="containsText" text="Error">
      <formula>NOT(ISERROR(SEARCH("Error",N451)))</formula>
    </cfRule>
  </conditionalFormatting>
  <conditionalFormatting sqref="Q451:Q454">
    <cfRule type="containsText" dxfId="231" priority="358" stopIfTrue="1" operator="containsText" text="Error">
      <formula>NOT(ISERROR(SEARCH("Error",Q451)))</formula>
    </cfRule>
  </conditionalFormatting>
  <conditionalFormatting sqref="N455:P455">
    <cfRule type="containsText" dxfId="230" priority="357" stopIfTrue="1" operator="containsText" text="Error">
      <formula>NOT(ISERROR(SEARCH("Error",N455)))</formula>
    </cfRule>
  </conditionalFormatting>
  <conditionalFormatting sqref="Q455">
    <cfRule type="containsText" dxfId="229" priority="356" stopIfTrue="1" operator="containsText" text="Error">
      <formula>NOT(ISERROR(SEARCH("Error",Q455)))</formula>
    </cfRule>
  </conditionalFormatting>
  <conditionalFormatting sqref="R352:U354">
    <cfRule type="containsText" dxfId="228" priority="355" stopIfTrue="1" operator="containsText" text="Error">
      <formula>NOT(ISERROR(SEARCH("Error",R352)))</formula>
    </cfRule>
  </conditionalFormatting>
  <conditionalFormatting sqref="V352:Y354">
    <cfRule type="containsText" dxfId="227" priority="354" stopIfTrue="1" operator="containsText" text="Error">
      <formula>NOT(ISERROR(SEARCH("Error",V352)))</formula>
    </cfRule>
  </conditionalFormatting>
  <conditionalFormatting sqref="N490:O491">
    <cfRule type="containsText" dxfId="226" priority="336" stopIfTrue="1" operator="containsText" text="Error">
      <formula>NOT(ISERROR(SEARCH("Error",N490)))</formula>
    </cfRule>
  </conditionalFormatting>
  <conditionalFormatting sqref="P490:P491">
    <cfRule type="containsText" dxfId="225" priority="335" stopIfTrue="1" operator="containsText" text="Error">
      <formula>NOT(ISERROR(SEARCH("Error",P490)))</formula>
    </cfRule>
  </conditionalFormatting>
  <conditionalFormatting sqref="N486:P486">
    <cfRule type="containsText" dxfId="224" priority="345" stopIfTrue="1" operator="containsText" text="Error">
      <formula>NOT(ISERROR(SEARCH("Error",N486)))</formula>
    </cfRule>
  </conditionalFormatting>
  <conditionalFormatting sqref="Q486">
    <cfRule type="containsText" dxfId="223" priority="344" stopIfTrue="1" operator="containsText" text="Error">
      <formula>NOT(ISERROR(SEARCH("Error",Q486)))</formula>
    </cfRule>
  </conditionalFormatting>
  <conditionalFormatting sqref="N469:Q470">
    <cfRule type="containsText" dxfId="222" priority="343" stopIfTrue="1" operator="containsText" text="Error">
      <formula>NOT(ISERROR(SEARCH("Error",N469)))</formula>
    </cfRule>
  </conditionalFormatting>
  <conditionalFormatting sqref="N471:Q471">
    <cfRule type="containsText" dxfId="221" priority="340" stopIfTrue="1" operator="containsText" text="Error">
      <formula>NOT(ISERROR(SEARCH("Error",N471)))</formula>
    </cfRule>
  </conditionalFormatting>
  <conditionalFormatting sqref="N492:Q493 P489:Q489">
    <cfRule type="containsText" dxfId="220" priority="339" stopIfTrue="1" operator="containsText" text="Error">
      <formula>NOT(ISERROR(SEARCH("Error",N489)))</formula>
    </cfRule>
  </conditionalFormatting>
  <conditionalFormatting sqref="N489">
    <cfRule type="containsText" dxfId="219" priority="338" stopIfTrue="1" operator="containsText" text="Error">
      <formula>NOT(ISERROR(SEARCH("Error",N489)))</formula>
    </cfRule>
  </conditionalFormatting>
  <conditionalFormatting sqref="O489">
    <cfRule type="containsText" dxfId="218" priority="337" stopIfTrue="1" operator="containsText" text="Error">
      <formula>NOT(ISERROR(SEARCH("Error",O489)))</formula>
    </cfRule>
  </conditionalFormatting>
  <conditionalFormatting sqref="Q490:Q491">
    <cfRule type="containsText" dxfId="217" priority="334" stopIfTrue="1" operator="containsText" text="Error">
      <formula>NOT(ISERROR(SEARCH("Error",Q490)))</formula>
    </cfRule>
  </conditionalFormatting>
  <conditionalFormatting sqref="N500:Q500">
    <cfRule type="containsText" dxfId="216" priority="333" stopIfTrue="1" operator="containsText" text="Error">
      <formula>NOT(ISERROR(SEARCH("Error",N500)))</formula>
    </cfRule>
  </conditionalFormatting>
  <conditionalFormatting sqref="Q521 N532:Q533 N513:P513 N521:P524 N534:P534 P529:Q529 N540:Q540 N515:P517 N527:Q527 N520:Q520 N539:P539 N519:P519">
    <cfRule type="containsText" dxfId="215" priority="332" stopIfTrue="1" operator="containsText" text="Error">
      <formula>NOT(ISERROR(SEARCH("Error",N513)))</formula>
    </cfRule>
  </conditionalFormatting>
  <conditionalFormatting sqref="N529">
    <cfRule type="containsText" dxfId="214" priority="329" stopIfTrue="1" operator="containsText" text="Error">
      <formula>NOT(ISERROR(SEARCH("Error",N529)))</formula>
    </cfRule>
  </conditionalFormatting>
  <conditionalFormatting sqref="O529">
    <cfRule type="containsText" dxfId="213" priority="328" stopIfTrue="1" operator="containsText" text="Error">
      <formula>NOT(ISERROR(SEARCH("Error",O529)))</formula>
    </cfRule>
  </conditionalFormatting>
  <conditionalFormatting sqref="Q534 Q513 Q522:Q524 Q515:Q517 Q539">
    <cfRule type="containsText" dxfId="212" priority="327" stopIfTrue="1" operator="containsText" text="Error">
      <formula>NOT(ISERROR(SEARCH("Error",Q513)))</formula>
    </cfRule>
  </conditionalFormatting>
  <conditionalFormatting sqref="Q519">
    <cfRule type="containsText" dxfId="211" priority="326" stopIfTrue="1" operator="containsText" text="Error">
      <formula>NOT(ISERROR(SEARCH("Error",Q519)))</formula>
    </cfRule>
  </conditionalFormatting>
  <conditionalFormatting sqref="N526:P526">
    <cfRule type="containsText" dxfId="210" priority="325" stopIfTrue="1" operator="containsText" text="Error">
      <formula>NOT(ISERROR(SEARCH("Error",N526)))</formula>
    </cfRule>
  </conditionalFormatting>
  <conditionalFormatting sqref="Q526">
    <cfRule type="containsText" dxfId="209" priority="324" stopIfTrue="1" operator="containsText" text="Error">
      <formula>NOT(ISERROR(SEARCH("Error",Q526)))</formula>
    </cfRule>
  </conditionalFormatting>
  <conditionalFormatting sqref="N530:O531">
    <cfRule type="containsText" dxfId="208" priority="323" stopIfTrue="1" operator="containsText" text="Error">
      <formula>NOT(ISERROR(SEARCH("Error",N530)))</formula>
    </cfRule>
  </conditionalFormatting>
  <conditionalFormatting sqref="P530:P531">
    <cfRule type="containsText" dxfId="207" priority="322" stopIfTrue="1" operator="containsText" text="Error">
      <formula>NOT(ISERROR(SEARCH("Error",P530)))</formula>
    </cfRule>
  </conditionalFormatting>
  <conditionalFormatting sqref="Q530:Q531">
    <cfRule type="containsText" dxfId="206" priority="321" stopIfTrue="1" operator="containsText" text="Error">
      <formula>NOT(ISERROR(SEARCH("Error",Q530)))</formula>
    </cfRule>
  </conditionalFormatting>
  <conditionalFormatting sqref="N514:Q514">
    <cfRule type="containsText" dxfId="205" priority="320" stopIfTrue="1" operator="containsText" text="Error">
      <formula>NOT(ISERROR(SEARCH("Error",N514)))</formula>
    </cfRule>
  </conditionalFormatting>
  <conditionalFormatting sqref="N518:P518">
    <cfRule type="containsText" dxfId="204" priority="319" stopIfTrue="1" operator="containsText" text="Error">
      <formula>NOT(ISERROR(SEARCH("Error",N518)))</formula>
    </cfRule>
  </conditionalFormatting>
  <conditionalFormatting sqref="Q518">
    <cfRule type="containsText" dxfId="203" priority="318" stopIfTrue="1" operator="containsText" text="Error">
      <formula>NOT(ISERROR(SEARCH("Error",Q518)))</formula>
    </cfRule>
  </conditionalFormatting>
  <conditionalFormatting sqref="Q481 N473:P473 N481:P482 N475:P477 N480:Q480 N479:P479">
    <cfRule type="containsText" dxfId="202" priority="317" stopIfTrue="1" operator="containsText" text="Error">
      <formula>NOT(ISERROR(SEARCH("Error",N473)))</formula>
    </cfRule>
  </conditionalFormatting>
  <conditionalFormatting sqref="Q473 Q482 Q475:Q477">
    <cfRule type="containsText" dxfId="201" priority="316" stopIfTrue="1" operator="containsText" text="Error">
      <formula>NOT(ISERROR(SEARCH("Error",Q473)))</formula>
    </cfRule>
  </conditionalFormatting>
  <conditionalFormatting sqref="Q479">
    <cfRule type="containsText" dxfId="200" priority="315" stopIfTrue="1" operator="containsText" text="Error">
      <formula>NOT(ISERROR(SEARCH("Error",Q479)))</formula>
    </cfRule>
  </conditionalFormatting>
  <conditionalFormatting sqref="N474:Q474">
    <cfRule type="containsText" dxfId="199" priority="314" stopIfTrue="1" operator="containsText" text="Error">
      <formula>NOT(ISERROR(SEARCH("Error",N474)))</formula>
    </cfRule>
  </conditionalFormatting>
  <conditionalFormatting sqref="N478:P478">
    <cfRule type="containsText" dxfId="198" priority="313" stopIfTrue="1" operator="containsText" text="Error">
      <formula>NOT(ISERROR(SEARCH("Error",N478)))</formula>
    </cfRule>
  </conditionalFormatting>
  <conditionalFormatting sqref="Q478">
    <cfRule type="containsText" dxfId="197" priority="312" stopIfTrue="1" operator="containsText" text="Error">
      <formula>NOT(ISERROR(SEARCH("Error",Q478)))</formula>
    </cfRule>
  </conditionalFormatting>
  <conditionalFormatting sqref="N553:Q557 N544:Q550">
    <cfRule type="containsText" dxfId="196" priority="311" stopIfTrue="1" operator="containsText" text="Error">
      <formula>NOT(ISERROR(SEARCH("Error",N544)))</formula>
    </cfRule>
  </conditionalFormatting>
  <conditionalFormatting sqref="N552:Q552">
    <cfRule type="containsText" dxfId="195" priority="310" stopIfTrue="1" operator="containsText" text="Error">
      <formula>NOT(ISERROR(SEARCH("Error",N552)))</formula>
    </cfRule>
  </conditionalFormatting>
  <conditionalFormatting sqref="N570:Q570">
    <cfRule type="cellIs" dxfId="194" priority="309" stopIfTrue="1" operator="equal">
      <formula>"Error"</formula>
    </cfRule>
  </conditionalFormatting>
  <conditionalFormatting sqref="N570:Q570">
    <cfRule type="cellIs" dxfId="193" priority="308" stopIfTrue="1" operator="equal">
      <formula>"Error"</formula>
    </cfRule>
  </conditionalFormatting>
  <conditionalFormatting sqref="N551:Q551">
    <cfRule type="containsText" dxfId="192" priority="307" stopIfTrue="1" operator="containsText" text="Error">
      <formula>NOT(ISERROR(SEARCH("Error",N551)))</formula>
    </cfRule>
  </conditionalFormatting>
  <conditionalFormatting sqref="N587:Q587">
    <cfRule type="cellIs" dxfId="191" priority="306" stopIfTrue="1" operator="equal">
      <formula>"Error"</formula>
    </cfRule>
  </conditionalFormatting>
  <conditionalFormatting sqref="N615:Q615">
    <cfRule type="containsText" dxfId="190" priority="305" stopIfTrue="1" operator="containsText" text="Error">
      <formula>NOT(ISERROR(SEARCH("Error",N615)))</formula>
    </cfRule>
  </conditionalFormatting>
  <conditionalFormatting sqref="N222:AA224 AB223">
    <cfRule type="containsText" dxfId="189" priority="299" stopIfTrue="1" operator="containsText" text="Error">
      <formula>NOT(ISERROR(SEARCH("Error",N222)))</formula>
    </cfRule>
  </conditionalFormatting>
  <conditionalFormatting sqref="N314:AA314 N316:AA316">
    <cfRule type="containsText" dxfId="188" priority="283" stopIfTrue="1" operator="containsText" text="Error">
      <formula>NOT(ISERROR(SEARCH("Error",N314)))</formula>
    </cfRule>
  </conditionalFormatting>
  <conditionalFormatting sqref="R317:AA317">
    <cfRule type="containsText" dxfId="187" priority="284" stopIfTrue="1" operator="containsText" text="Error">
      <formula>NOT(ISERROR(SEARCH("Error",R317)))</formula>
    </cfRule>
  </conditionalFormatting>
  <conditionalFormatting sqref="N305:T306 V305:AA306">
    <cfRule type="containsText" dxfId="186" priority="282" stopIfTrue="1" operator="containsText" text="Error">
      <formula>NOT(ISERROR(SEARCH("Error",N305)))</formula>
    </cfRule>
  </conditionalFormatting>
  <conditionalFormatting sqref="U305:U306">
    <cfRule type="containsText" dxfId="185" priority="281" stopIfTrue="1" operator="containsText" text="Error">
      <formula>NOT(ISERROR(SEARCH("Error",U305)))</formula>
    </cfRule>
  </conditionalFormatting>
  <conditionalFormatting sqref="N415:T416 V415:AB416">
    <cfRule type="containsText" dxfId="184" priority="278" stopIfTrue="1" operator="containsText" text="Error">
      <formula>NOT(ISERROR(SEARCH("Error",N415)))</formula>
    </cfRule>
  </conditionalFormatting>
  <conditionalFormatting sqref="U415:U416">
    <cfRule type="containsText" dxfId="183" priority="277" stopIfTrue="1" operator="containsText" text="Error">
      <formula>NOT(ISERROR(SEARCH("Error",U415)))</formula>
    </cfRule>
  </conditionalFormatting>
  <conditionalFormatting sqref="N315:AA315">
    <cfRule type="containsText" dxfId="182" priority="276" stopIfTrue="1" operator="containsText" text="Error">
      <formula>NOT(ISERROR(SEARCH("Error",N315)))</formula>
    </cfRule>
  </conditionalFormatting>
  <conditionalFormatting sqref="N408:AA408">
    <cfRule type="containsText" dxfId="181" priority="275" stopIfTrue="1" operator="containsText" text="Error">
      <formula>NOT(ISERROR(SEARCH("Error",N408)))</formula>
    </cfRule>
  </conditionalFormatting>
  <conditionalFormatting sqref="AB534 AB513 AB515:AB517 AB521:AB524 AB539">
    <cfRule type="containsText" dxfId="180" priority="141" stopIfTrue="1" operator="containsText" text="Error">
      <formula>NOT(ISERROR(SEARCH("Error",AB513)))</formula>
    </cfRule>
  </conditionalFormatting>
  <conditionalFormatting sqref="AG198:AW199">
    <cfRule type="containsText" dxfId="179" priority="273" stopIfTrue="1" operator="containsText" text="Error">
      <formula>NOT(ISERROR(SEARCH("Error",AG198)))</formula>
    </cfRule>
  </conditionalFormatting>
  <conditionalFormatting sqref="AG200:AW200">
    <cfRule type="containsText" dxfId="178" priority="272" stopIfTrue="1" operator="containsText" text="Error">
      <formula>NOT(ISERROR(SEARCH("Error",AG200)))</formula>
    </cfRule>
  </conditionalFormatting>
  <conditionalFormatting sqref="AB519">
    <cfRule type="containsText" dxfId="177" priority="138" stopIfTrue="1" operator="containsText" text="Error">
      <formula>NOT(ISERROR(SEARCH("Error",AB519)))</formula>
    </cfRule>
  </conditionalFormatting>
  <conditionalFormatting sqref="AB479">
    <cfRule type="containsText" dxfId="176" priority="164" stopIfTrue="1" operator="containsText" text="Error">
      <formula>NOT(ISERROR(SEARCH("Error",AB479)))</formula>
    </cfRule>
  </conditionalFormatting>
  <conditionalFormatting sqref="AC286:AC287 AG286:AW287">
    <cfRule type="containsText" dxfId="175" priority="269" stopIfTrue="1" operator="containsText" text="Error">
      <formula>NOT(ISERROR(SEARCH("Error",AC286)))</formula>
    </cfRule>
  </conditionalFormatting>
  <conditionalFormatting sqref="AC288 AG288:AW288">
    <cfRule type="containsText" dxfId="174" priority="268" stopIfTrue="1" operator="containsText" text="Error">
      <formula>NOT(ISERROR(SEARCH("Error",AC288)))</formula>
    </cfRule>
  </conditionalFormatting>
  <conditionalFormatting sqref="AB474">
    <cfRule type="containsText" dxfId="173" priority="161" stopIfTrue="1" operator="containsText" text="Error">
      <formula>NOT(ISERROR(SEARCH("Error",AB474)))</formula>
    </cfRule>
  </conditionalFormatting>
  <conditionalFormatting sqref="AG394:AW395">
    <cfRule type="containsText" dxfId="172" priority="265" stopIfTrue="1" operator="containsText" text="Error">
      <formula>NOT(ISERROR(SEARCH("Error",AG394)))</formula>
    </cfRule>
  </conditionalFormatting>
  <conditionalFormatting sqref="AG396:AW396">
    <cfRule type="containsText" dxfId="171" priority="264" stopIfTrue="1" operator="containsText" text="Error">
      <formula>NOT(ISERROR(SEARCH("Error",AG396)))</formula>
    </cfRule>
  </conditionalFormatting>
  <conditionalFormatting sqref="V472:AB472 AG472:AW472">
    <cfRule type="containsText" dxfId="170" priority="262" stopIfTrue="1" operator="containsText" text="Error">
      <formula>NOT(ISERROR(SEARCH("Error",V472)))</formula>
    </cfRule>
  </conditionalFormatting>
  <conditionalFormatting sqref="AG512:AW512">
    <cfRule type="containsText" dxfId="169" priority="261" stopIfTrue="1" operator="containsText" text="Error">
      <formula>NOT(ISERROR(SEARCH("Error",AG512)))</formula>
    </cfRule>
  </conditionalFormatting>
  <conditionalFormatting sqref="U407">
    <cfRule type="containsText" dxfId="168" priority="253" stopIfTrue="1" operator="containsText" text="Error">
      <formula>NOT(ISERROR(SEARCH("Error",U407)))</formula>
    </cfRule>
  </conditionalFormatting>
  <conditionalFormatting sqref="Y407 V407 R407:T407">
    <cfRule type="containsText" dxfId="167" priority="255" stopIfTrue="1" operator="containsText" text="Error">
      <formula>NOT(ISERROR(SEARCH("Error",R407)))</formula>
    </cfRule>
  </conditionalFormatting>
  <conditionalFormatting sqref="X407">
    <cfRule type="containsText" dxfId="166" priority="254" stopIfTrue="1" operator="containsText" text="Error">
      <formula>NOT(ISERROR(SEARCH("Error",X407)))</formula>
    </cfRule>
  </conditionalFormatting>
  <conditionalFormatting sqref="AC73:AW73">
    <cfRule type="expression" dxfId="165" priority="257">
      <formula>"&lt;0"</formula>
    </cfRule>
  </conditionalFormatting>
  <conditionalFormatting sqref="AC173:AW174 AC176:AW176 AC175:AF175 AK175:AW175">
    <cfRule type="containsText" dxfId="164" priority="256" operator="containsText" text="Breach!">
      <formula>NOT(ISERROR(SEARCH("Breach!",AC173)))</formula>
    </cfRule>
  </conditionalFormatting>
  <conditionalFormatting sqref="Z407:AA407">
    <cfRule type="containsText" dxfId="163" priority="252" stopIfTrue="1" operator="containsText" text="Error">
      <formula>NOT(ISERROR(SEARCH("Error",Z407)))</formula>
    </cfRule>
  </conditionalFormatting>
  <conditionalFormatting sqref="W407">
    <cfRule type="containsText" dxfId="162" priority="251" stopIfTrue="1" operator="containsText" text="Error">
      <formula>NOT(ISERROR(SEARCH("Error",W407)))</formula>
    </cfRule>
  </conditionalFormatting>
  <conditionalFormatting sqref="AG552">
    <cfRule type="containsText" dxfId="161" priority="250" stopIfTrue="1" operator="containsText" text="Error">
      <formula>NOT(ISERROR(SEARCH("Error",AG552)))</formula>
    </cfRule>
  </conditionalFormatting>
  <conditionalFormatting sqref="AC222:AF222 AC224:AF224">
    <cfRule type="containsText" dxfId="160" priority="93" stopIfTrue="1" operator="containsText" text="Error">
      <formula>NOT(ISERROR(SEARCH("Error",AC222)))</formula>
    </cfRule>
  </conditionalFormatting>
  <conditionalFormatting sqref="AB193:AB196 AB198:AB199">
    <cfRule type="containsText" dxfId="159" priority="243" stopIfTrue="1" operator="containsText" text="Error">
      <formula>NOT(ISERROR(SEARCH("Error",AB193)))</formula>
    </cfRule>
  </conditionalFormatting>
  <conditionalFormatting sqref="AB552">
    <cfRule type="containsText" dxfId="158" priority="126" stopIfTrue="1" operator="containsText" text="Error">
      <formula>NOT(ISERROR(SEARCH("Error",AB552)))</formula>
    </cfRule>
  </conditionalFormatting>
  <conditionalFormatting sqref="AB570">
    <cfRule type="cellIs" dxfId="157" priority="125" stopIfTrue="1" operator="equal">
      <formula>"Error"</formula>
    </cfRule>
  </conditionalFormatting>
  <conditionalFormatting sqref="AB570">
    <cfRule type="cellIs" dxfId="156" priority="124" stopIfTrue="1" operator="equal">
      <formula>"Error"</formula>
    </cfRule>
  </conditionalFormatting>
  <conditionalFormatting sqref="AB197 AB201:AB203">
    <cfRule type="containsText" dxfId="155" priority="238" stopIfTrue="1" operator="containsText" text="Error">
      <formula>NOT(ISERROR(SEARCH("Error",AB197)))</formula>
    </cfRule>
  </conditionalFormatting>
  <conditionalFormatting sqref="AB204">
    <cfRule type="containsText" dxfId="154" priority="237" stopIfTrue="1" operator="containsText" text="Error">
      <formula>NOT(ISERROR(SEARCH("Error",AB204)))</formula>
    </cfRule>
  </conditionalFormatting>
  <conditionalFormatting sqref="AB200">
    <cfRule type="containsText" dxfId="153" priority="236" stopIfTrue="1" operator="containsText" text="Error">
      <formula>NOT(ISERROR(SEARCH("Error",AB200)))</formula>
    </cfRule>
  </conditionalFormatting>
  <conditionalFormatting sqref="AB221 AB213:AB216 AB218:AB219">
    <cfRule type="containsText" dxfId="152" priority="232" stopIfTrue="1" operator="containsText" text="Error">
      <formula>NOT(ISERROR(SEARCH("Error",AB213)))</formula>
    </cfRule>
  </conditionalFormatting>
  <conditionalFormatting sqref="AB212 AB205">
    <cfRule type="containsText" dxfId="151" priority="231" stopIfTrue="1" operator="containsText" text="Error">
      <formula>NOT(ISERROR(SEARCH("Error",AB205)))</formula>
    </cfRule>
  </conditionalFormatting>
  <conditionalFormatting sqref="AB207">
    <cfRule type="cellIs" dxfId="150" priority="230" stopIfTrue="1" operator="equal">
      <formula>"Error"</formula>
    </cfRule>
  </conditionalFormatting>
  <conditionalFormatting sqref="AB207">
    <cfRule type="cellIs" dxfId="149" priority="229" stopIfTrue="1" operator="equal">
      <formula>"Error"</formula>
    </cfRule>
  </conditionalFormatting>
  <conditionalFormatting sqref="AB206">
    <cfRule type="cellIs" dxfId="148" priority="228" stopIfTrue="1" operator="equal">
      <formula>"Error"</formula>
    </cfRule>
  </conditionalFormatting>
  <conditionalFormatting sqref="AB220 AB206:AB209">
    <cfRule type="containsText" dxfId="147" priority="227" stopIfTrue="1" operator="containsText" text="Error">
      <formula>NOT(ISERROR(SEARCH("Error",AB206)))</formula>
    </cfRule>
  </conditionalFormatting>
  <conditionalFormatting sqref="AB210">
    <cfRule type="containsText" dxfId="146" priority="226" stopIfTrue="1" operator="containsText" text="Error">
      <formula>NOT(ISERROR(SEARCH("Error",AB210)))</formula>
    </cfRule>
  </conditionalFormatting>
  <conditionalFormatting sqref="AB217">
    <cfRule type="containsText" dxfId="145" priority="224" stopIfTrue="1" operator="containsText" text="Error">
      <formula>NOT(ISERROR(SEARCH("Error",AB217)))</formula>
    </cfRule>
  </conditionalFormatting>
  <conditionalFormatting sqref="AB222 AB224">
    <cfRule type="containsText" dxfId="144" priority="223" stopIfTrue="1" operator="containsText" text="Error">
      <formula>NOT(ISERROR(SEARCH("Error",AB222)))</formula>
    </cfRule>
  </conditionalFormatting>
  <conditionalFormatting sqref="AB286:AC287">
    <cfRule type="containsText" dxfId="143" priority="222" stopIfTrue="1" operator="containsText" text="Error">
      <formula>NOT(ISERROR(SEARCH("Error",AB286)))</formula>
    </cfRule>
  </conditionalFormatting>
  <conditionalFormatting sqref="AB307:AC307 AB293:AC293">
    <cfRule type="containsText" dxfId="142" priority="221" stopIfTrue="1" operator="containsText" text="Error">
      <formula>NOT(ISERROR(SEARCH("Error",AB293)))</formula>
    </cfRule>
  </conditionalFormatting>
  <conditionalFormatting sqref="AB295:AC295">
    <cfRule type="cellIs" dxfId="141" priority="220" stopIfTrue="1" operator="equal">
      <formula>"Error"</formula>
    </cfRule>
  </conditionalFormatting>
  <conditionalFormatting sqref="AB295:AC295">
    <cfRule type="cellIs" dxfId="140" priority="219" stopIfTrue="1" operator="equal">
      <formula>"Error"</formula>
    </cfRule>
  </conditionalFormatting>
  <conditionalFormatting sqref="AB294:AC294">
    <cfRule type="cellIs" dxfId="139" priority="218" stopIfTrue="1" operator="equal">
      <formula>"Error"</formula>
    </cfRule>
  </conditionalFormatting>
  <conditionalFormatting sqref="AB285:AC285 AB301:AC301 AB289:AC292 AB294:AC297">
    <cfRule type="containsText" dxfId="138" priority="217" stopIfTrue="1" operator="containsText" text="Error">
      <formula>NOT(ISERROR(SEARCH("Error",AB285)))</formula>
    </cfRule>
  </conditionalFormatting>
  <conditionalFormatting sqref="AB298:AC298">
    <cfRule type="containsText" dxfId="137" priority="216" stopIfTrue="1" operator="containsText" text="Error">
      <formula>NOT(ISERROR(SEARCH("Error",AB298)))</formula>
    </cfRule>
  </conditionalFormatting>
  <conditionalFormatting sqref="AB299:AC299">
    <cfRule type="containsText" dxfId="136" priority="215" stopIfTrue="1" operator="containsText" text="Error">
      <formula>NOT(ISERROR(SEARCH("Error",AB299)))</formula>
    </cfRule>
  </conditionalFormatting>
  <conditionalFormatting sqref="AB304:AC304">
    <cfRule type="containsText" dxfId="135" priority="214" stopIfTrue="1" operator="containsText" text="Error">
      <formula>NOT(ISERROR(SEARCH("Error",AB304)))</formula>
    </cfRule>
  </conditionalFormatting>
  <conditionalFormatting sqref="AB288:AC288">
    <cfRule type="containsText" dxfId="134" priority="213" stopIfTrue="1" operator="containsText" text="Error">
      <formula>NOT(ISERROR(SEARCH("Error",AB288)))</formula>
    </cfRule>
  </conditionalFormatting>
  <conditionalFormatting sqref="AB302:AC302">
    <cfRule type="containsText" dxfId="133" priority="212" stopIfTrue="1" operator="containsText" text="Error">
      <formula>NOT(ISERROR(SEARCH("Error",AB302)))</formula>
    </cfRule>
  </conditionalFormatting>
  <conditionalFormatting sqref="AB303:AC303">
    <cfRule type="containsText" dxfId="132" priority="211" stopIfTrue="1" operator="containsText" text="Error">
      <formula>NOT(ISERROR(SEARCH("Error",AB303)))</formula>
    </cfRule>
  </conditionalFormatting>
  <conditionalFormatting sqref="AB314:AC314 AB316:AC316">
    <cfRule type="containsText" dxfId="131" priority="210" stopIfTrue="1" operator="containsText" text="Error">
      <formula>NOT(ISERROR(SEARCH("Error",AB314)))</formula>
    </cfRule>
  </conditionalFormatting>
  <conditionalFormatting sqref="AB305:AC306">
    <cfRule type="containsText" dxfId="130" priority="209" stopIfTrue="1" operator="containsText" text="Error">
      <formula>NOT(ISERROR(SEARCH("Error",AB305)))</formula>
    </cfRule>
  </conditionalFormatting>
  <conditionalFormatting sqref="AB315:AC315">
    <cfRule type="containsText" dxfId="129" priority="208" stopIfTrue="1" operator="containsText" text="Error">
      <formula>NOT(ISERROR(SEARCH("Error",AB315)))</formula>
    </cfRule>
  </conditionalFormatting>
  <conditionalFormatting sqref="AB403:AB404 AB422 AB410:AB411 AB394:AB395 AB418:AB419">
    <cfRule type="containsText" dxfId="128" priority="203" stopIfTrue="1" operator="containsText" text="Error">
      <formula>NOT(ISERROR(SEARCH("Error",AB394)))</formula>
    </cfRule>
  </conditionalFormatting>
  <conditionalFormatting sqref="AB402">
    <cfRule type="containsText" dxfId="127" priority="202" stopIfTrue="1" operator="containsText" text="Error">
      <formula>NOT(ISERROR(SEARCH("Error",AB402)))</formula>
    </cfRule>
  </conditionalFormatting>
  <conditionalFormatting sqref="AB404">
    <cfRule type="cellIs" dxfId="126" priority="200" stopIfTrue="1" operator="equal">
      <formula>"Error"</formula>
    </cfRule>
  </conditionalFormatting>
  <conditionalFormatting sqref="AB404">
    <cfRule type="cellIs" dxfId="125" priority="201" stopIfTrue="1" operator="equal">
      <formula>"Error"</formula>
    </cfRule>
  </conditionalFormatting>
  <conditionalFormatting sqref="AB403">
    <cfRule type="cellIs" dxfId="124" priority="199" stopIfTrue="1" operator="equal">
      <formula>"Error"</formula>
    </cfRule>
  </conditionalFormatting>
  <conditionalFormatting sqref="AB393 AB429 AB397:AB399 AB401">
    <cfRule type="containsText" dxfId="123" priority="198" stopIfTrue="1" operator="containsText" text="Error">
      <formula>NOT(ISERROR(SEARCH("Error",AB393)))</formula>
    </cfRule>
  </conditionalFormatting>
  <conditionalFormatting sqref="AB396">
    <cfRule type="containsText" dxfId="122" priority="197" stopIfTrue="1" operator="containsText" text="Error">
      <formula>NOT(ISERROR(SEARCH("Error",AB396)))</formula>
    </cfRule>
  </conditionalFormatting>
  <conditionalFormatting sqref="AB423:AB426">
    <cfRule type="containsText" dxfId="121" priority="193" stopIfTrue="1" operator="containsText" text="Error">
      <formula>NOT(ISERROR(SEARCH("Error",AB423)))</formula>
    </cfRule>
  </conditionalFormatting>
  <conditionalFormatting sqref="AA421:AB421">
    <cfRule type="containsText" dxfId="120" priority="192" stopIfTrue="1" operator="containsText" text="Error">
      <formula>NOT(ISERROR(SEARCH("Error",AA421)))</formula>
    </cfRule>
  </conditionalFormatting>
  <conditionalFormatting sqref="AB420">
    <cfRule type="containsText" dxfId="119" priority="191" stopIfTrue="1" operator="containsText" text="Error">
      <formula>NOT(ISERROR(SEARCH("Error",AB420)))</formula>
    </cfRule>
  </conditionalFormatting>
  <conditionalFormatting sqref="AB427">
    <cfRule type="containsText" dxfId="118" priority="190" stopIfTrue="1" operator="containsText" text="Error">
      <formula>NOT(ISERROR(SEARCH("Error",AB427)))</formula>
    </cfRule>
  </conditionalFormatting>
  <conditionalFormatting sqref="AB400">
    <cfRule type="containsText" dxfId="117" priority="189" stopIfTrue="1" operator="containsText" text="Error">
      <formula>NOT(ISERROR(SEARCH("Error",AB400)))</formula>
    </cfRule>
  </conditionalFormatting>
  <conditionalFormatting sqref="AB412">
    <cfRule type="containsText" dxfId="116" priority="188" stopIfTrue="1" operator="containsText" text="Error">
      <formula>NOT(ISERROR(SEARCH("Error",AB412)))</formula>
    </cfRule>
  </conditionalFormatting>
  <conditionalFormatting sqref="AB413">
    <cfRule type="containsText" dxfId="115" priority="187" stopIfTrue="1" operator="containsText" text="Error">
      <formula>NOT(ISERROR(SEARCH("Error",AB413)))</formula>
    </cfRule>
  </conditionalFormatting>
  <conditionalFormatting sqref="AB414">
    <cfRule type="containsText" dxfId="114" priority="186" stopIfTrue="1" operator="containsText" text="Error">
      <formula>NOT(ISERROR(SEARCH("Error",AB414)))</formula>
    </cfRule>
  </conditionalFormatting>
  <conditionalFormatting sqref="AB417">
    <cfRule type="containsText" dxfId="113" priority="185" stopIfTrue="1" operator="containsText" text="Error">
      <formula>NOT(ISERROR(SEARCH("Error",AB417)))</formula>
    </cfRule>
  </conditionalFormatting>
  <conditionalFormatting sqref="AB408">
    <cfRule type="containsText" dxfId="112" priority="183" stopIfTrue="1" operator="containsText" text="Error">
      <formula>NOT(ISERROR(SEARCH("Error",AB408)))</formula>
    </cfRule>
  </conditionalFormatting>
  <conditionalFormatting sqref="AB407">
    <cfRule type="containsText" dxfId="111" priority="182" stopIfTrue="1" operator="containsText" text="Error">
      <formula>NOT(ISERROR(SEARCH("Error",AB407)))</formula>
    </cfRule>
  </conditionalFormatting>
  <conditionalFormatting sqref="AB544:AB550 AB553:AB557">
    <cfRule type="containsText" dxfId="110" priority="127" stopIfTrue="1" operator="containsText" text="Error">
      <formula>NOT(ISERROR(SEARCH("Error",AB544)))</formula>
    </cfRule>
  </conditionalFormatting>
  <conditionalFormatting sqref="AB475:AB477 AB481:AB484">
    <cfRule type="containsText" dxfId="109" priority="170" stopIfTrue="1" operator="containsText" text="Error">
      <formula>NOT(ISERROR(SEARCH("Error",AB475)))</formula>
    </cfRule>
  </conditionalFormatting>
  <conditionalFormatting sqref="AB478">
    <cfRule type="containsText" dxfId="108" priority="169" stopIfTrue="1" operator="containsText" text="Error">
      <formula>NOT(ISERROR(SEARCH("Error",AB478)))</formula>
    </cfRule>
  </conditionalFormatting>
  <conditionalFormatting sqref="AB487:AB488 AB480">
    <cfRule type="containsText" dxfId="107" priority="168" stopIfTrue="1" operator="containsText" text="Error">
      <formula>NOT(ISERROR(SEARCH("Error",AB480)))</formula>
    </cfRule>
  </conditionalFormatting>
  <conditionalFormatting sqref="AB494 AB473">
    <cfRule type="containsText" dxfId="106" priority="167" stopIfTrue="1" operator="containsText" text="Error">
      <formula>NOT(ISERROR(SEARCH("Error",AB473)))</formula>
    </cfRule>
  </conditionalFormatting>
  <conditionalFormatting sqref="AB493">
    <cfRule type="containsText" dxfId="105" priority="166" stopIfTrue="1" operator="containsText" text="Error">
      <formula>NOT(ISERROR(SEARCH("Error",AB493)))</formula>
    </cfRule>
  </conditionalFormatting>
  <conditionalFormatting sqref="AB489 AB492">
    <cfRule type="containsText" dxfId="104" priority="165" stopIfTrue="1" operator="containsText" text="Error">
      <formula>NOT(ISERROR(SEARCH("Error",AB489)))</formula>
    </cfRule>
  </conditionalFormatting>
  <conditionalFormatting sqref="AB486">
    <cfRule type="containsText" dxfId="103" priority="163" stopIfTrue="1" operator="containsText" text="Error">
      <formula>NOT(ISERROR(SEARCH("Error",AB486)))</formula>
    </cfRule>
  </conditionalFormatting>
  <conditionalFormatting sqref="AB490:AB491">
    <cfRule type="containsText" dxfId="102" priority="162" stopIfTrue="1" operator="containsText" text="Error">
      <formula>NOT(ISERROR(SEARCH("Error",AB490)))</formula>
    </cfRule>
  </conditionalFormatting>
  <conditionalFormatting sqref="AB499">
    <cfRule type="containsText" dxfId="101" priority="159" stopIfTrue="1" operator="containsText" text="Error">
      <formula>NOT(ISERROR(SEARCH("Error",AB499)))</formula>
    </cfRule>
  </conditionalFormatting>
  <conditionalFormatting sqref="AB500">
    <cfRule type="containsText" dxfId="100" priority="158" stopIfTrue="1" operator="containsText" text="Error">
      <formula>NOT(ISERROR(SEARCH("Error",AB500)))</formula>
    </cfRule>
  </conditionalFormatting>
  <conditionalFormatting sqref="AB551">
    <cfRule type="containsText" dxfId="99" priority="128" stopIfTrue="1" operator="containsText" text="Error">
      <formula>NOT(ISERROR(SEARCH("Error",AB551)))</formula>
    </cfRule>
  </conditionalFormatting>
  <conditionalFormatting sqref="AB509:AB512">
    <cfRule type="containsText" dxfId="98" priority="144" stopIfTrue="1" operator="containsText" text="Error">
      <formula>NOT(ISERROR(SEARCH("Error",AB509)))</formula>
    </cfRule>
  </conditionalFormatting>
  <conditionalFormatting sqref="AB518">
    <cfRule type="containsText" dxfId="97" priority="143" stopIfTrue="1" operator="containsText" text="Error">
      <formula>NOT(ISERROR(SEARCH("Error",AB518)))</formula>
    </cfRule>
  </conditionalFormatting>
  <conditionalFormatting sqref="AB540 AB527:AB528 AB520">
    <cfRule type="containsText" dxfId="96" priority="142" stopIfTrue="1" operator="containsText" text="Error">
      <formula>NOT(ISERROR(SEARCH("Error",AB520)))</formula>
    </cfRule>
  </conditionalFormatting>
  <conditionalFormatting sqref="AB533">
    <cfRule type="containsText" dxfId="95" priority="140" stopIfTrue="1" operator="containsText" text="Error">
      <formula>NOT(ISERROR(SEARCH("Error",AB533)))</formula>
    </cfRule>
  </conditionalFormatting>
  <conditionalFormatting sqref="AB529 AB532">
    <cfRule type="containsText" dxfId="94" priority="139" stopIfTrue="1" operator="containsText" text="Error">
      <formula>NOT(ISERROR(SEARCH("Error",AB529)))</formula>
    </cfRule>
  </conditionalFormatting>
  <conditionalFormatting sqref="AB526">
    <cfRule type="containsText" dxfId="93" priority="137" stopIfTrue="1" operator="containsText" text="Error">
      <formula>NOT(ISERROR(SEARCH("Error",AB526)))</formula>
    </cfRule>
  </conditionalFormatting>
  <conditionalFormatting sqref="AB530:AB531">
    <cfRule type="containsText" dxfId="92" priority="136" stopIfTrue="1" operator="containsText" text="Error">
      <formula>NOT(ISERROR(SEARCH("Error",AB530)))</formula>
    </cfRule>
  </conditionalFormatting>
  <conditionalFormatting sqref="AB514">
    <cfRule type="containsText" dxfId="91" priority="135" stopIfTrue="1" operator="containsText" text="Error">
      <formula>NOT(ISERROR(SEARCH("Error",AB514)))</formula>
    </cfRule>
  </conditionalFormatting>
  <conditionalFormatting sqref="AC223:AF223">
    <cfRule type="containsText" dxfId="90" priority="106" stopIfTrue="1" operator="containsText" text="Error">
      <formula>NOT(ISERROR(SEARCH("Error",AC223)))</formula>
    </cfRule>
  </conditionalFormatting>
  <conditionalFormatting sqref="AC193:AF196 AC198:AF199">
    <cfRule type="containsText" dxfId="89" priority="105" stopIfTrue="1" operator="containsText" text="Error">
      <formula>NOT(ISERROR(SEARCH("Error",AC193)))</formula>
    </cfRule>
  </conditionalFormatting>
  <conditionalFormatting sqref="AC197:AF197 AC201:AF203">
    <cfRule type="containsText" dxfId="88" priority="104" stopIfTrue="1" operator="containsText" text="Error">
      <formula>NOT(ISERROR(SEARCH("Error",AC197)))</formula>
    </cfRule>
  </conditionalFormatting>
  <conditionalFormatting sqref="AC204:AF204">
    <cfRule type="containsText" dxfId="87" priority="103" stopIfTrue="1" operator="containsText" text="Error">
      <formula>NOT(ISERROR(SEARCH("Error",AC204)))</formula>
    </cfRule>
  </conditionalFormatting>
  <conditionalFormatting sqref="AC200:AF200">
    <cfRule type="containsText" dxfId="86" priority="102" stopIfTrue="1" operator="containsText" text="Error">
      <formula>NOT(ISERROR(SEARCH("Error",AC200)))</formula>
    </cfRule>
  </conditionalFormatting>
  <conditionalFormatting sqref="AC221:AF221 AC213:AF216 AC218:AF219">
    <cfRule type="containsText" dxfId="85" priority="101" stopIfTrue="1" operator="containsText" text="Error">
      <formula>NOT(ISERROR(SEARCH("Error",AC213)))</formula>
    </cfRule>
  </conditionalFormatting>
  <conditionalFormatting sqref="AC212:AF212 AC205:AF205">
    <cfRule type="containsText" dxfId="84" priority="100" stopIfTrue="1" operator="containsText" text="Error">
      <formula>NOT(ISERROR(SEARCH("Error",AC205)))</formula>
    </cfRule>
  </conditionalFormatting>
  <conditionalFormatting sqref="AC207:AF207">
    <cfRule type="cellIs" dxfId="83" priority="99" stopIfTrue="1" operator="equal">
      <formula>"Error"</formula>
    </cfRule>
  </conditionalFormatting>
  <conditionalFormatting sqref="AC207:AF207">
    <cfRule type="cellIs" dxfId="82" priority="98" stopIfTrue="1" operator="equal">
      <formula>"Error"</formula>
    </cfRule>
  </conditionalFormatting>
  <conditionalFormatting sqref="AC206:AF206">
    <cfRule type="cellIs" dxfId="81" priority="97" stopIfTrue="1" operator="equal">
      <formula>"Error"</formula>
    </cfRule>
  </conditionalFormatting>
  <conditionalFormatting sqref="AC220:AF220 AC206:AF209">
    <cfRule type="containsText" dxfId="80" priority="96" stopIfTrue="1" operator="containsText" text="Error">
      <formula>NOT(ISERROR(SEARCH("Error",AC206)))</formula>
    </cfRule>
  </conditionalFormatting>
  <conditionalFormatting sqref="AC210:AF210">
    <cfRule type="containsText" dxfId="79" priority="95" stopIfTrue="1" operator="containsText" text="Error">
      <formula>NOT(ISERROR(SEARCH("Error",AC210)))</formula>
    </cfRule>
  </conditionalFormatting>
  <conditionalFormatting sqref="AC217:AF217">
    <cfRule type="containsText" dxfId="78" priority="94" stopIfTrue="1" operator="containsText" text="Error">
      <formula>NOT(ISERROR(SEARCH("Error",AC217)))</formula>
    </cfRule>
  </conditionalFormatting>
  <conditionalFormatting sqref="AD286:AF287">
    <cfRule type="containsText" dxfId="77" priority="92" stopIfTrue="1" operator="containsText" text="Error">
      <formula>NOT(ISERROR(SEARCH("Error",AD286)))</formula>
    </cfRule>
  </conditionalFormatting>
  <conditionalFormatting sqref="AD288:AF288">
    <cfRule type="containsText" dxfId="76" priority="91" stopIfTrue="1" operator="containsText" text="Error">
      <formula>NOT(ISERROR(SEARCH("Error",AD288)))</formula>
    </cfRule>
  </conditionalFormatting>
  <conditionalFormatting sqref="AD286:AF287">
    <cfRule type="containsText" dxfId="75" priority="90" stopIfTrue="1" operator="containsText" text="Error">
      <formula>NOT(ISERROR(SEARCH("Error",AD286)))</formula>
    </cfRule>
  </conditionalFormatting>
  <conditionalFormatting sqref="AD307:AF307 AD293:AF293">
    <cfRule type="containsText" dxfId="74" priority="89" stopIfTrue="1" operator="containsText" text="Error">
      <formula>NOT(ISERROR(SEARCH("Error",AD293)))</formula>
    </cfRule>
  </conditionalFormatting>
  <conditionalFormatting sqref="AD295:AF295">
    <cfRule type="cellIs" dxfId="73" priority="88" stopIfTrue="1" operator="equal">
      <formula>"Error"</formula>
    </cfRule>
  </conditionalFormatting>
  <conditionalFormatting sqref="AD295:AF295">
    <cfRule type="cellIs" dxfId="72" priority="87" stopIfTrue="1" operator="equal">
      <formula>"Error"</formula>
    </cfRule>
  </conditionalFormatting>
  <conditionalFormatting sqref="AD294:AF294">
    <cfRule type="cellIs" dxfId="71" priority="86" stopIfTrue="1" operator="equal">
      <formula>"Error"</formula>
    </cfRule>
  </conditionalFormatting>
  <conditionalFormatting sqref="AD285:AF285 AD301:AF301 AD289:AF292 AD294:AF297 N300:AF300">
    <cfRule type="containsText" dxfId="70" priority="85" stopIfTrue="1" operator="containsText" text="Error">
      <formula>NOT(ISERROR(SEARCH("Error",N285)))</formula>
    </cfRule>
  </conditionalFormatting>
  <conditionalFormatting sqref="AD298:AF298">
    <cfRule type="containsText" dxfId="69" priority="84" stopIfTrue="1" operator="containsText" text="Error">
      <formula>NOT(ISERROR(SEARCH("Error",AD298)))</formula>
    </cfRule>
  </conditionalFormatting>
  <conditionalFormatting sqref="AD299:AF299">
    <cfRule type="containsText" dxfId="68" priority="83" stopIfTrue="1" operator="containsText" text="Error">
      <formula>NOT(ISERROR(SEARCH("Error",AD299)))</formula>
    </cfRule>
  </conditionalFormatting>
  <conditionalFormatting sqref="AD304:AF304">
    <cfRule type="containsText" dxfId="67" priority="82" stopIfTrue="1" operator="containsText" text="Error">
      <formula>NOT(ISERROR(SEARCH("Error",AD304)))</formula>
    </cfRule>
  </conditionalFormatting>
  <conditionalFormatting sqref="AD288:AF288">
    <cfRule type="containsText" dxfId="66" priority="81" stopIfTrue="1" operator="containsText" text="Error">
      <formula>NOT(ISERROR(SEARCH("Error",AD288)))</formula>
    </cfRule>
  </conditionalFormatting>
  <conditionalFormatting sqref="AD302:AF302">
    <cfRule type="containsText" dxfId="65" priority="80" stopIfTrue="1" operator="containsText" text="Error">
      <formula>NOT(ISERROR(SEARCH("Error",AD302)))</formula>
    </cfRule>
  </conditionalFormatting>
  <conditionalFormatting sqref="AD303:AF303">
    <cfRule type="containsText" dxfId="64" priority="79" stopIfTrue="1" operator="containsText" text="Error">
      <formula>NOT(ISERROR(SEARCH("Error",AD303)))</formula>
    </cfRule>
  </conditionalFormatting>
  <conditionalFormatting sqref="AD314:AF314 AD316:AF316">
    <cfRule type="containsText" dxfId="63" priority="78" stopIfTrue="1" operator="containsText" text="Error">
      <formula>NOT(ISERROR(SEARCH("Error",AD314)))</formula>
    </cfRule>
  </conditionalFormatting>
  <conditionalFormatting sqref="AD305:AF306">
    <cfRule type="containsText" dxfId="62" priority="77" stopIfTrue="1" operator="containsText" text="Error">
      <formula>NOT(ISERROR(SEARCH("Error",AD305)))</formula>
    </cfRule>
  </conditionalFormatting>
  <conditionalFormatting sqref="AD315:AF315">
    <cfRule type="containsText" dxfId="61" priority="76" stopIfTrue="1" operator="containsText" text="Error">
      <formula>NOT(ISERROR(SEARCH("Error",AD315)))</formula>
    </cfRule>
  </conditionalFormatting>
  <conditionalFormatting sqref="AC409:AF409">
    <cfRule type="containsText" dxfId="60" priority="73" stopIfTrue="1" operator="containsText" text="Error">
      <formula>NOT(ISERROR(SEARCH("Error",AC409)))</formula>
    </cfRule>
  </conditionalFormatting>
  <conditionalFormatting sqref="AC409:AF409">
    <cfRule type="cellIs" dxfId="59" priority="75" stopIfTrue="1" operator="equal">
      <formula>"Error"</formula>
    </cfRule>
  </conditionalFormatting>
  <conditionalFormatting sqref="AC409:AF409">
    <cfRule type="cellIs" dxfId="58" priority="74" stopIfTrue="1" operator="equal">
      <formula>"Error"</formula>
    </cfRule>
  </conditionalFormatting>
  <conditionalFormatting sqref="AC415:AF416">
    <cfRule type="containsText" dxfId="57" priority="72" stopIfTrue="1" operator="containsText" text="Error">
      <formula>NOT(ISERROR(SEARCH("Error",AC415)))</formula>
    </cfRule>
  </conditionalFormatting>
  <conditionalFormatting sqref="AC403:AF404 AC410:AF411 AC394:AF395">
    <cfRule type="containsText" dxfId="56" priority="71" stopIfTrue="1" operator="containsText" text="Error">
      <formula>NOT(ISERROR(SEARCH("Error",AC394)))</formula>
    </cfRule>
  </conditionalFormatting>
  <conditionalFormatting sqref="AC402:AF402">
    <cfRule type="containsText" dxfId="55" priority="70" stopIfTrue="1" operator="containsText" text="Error">
      <formula>NOT(ISERROR(SEARCH("Error",AC402)))</formula>
    </cfRule>
  </conditionalFormatting>
  <conditionalFormatting sqref="AC404:AF404">
    <cfRule type="cellIs" dxfId="54" priority="68" stopIfTrue="1" operator="equal">
      <formula>"Error"</formula>
    </cfRule>
  </conditionalFormatting>
  <conditionalFormatting sqref="AC404:AF404">
    <cfRule type="cellIs" dxfId="53" priority="69" stopIfTrue="1" operator="equal">
      <formula>"Error"</formula>
    </cfRule>
  </conditionalFormatting>
  <conditionalFormatting sqref="AC403:AF403">
    <cfRule type="cellIs" dxfId="52" priority="67" stopIfTrue="1" operator="equal">
      <formula>"Error"</formula>
    </cfRule>
  </conditionalFormatting>
  <conditionalFormatting sqref="AC393:AF393 AC397:AF399 AC401:AF401">
    <cfRule type="containsText" dxfId="51" priority="66" stopIfTrue="1" operator="containsText" text="Error">
      <formula>NOT(ISERROR(SEARCH("Error",AC393)))</formula>
    </cfRule>
  </conditionalFormatting>
  <conditionalFormatting sqref="AC396:AF396">
    <cfRule type="containsText" dxfId="50" priority="65" stopIfTrue="1" operator="containsText" text="Error">
      <formula>NOT(ISERROR(SEARCH("Error",AC396)))</formula>
    </cfRule>
  </conditionalFormatting>
  <conditionalFormatting sqref="AC400:AF400">
    <cfRule type="containsText" dxfId="49" priority="64" stopIfTrue="1" operator="containsText" text="Error">
      <formula>NOT(ISERROR(SEARCH("Error",AC400)))</formula>
    </cfRule>
  </conditionalFormatting>
  <conditionalFormatting sqref="AC412:AF412">
    <cfRule type="containsText" dxfId="48" priority="63" stopIfTrue="1" operator="containsText" text="Error">
      <formula>NOT(ISERROR(SEARCH("Error",AC412)))</formula>
    </cfRule>
  </conditionalFormatting>
  <conditionalFormatting sqref="AC413:AF413">
    <cfRule type="containsText" dxfId="47" priority="62" stopIfTrue="1" operator="containsText" text="Error">
      <formula>NOT(ISERROR(SEARCH("Error",AC413)))</formula>
    </cfRule>
  </conditionalFormatting>
  <conditionalFormatting sqref="AC414:AF414">
    <cfRule type="containsText" dxfId="46" priority="61" stopIfTrue="1" operator="containsText" text="Error">
      <formula>NOT(ISERROR(SEARCH("Error",AC414)))</formula>
    </cfRule>
  </conditionalFormatting>
  <conditionalFormatting sqref="AC417:AF417">
    <cfRule type="containsText" dxfId="45" priority="60" stopIfTrue="1" operator="containsText" text="Error">
      <formula>NOT(ISERROR(SEARCH("Error",AC417)))</formula>
    </cfRule>
  </conditionalFormatting>
  <conditionalFormatting sqref="AC408:AF408">
    <cfRule type="containsText" dxfId="44" priority="59" stopIfTrue="1" operator="containsText" text="Error">
      <formula>NOT(ISERROR(SEARCH("Error",AC408)))</formula>
    </cfRule>
  </conditionalFormatting>
  <conditionalFormatting sqref="AC407:AF407">
    <cfRule type="containsText" dxfId="43" priority="58" stopIfTrue="1" operator="containsText" text="Error">
      <formula>NOT(ISERROR(SEARCH("Error",AC407)))</formula>
    </cfRule>
  </conditionalFormatting>
  <conditionalFormatting sqref="AC422:AF422">
    <cfRule type="containsText" dxfId="42" priority="57" stopIfTrue="1" operator="containsText" text="Error">
      <formula>NOT(ISERROR(SEARCH("Error",AC422)))</formula>
    </cfRule>
  </conditionalFormatting>
  <conditionalFormatting sqref="AC423:AF426">
    <cfRule type="containsText" dxfId="41" priority="56" stopIfTrue="1" operator="containsText" text="Error">
      <formula>NOT(ISERROR(SEARCH("Error",AC423)))</formula>
    </cfRule>
  </conditionalFormatting>
  <conditionalFormatting sqref="AC421:AF421">
    <cfRule type="containsText" dxfId="40" priority="55" stopIfTrue="1" operator="containsText" text="Error">
      <formula>NOT(ISERROR(SEARCH("Error",AC421)))</formula>
    </cfRule>
  </conditionalFormatting>
  <conditionalFormatting sqref="AC420:AF420">
    <cfRule type="containsText" dxfId="39" priority="54" stopIfTrue="1" operator="containsText" text="Error">
      <formula>NOT(ISERROR(SEARCH("Error",AC420)))</formula>
    </cfRule>
  </conditionalFormatting>
  <conditionalFormatting sqref="AC427:AF427">
    <cfRule type="containsText" dxfId="38" priority="53" stopIfTrue="1" operator="containsText" text="Error">
      <formula>NOT(ISERROR(SEARCH("Error",AC427)))</formula>
    </cfRule>
  </conditionalFormatting>
  <conditionalFormatting sqref="AC479:AF479">
    <cfRule type="containsText" dxfId="37" priority="45" stopIfTrue="1" operator="containsText" text="Error">
      <formula>NOT(ISERROR(SEARCH("Error",AC479)))</formula>
    </cfRule>
  </conditionalFormatting>
  <conditionalFormatting sqref="AC474:AF474">
    <cfRule type="containsText" dxfId="36" priority="42" stopIfTrue="1" operator="containsText" text="Error">
      <formula>NOT(ISERROR(SEARCH("Error",AC474)))</formula>
    </cfRule>
  </conditionalFormatting>
  <conditionalFormatting sqref="AC472:AF472">
    <cfRule type="containsText" dxfId="35" priority="52" stopIfTrue="1" operator="containsText" text="Error">
      <formula>NOT(ISERROR(SEARCH("Error",AC472)))</formula>
    </cfRule>
  </conditionalFormatting>
  <conditionalFormatting sqref="AC475:AF477 AC481:AF484">
    <cfRule type="containsText" dxfId="34" priority="51" stopIfTrue="1" operator="containsText" text="Error">
      <formula>NOT(ISERROR(SEARCH("Error",AC475)))</formula>
    </cfRule>
  </conditionalFormatting>
  <conditionalFormatting sqref="AC478:AF478">
    <cfRule type="containsText" dxfId="33" priority="50" stopIfTrue="1" operator="containsText" text="Error">
      <formula>NOT(ISERROR(SEARCH("Error",AC478)))</formula>
    </cfRule>
  </conditionalFormatting>
  <conditionalFormatting sqref="AC487:AF488 AC480:AF480">
    <cfRule type="containsText" dxfId="32" priority="49" stopIfTrue="1" operator="containsText" text="Error">
      <formula>NOT(ISERROR(SEARCH("Error",AC480)))</formula>
    </cfRule>
  </conditionalFormatting>
  <conditionalFormatting sqref="AC494:AF494 AC473:AF473">
    <cfRule type="containsText" dxfId="31" priority="48" stopIfTrue="1" operator="containsText" text="Error">
      <formula>NOT(ISERROR(SEARCH("Error",AC473)))</formula>
    </cfRule>
  </conditionalFormatting>
  <conditionalFormatting sqref="AC493:AF493">
    <cfRule type="containsText" dxfId="30" priority="47" stopIfTrue="1" operator="containsText" text="Error">
      <formula>NOT(ISERROR(SEARCH("Error",AC493)))</formula>
    </cfRule>
  </conditionalFormatting>
  <conditionalFormatting sqref="AC489:AF489 AC492:AF492">
    <cfRule type="containsText" dxfId="29" priority="46" stopIfTrue="1" operator="containsText" text="Error">
      <formula>NOT(ISERROR(SEARCH("Error",AC489)))</formula>
    </cfRule>
  </conditionalFormatting>
  <conditionalFormatting sqref="AC486:AF486">
    <cfRule type="containsText" dxfId="28" priority="44" stopIfTrue="1" operator="containsText" text="Error">
      <formula>NOT(ISERROR(SEARCH("Error",AC486)))</formula>
    </cfRule>
  </conditionalFormatting>
  <conditionalFormatting sqref="AC490:AF491">
    <cfRule type="containsText" dxfId="27" priority="43" stopIfTrue="1" operator="containsText" text="Error">
      <formula>NOT(ISERROR(SEARCH("Error",AC490)))</formula>
    </cfRule>
  </conditionalFormatting>
  <conditionalFormatting sqref="AC499:AF499">
    <cfRule type="containsText" dxfId="26" priority="41" stopIfTrue="1" operator="containsText" text="Error">
      <formula>NOT(ISERROR(SEARCH("Error",AC499)))</formula>
    </cfRule>
  </conditionalFormatting>
  <conditionalFormatting sqref="AC500:AF500">
    <cfRule type="containsText" dxfId="25" priority="40" stopIfTrue="1" operator="containsText" text="Error">
      <formula>NOT(ISERROR(SEARCH("Error",AC500)))</formula>
    </cfRule>
  </conditionalFormatting>
  <conditionalFormatting sqref="AC534:AF534 AC513:AF513 AC515:AF517 AC521:AF524 AC539:AF539">
    <cfRule type="containsText" dxfId="24" priority="36" stopIfTrue="1" operator="containsText" text="Error">
      <formula>NOT(ISERROR(SEARCH("Error",AC513)))</formula>
    </cfRule>
  </conditionalFormatting>
  <conditionalFormatting sqref="AC519:AF519">
    <cfRule type="containsText" dxfId="23" priority="33" stopIfTrue="1" operator="containsText" text="Error">
      <formula>NOT(ISERROR(SEARCH("Error",AC519)))</formula>
    </cfRule>
  </conditionalFormatting>
  <conditionalFormatting sqref="AC509:AF512">
    <cfRule type="containsText" dxfId="22" priority="39" stopIfTrue="1" operator="containsText" text="Error">
      <formula>NOT(ISERROR(SEARCH("Error",AC509)))</formula>
    </cfRule>
  </conditionalFormatting>
  <conditionalFormatting sqref="AC518:AF518">
    <cfRule type="containsText" dxfId="21" priority="38" stopIfTrue="1" operator="containsText" text="Error">
      <formula>NOT(ISERROR(SEARCH("Error",AC518)))</formula>
    </cfRule>
  </conditionalFormatting>
  <conditionalFormatting sqref="AC540:AF540 AC527:AF528 AC520:AF520">
    <cfRule type="containsText" dxfId="20" priority="37" stopIfTrue="1" operator="containsText" text="Error">
      <formula>NOT(ISERROR(SEARCH("Error",AC520)))</formula>
    </cfRule>
  </conditionalFormatting>
  <conditionalFormatting sqref="AC533:AF533">
    <cfRule type="containsText" dxfId="19" priority="35" stopIfTrue="1" operator="containsText" text="Error">
      <formula>NOT(ISERROR(SEARCH("Error",AC533)))</formula>
    </cfRule>
  </conditionalFormatting>
  <conditionalFormatting sqref="AC529:AF529 AC532:AF532">
    <cfRule type="containsText" dxfId="18" priority="34" stopIfTrue="1" operator="containsText" text="Error">
      <formula>NOT(ISERROR(SEARCH("Error",AC529)))</formula>
    </cfRule>
  </conditionalFormatting>
  <conditionalFormatting sqref="AC526:AF526">
    <cfRule type="containsText" dxfId="17" priority="32" stopIfTrue="1" operator="containsText" text="Error">
      <formula>NOT(ISERROR(SEARCH("Error",AC526)))</formula>
    </cfRule>
  </conditionalFormatting>
  <conditionalFormatting sqref="AC530:AF531">
    <cfRule type="containsText" dxfId="16" priority="31" stopIfTrue="1" operator="containsText" text="Error">
      <formula>NOT(ISERROR(SEARCH("Error",AC530)))</formula>
    </cfRule>
  </conditionalFormatting>
  <conditionalFormatting sqref="AC514:AF514">
    <cfRule type="containsText" dxfId="15" priority="30" stopIfTrue="1" operator="containsText" text="Error">
      <formula>NOT(ISERROR(SEARCH("Error",AC514)))</formula>
    </cfRule>
  </conditionalFormatting>
  <conditionalFormatting sqref="AC552:AF552">
    <cfRule type="containsText" dxfId="14" priority="27" stopIfTrue="1" operator="containsText" text="Error">
      <formula>NOT(ISERROR(SEARCH("Error",AC552)))</formula>
    </cfRule>
  </conditionalFormatting>
  <conditionalFormatting sqref="AC570:AF570">
    <cfRule type="cellIs" dxfId="13" priority="26" stopIfTrue="1" operator="equal">
      <formula>"Error"</formula>
    </cfRule>
  </conditionalFormatting>
  <conditionalFormatting sqref="AC570:AF570">
    <cfRule type="cellIs" dxfId="12" priority="25" stopIfTrue="1" operator="equal">
      <formula>"Error"</formula>
    </cfRule>
  </conditionalFormatting>
  <conditionalFormatting sqref="AC544:AF550 AC553:AF557">
    <cfRule type="containsText" dxfId="11" priority="28" stopIfTrue="1" operator="containsText" text="Error">
      <formula>NOT(ISERROR(SEARCH("Error",AC544)))</formula>
    </cfRule>
  </conditionalFormatting>
  <conditionalFormatting sqref="AC551:AF551">
    <cfRule type="containsText" dxfId="10" priority="29" stopIfTrue="1" operator="containsText" text="Error">
      <formula>NOT(ISERROR(SEARCH("Error",AC551)))</formula>
    </cfRule>
  </conditionalFormatting>
  <conditionalFormatting sqref="AB615:AF615">
    <cfRule type="containsText" dxfId="9" priority="24" stopIfTrue="1" operator="containsText" text="Error">
      <formula>NOT(ISERROR(SEARCH("Error",AB615)))</formula>
    </cfRule>
  </conditionalFormatting>
  <pageMargins left="0.7" right="0.7" top="0.75" bottom="0.75" header="0.3" footer="0.3"/>
  <pageSetup paperSize="9" orientation="portrait" horizontalDpi="300" verticalDpi="0"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93"/>
  <sheetViews>
    <sheetView topLeftCell="A4" zoomScale="70" zoomScaleNormal="70" workbookViewId="0">
      <pane xSplit="1" ySplit="1" topLeftCell="R5" activePane="bottomRight" state="frozen"/>
      <selection activeCell="A4" sqref="A4"/>
      <selection pane="topRight" activeCell="B4" sqref="B4"/>
      <selection pane="bottomLeft" activeCell="A5" sqref="A5"/>
      <selection pane="bottomRight" activeCell="A34" sqref="A34"/>
    </sheetView>
  </sheetViews>
  <sheetFormatPr defaultColWidth="11" defaultRowHeight="15.75" outlineLevelRow="1"/>
  <cols>
    <col min="2" max="16" width="0" hidden="1" customWidth="1"/>
    <col min="17" max="17" width="10.625" bestFit="1" customWidth="1"/>
    <col min="28" max="31" width="11" style="851"/>
    <col min="32" max="32" width="11" style="1115"/>
  </cols>
  <sheetData>
    <row r="1" spans="1:49" s="851" customFormat="1" hidden="1">
      <c r="B1" s="3">
        <v>40179</v>
      </c>
      <c r="C1" s="3">
        <v>40269</v>
      </c>
      <c r="D1" s="3">
        <v>40360</v>
      </c>
      <c r="E1" s="3">
        <v>40452</v>
      </c>
      <c r="F1" s="3">
        <v>40544</v>
      </c>
      <c r="G1" s="3">
        <v>40634</v>
      </c>
      <c r="H1" s="3">
        <v>40725</v>
      </c>
      <c r="I1" s="3">
        <v>40817</v>
      </c>
      <c r="J1" s="3">
        <v>40909</v>
      </c>
      <c r="K1" s="3">
        <v>41000</v>
      </c>
      <c r="L1" s="3">
        <v>41091</v>
      </c>
      <c r="M1" s="3">
        <v>41183</v>
      </c>
      <c r="N1" s="3">
        <v>41275</v>
      </c>
      <c r="O1" s="3">
        <v>41365</v>
      </c>
      <c r="P1" s="3">
        <v>41456</v>
      </c>
      <c r="Q1" s="3">
        <v>41548</v>
      </c>
      <c r="R1" s="3">
        <v>41640</v>
      </c>
      <c r="S1" s="3">
        <v>41730</v>
      </c>
      <c r="T1" s="3">
        <v>41821</v>
      </c>
      <c r="U1" s="3">
        <v>41913</v>
      </c>
      <c r="V1" s="3">
        <v>42005</v>
      </c>
      <c r="W1" s="3">
        <v>42095</v>
      </c>
      <c r="X1" s="3">
        <v>42186</v>
      </c>
      <c r="Y1" s="3">
        <v>42278</v>
      </c>
      <c r="Z1" s="3">
        <v>42370</v>
      </c>
      <c r="AA1" s="3">
        <v>42461</v>
      </c>
      <c r="AB1" s="3">
        <v>42552</v>
      </c>
      <c r="AC1" s="3">
        <v>42644</v>
      </c>
      <c r="AD1" s="3">
        <v>42736</v>
      </c>
      <c r="AE1" s="3">
        <v>42826</v>
      </c>
      <c r="AF1" s="1114">
        <v>42917</v>
      </c>
      <c r="AG1" s="17">
        <v>43009</v>
      </c>
      <c r="AH1" s="17">
        <v>43101</v>
      </c>
      <c r="AI1" s="17">
        <v>43191</v>
      </c>
      <c r="AJ1" s="17">
        <v>43282</v>
      </c>
      <c r="AK1" s="17">
        <v>43374</v>
      </c>
      <c r="AL1" s="17">
        <v>43466</v>
      </c>
      <c r="AM1" s="17">
        <v>43556</v>
      </c>
      <c r="AN1" s="17">
        <v>43647</v>
      </c>
      <c r="AO1" s="17">
        <v>43739</v>
      </c>
      <c r="AP1" s="17">
        <v>43831</v>
      </c>
      <c r="AQ1" s="17">
        <v>43922</v>
      </c>
      <c r="AR1" s="17">
        <v>44013</v>
      </c>
      <c r="AS1" s="17">
        <v>44014</v>
      </c>
    </row>
    <row r="2" spans="1:49" s="851" customFormat="1" hidden="1">
      <c r="B2" s="851">
        <f t="shared" ref="B2:AS2" si="0">YEAR(B1)</f>
        <v>2010</v>
      </c>
      <c r="C2" s="851">
        <f t="shared" si="0"/>
        <v>2010</v>
      </c>
      <c r="D2" s="851">
        <f t="shared" si="0"/>
        <v>2010</v>
      </c>
      <c r="E2" s="851">
        <f t="shared" si="0"/>
        <v>2010</v>
      </c>
      <c r="F2" s="851">
        <f t="shared" si="0"/>
        <v>2011</v>
      </c>
      <c r="G2" s="851">
        <f t="shared" si="0"/>
        <v>2011</v>
      </c>
      <c r="H2" s="851">
        <f t="shared" si="0"/>
        <v>2011</v>
      </c>
      <c r="I2" s="851">
        <f t="shared" si="0"/>
        <v>2011</v>
      </c>
      <c r="J2" s="851">
        <f t="shared" si="0"/>
        <v>2012</v>
      </c>
      <c r="K2" s="851">
        <f t="shared" si="0"/>
        <v>2012</v>
      </c>
      <c r="L2" s="851">
        <f t="shared" si="0"/>
        <v>2012</v>
      </c>
      <c r="M2" s="851">
        <f t="shared" si="0"/>
        <v>2012</v>
      </c>
      <c r="N2" s="851">
        <f t="shared" si="0"/>
        <v>2013</v>
      </c>
      <c r="O2" s="851">
        <f t="shared" si="0"/>
        <v>2013</v>
      </c>
      <c r="P2" s="851">
        <f t="shared" si="0"/>
        <v>2013</v>
      </c>
      <c r="Q2" s="851">
        <f t="shared" si="0"/>
        <v>2013</v>
      </c>
      <c r="R2" s="851">
        <f t="shared" si="0"/>
        <v>2014</v>
      </c>
      <c r="S2" s="851">
        <f t="shared" si="0"/>
        <v>2014</v>
      </c>
      <c r="T2" s="851">
        <f t="shared" si="0"/>
        <v>2014</v>
      </c>
      <c r="U2" s="851">
        <f t="shared" si="0"/>
        <v>2014</v>
      </c>
      <c r="V2" s="851">
        <f t="shared" si="0"/>
        <v>2015</v>
      </c>
      <c r="W2" s="851">
        <f t="shared" si="0"/>
        <v>2015</v>
      </c>
      <c r="X2" s="851">
        <f t="shared" si="0"/>
        <v>2015</v>
      </c>
      <c r="Y2" s="851">
        <f t="shared" si="0"/>
        <v>2015</v>
      </c>
      <c r="Z2" s="851">
        <f t="shared" si="0"/>
        <v>2016</v>
      </c>
      <c r="AA2" s="851">
        <f t="shared" si="0"/>
        <v>2016</v>
      </c>
      <c r="AB2" s="851">
        <f t="shared" si="0"/>
        <v>2016</v>
      </c>
      <c r="AC2" s="851">
        <f t="shared" si="0"/>
        <v>2016</v>
      </c>
      <c r="AD2" s="851">
        <f t="shared" si="0"/>
        <v>2017</v>
      </c>
      <c r="AE2" s="851">
        <f t="shared" si="0"/>
        <v>2017</v>
      </c>
      <c r="AF2" s="1115">
        <f t="shared" si="0"/>
        <v>2017</v>
      </c>
      <c r="AG2" s="18">
        <f t="shared" si="0"/>
        <v>2017</v>
      </c>
      <c r="AH2" s="18">
        <f t="shared" si="0"/>
        <v>2018</v>
      </c>
      <c r="AI2" s="18">
        <f t="shared" si="0"/>
        <v>2018</v>
      </c>
      <c r="AJ2" s="18">
        <f t="shared" si="0"/>
        <v>2018</v>
      </c>
      <c r="AK2" s="18">
        <f t="shared" si="0"/>
        <v>2018</v>
      </c>
      <c r="AL2" s="18">
        <f t="shared" si="0"/>
        <v>2019</v>
      </c>
      <c r="AM2" s="18">
        <f t="shared" si="0"/>
        <v>2019</v>
      </c>
      <c r="AN2" s="18">
        <f t="shared" si="0"/>
        <v>2019</v>
      </c>
      <c r="AO2" s="18">
        <f t="shared" si="0"/>
        <v>2019</v>
      </c>
      <c r="AP2" s="18">
        <f t="shared" si="0"/>
        <v>2020</v>
      </c>
      <c r="AQ2" s="18">
        <f t="shared" si="0"/>
        <v>2020</v>
      </c>
      <c r="AR2" s="18">
        <f t="shared" si="0"/>
        <v>2020</v>
      </c>
      <c r="AS2" s="18">
        <f t="shared" si="0"/>
        <v>2020</v>
      </c>
      <c r="AT2" s="851">
        <v>2021</v>
      </c>
      <c r="AU2" s="851">
        <v>2021</v>
      </c>
      <c r="AV2" s="851">
        <v>2021</v>
      </c>
      <c r="AW2" s="851">
        <v>2021</v>
      </c>
    </row>
    <row r="3" spans="1:49" s="851" customFormat="1" hidden="1">
      <c r="B3" s="4" t="s">
        <v>0</v>
      </c>
      <c r="C3" s="4" t="s">
        <v>1</v>
      </c>
      <c r="D3" s="4" t="s">
        <v>2</v>
      </c>
      <c r="E3" s="4" t="s">
        <v>3</v>
      </c>
      <c r="F3" s="4" t="s">
        <v>0</v>
      </c>
      <c r="G3" s="4" t="s">
        <v>1</v>
      </c>
      <c r="H3" s="4" t="s">
        <v>2</v>
      </c>
      <c r="I3" s="4" t="s">
        <v>3</v>
      </c>
      <c r="J3" s="4" t="s">
        <v>0</v>
      </c>
      <c r="K3" s="4" t="s">
        <v>1</v>
      </c>
      <c r="L3" s="4" t="s">
        <v>2</v>
      </c>
      <c r="M3" s="5" t="s">
        <v>3</v>
      </c>
      <c r="N3" s="4" t="s">
        <v>0</v>
      </c>
      <c r="O3" s="4" t="s">
        <v>1</v>
      </c>
      <c r="P3" s="4" t="s">
        <v>2</v>
      </c>
      <c r="Q3" s="5" t="s">
        <v>3</v>
      </c>
      <c r="R3" s="4" t="s">
        <v>0</v>
      </c>
      <c r="S3" s="4" t="s">
        <v>1</v>
      </c>
      <c r="T3" s="4" t="s">
        <v>2</v>
      </c>
      <c r="U3" s="5" t="s">
        <v>3</v>
      </c>
      <c r="V3" s="4" t="s">
        <v>0</v>
      </c>
      <c r="W3" s="4" t="s">
        <v>1</v>
      </c>
      <c r="X3" s="4" t="s">
        <v>2</v>
      </c>
      <c r="Y3" s="5" t="s">
        <v>3</v>
      </c>
      <c r="Z3" s="4" t="s">
        <v>0</v>
      </c>
      <c r="AA3" s="4" t="s">
        <v>1</v>
      </c>
      <c r="AB3" s="4" t="s">
        <v>2</v>
      </c>
      <c r="AC3" s="4" t="s">
        <v>3</v>
      </c>
      <c r="AD3" s="4" t="s">
        <v>0</v>
      </c>
      <c r="AE3" s="4" t="s">
        <v>1</v>
      </c>
      <c r="AF3" s="1116" t="s">
        <v>2</v>
      </c>
      <c r="AG3" s="19" t="s">
        <v>3</v>
      </c>
      <c r="AH3" s="19" t="s">
        <v>0</v>
      </c>
      <c r="AI3" s="19" t="s">
        <v>1</v>
      </c>
      <c r="AJ3" s="19" t="s">
        <v>2</v>
      </c>
      <c r="AK3" s="19" t="s">
        <v>3</v>
      </c>
      <c r="AL3" s="19" t="s">
        <v>0</v>
      </c>
      <c r="AM3" s="19" t="s">
        <v>1</v>
      </c>
      <c r="AN3" s="19" t="s">
        <v>2</v>
      </c>
      <c r="AO3" s="19" t="s">
        <v>3</v>
      </c>
      <c r="AP3" s="19" t="s">
        <v>0</v>
      </c>
      <c r="AQ3" s="19" t="s">
        <v>1</v>
      </c>
      <c r="AR3" s="19" t="s">
        <v>2</v>
      </c>
      <c r="AS3" s="19" t="s">
        <v>3</v>
      </c>
    </row>
    <row r="4" spans="1:49" s="851" customFormat="1" ht="15" customHeight="1">
      <c r="B4" s="4" t="str">
        <f>B2&amp;"-"&amp;B3&amp;IF(B1&gt;'Reference dates'!$B$1,"e","")</f>
        <v>2010-1Q</v>
      </c>
      <c r="C4" s="4" t="str">
        <f>C2&amp;"-"&amp;C3&amp;IF(C1&gt;'Reference dates'!$B$1,"e","")</f>
        <v>2010-2Q</v>
      </c>
      <c r="D4" s="4" t="str">
        <f>D2&amp;"-"&amp;D3&amp;IF(D1&gt;'Reference dates'!$B$1,"e","")</f>
        <v>2010-3Q</v>
      </c>
      <c r="E4" s="4" t="str">
        <f>E2&amp;"-"&amp;E3&amp;IF(E1&gt;'Reference dates'!$B$1,"e","")</f>
        <v>2010-4Q</v>
      </c>
      <c r="F4" s="4" t="str">
        <f>F2&amp;"-"&amp;F3&amp;IF(F1&gt;'Reference dates'!$B$1,"e","")</f>
        <v>2011-1Q</v>
      </c>
      <c r="G4" s="4" t="str">
        <f>G2&amp;"-"&amp;G3&amp;IF(G1&gt;'Reference dates'!$B$1,"e","")</f>
        <v>2011-2Q</v>
      </c>
      <c r="H4" s="4" t="str">
        <f>H2&amp;"-"&amp;H3&amp;IF(H1&gt;'Reference dates'!$B$1,"e","")</f>
        <v>2011-3Q</v>
      </c>
      <c r="I4" s="4" t="str">
        <f>I2&amp;"-"&amp;I3&amp;IF(I1&gt;'Reference dates'!$B$1,"e","")</f>
        <v>2011-4Q</v>
      </c>
      <c r="J4" s="4" t="str">
        <f>J2&amp;"-"&amp;J3&amp;IF(J1&gt;'Reference dates'!$B$1,"e","")</f>
        <v>2012-1Q</v>
      </c>
      <c r="K4" s="4" t="str">
        <f>K2&amp;"-"&amp;K3&amp;IF(K1&gt;'Reference dates'!$B$1,"e","")</f>
        <v>2012-2Q</v>
      </c>
      <c r="L4" s="4" t="str">
        <f>L2&amp;"-"&amp;L3&amp;IF(L1&gt;'Reference dates'!$B$1,"e","")</f>
        <v>2012-3Q</v>
      </c>
      <c r="M4" s="4" t="str">
        <f>M2&amp;"-"&amp;M3&amp;IF(M1&gt;'Reference dates'!$B$1,"e","")</f>
        <v>2012-4Q</v>
      </c>
      <c r="N4" s="4" t="str">
        <f>N2&amp;"-"&amp;N3&amp;IF(N1&gt;'Reference dates'!$B$1,"e","")</f>
        <v>2013-1Q</v>
      </c>
      <c r="O4" s="4" t="str">
        <f>O2&amp;"-"&amp;O3&amp;IF(O1&gt;'Reference dates'!$B$1,"e","")</f>
        <v>2013-2Q</v>
      </c>
      <c r="P4" s="4" t="str">
        <f>P2&amp;"-"&amp;P3&amp;IF(P1&gt;'Reference dates'!$B$1,"e","")</f>
        <v>2013-3Q</v>
      </c>
      <c r="Q4" s="4" t="str">
        <f>Q2&amp;"-"&amp;Q3&amp;IF(Q1&gt;'Reference dates'!$B$1,"e","")</f>
        <v>2013-4Q</v>
      </c>
      <c r="R4" s="4" t="str">
        <f>R2&amp;"-"&amp;R3&amp;IF(R1&gt;'Reference dates'!$B$1,"e","")</f>
        <v>2014-1Q</v>
      </c>
      <c r="S4" s="4" t="str">
        <f>S2&amp;"-"&amp;S3&amp;IF(S1&gt;'Reference dates'!$B$1,"e","")</f>
        <v>2014-2Q</v>
      </c>
      <c r="T4" s="4" t="str">
        <f>T2&amp;"-"&amp;T3&amp;IF(T1&gt;'Reference dates'!$B$1,"e","")</f>
        <v>2014-3Q</v>
      </c>
      <c r="U4" s="4" t="str">
        <f>U2&amp;"-"&amp;U3&amp;IF(U1&gt;'Reference dates'!$B$1,"e","")</f>
        <v>2014-4Q</v>
      </c>
      <c r="V4" s="4" t="str">
        <f>V2&amp;"-"&amp;V3&amp;IF(V1&gt;'Reference dates'!$B$1,"e","")</f>
        <v>2015-1Q</v>
      </c>
      <c r="W4" s="4" t="str">
        <f>W2&amp;"-"&amp;W3&amp;IF(W1&gt;'Reference dates'!$B$1,"e","")</f>
        <v>2015-2Q</v>
      </c>
      <c r="X4" s="4" t="str">
        <f>X2&amp;"-"&amp;X3&amp;IF(X1&gt;'Reference dates'!$B$1,"e","")</f>
        <v>2015-3Q</v>
      </c>
      <c r="Y4" s="4" t="str">
        <f>Y2&amp;"-"&amp;Y3&amp;IF(Y1&gt;'Reference dates'!$B$1,"e","")</f>
        <v>2015-4Q</v>
      </c>
      <c r="Z4" s="4" t="str">
        <f>Z2&amp;"-"&amp;Z3&amp;IF(Z1&gt;'Reference dates'!$B$1,"e","")</f>
        <v>2016-1Q</v>
      </c>
      <c r="AA4" s="4" t="str">
        <f>AA2&amp;"-"&amp;AA3&amp;IF(AA1&gt;'Reference dates'!$B$1,"e","")</f>
        <v>2016-2Q</v>
      </c>
      <c r="AB4" s="4" t="str">
        <f>AB2&amp;"-"&amp;AB3&amp;IF(AB1&gt;'Reference dates'!$B$1,"e","")</f>
        <v>2016-3Q</v>
      </c>
      <c r="AC4" s="4" t="str">
        <f>AC2&amp;"-"&amp;AC3&amp;IF(AC1&gt;'Reference dates'!$B$1,"e","")</f>
        <v>2016-4Q</v>
      </c>
      <c r="AD4" s="4" t="str">
        <f>AD2&amp;"-"&amp;AD3&amp;IF(AD1&gt;'Reference dates'!$B$1,"e","")</f>
        <v>2017-1Q</v>
      </c>
      <c r="AE4" s="4" t="str">
        <f>AE2&amp;"-"&amp;AE3&amp;IF(AE1&gt;'Reference dates'!$B$1,"e","")</f>
        <v>2017-2Q</v>
      </c>
      <c r="AF4" s="1116" t="str">
        <f>AF2&amp;"-"&amp;AF3&amp;IF(AF1&gt;'Reference dates'!$B$1,"e","")</f>
        <v>2017-3Q</v>
      </c>
      <c r="AG4" s="19" t="str">
        <f>AG2&amp;"-"&amp;AG3&amp;IF(AG1&gt;'Reference dates'!$B$1,"e","")</f>
        <v>2017-4Qe</v>
      </c>
      <c r="AH4" s="19" t="str">
        <f>AH2&amp;"-"&amp;AH3&amp;IF(AH1&gt;'Reference dates'!$B$1,"e","")</f>
        <v>2018-1Qe</v>
      </c>
      <c r="AI4" s="19" t="str">
        <f>AI2&amp;"-"&amp;AI3&amp;IF(AI1&gt;'Reference dates'!$B$1,"e","")</f>
        <v>2018-2Qe</v>
      </c>
      <c r="AJ4" s="19" t="str">
        <f>AJ2&amp;"-"&amp;AJ3&amp;IF(AJ1&gt;'Reference dates'!$B$1,"e","")</f>
        <v>2018-3Qe</v>
      </c>
      <c r="AK4" s="19" t="str">
        <f>AK2&amp;"-"&amp;AK3&amp;IF(AK1&gt;'Reference dates'!$B$1,"e","")</f>
        <v>2018-4Qe</v>
      </c>
      <c r="AL4" s="19" t="str">
        <f>AL2&amp;"-"&amp;AL3&amp;IF(AL1&gt;'Reference dates'!$B$1,"e","")</f>
        <v>2019-1Qe</v>
      </c>
      <c r="AM4" s="19" t="str">
        <f>AM2&amp;"-"&amp;AM3&amp;IF(AM1&gt;'Reference dates'!$B$1,"e","")</f>
        <v>2019-2Qe</v>
      </c>
      <c r="AN4" s="19" t="str">
        <f>AN2&amp;"-"&amp;AN3&amp;IF(AN1&gt;'Reference dates'!$B$1,"e","")</f>
        <v>2019-3Qe</v>
      </c>
      <c r="AO4" s="19" t="str">
        <f>AO2&amp;"-"&amp;AO3&amp;IF(AO1&gt;'Reference dates'!$B$1,"e","")</f>
        <v>2019-4Qe</v>
      </c>
      <c r="AP4" s="19" t="str">
        <f>AP2&amp;"-"&amp;AP3&amp;IF(AP1&gt;'Reference dates'!$B$1,"e","")</f>
        <v>2020-1Qe</v>
      </c>
      <c r="AQ4" s="19" t="str">
        <f>AQ2&amp;"-"&amp;AQ3&amp;IF(AQ1&gt;'Reference dates'!$B$1,"e","")</f>
        <v>2020-2Qe</v>
      </c>
      <c r="AR4" s="19" t="str">
        <f>AR2&amp;"-"&amp;AR3&amp;IF(AR1&gt;'Reference dates'!$B$1,"e","")</f>
        <v>2020-3Qe</v>
      </c>
      <c r="AS4" s="19" t="str">
        <f>AS2&amp;"-"&amp;AS3&amp;IF(AS1&gt;'Reference dates'!$B$1,"e","")</f>
        <v>2020-4Qe</v>
      </c>
    </row>
    <row r="5" spans="1:49" s="2" customFormat="1">
      <c r="A5" s="2" t="s">
        <v>592</v>
      </c>
      <c r="AF5" s="1124" t="s">
        <v>884</v>
      </c>
    </row>
    <row r="6" spans="1:49" s="2" customFormat="1">
      <c r="A6" s="2" t="s">
        <v>597</v>
      </c>
      <c r="C6" s="1106"/>
      <c r="D6" s="1106"/>
      <c r="E6" s="1106"/>
      <c r="F6" s="1106"/>
      <c r="G6" s="1106"/>
      <c r="H6" s="1106"/>
      <c r="I6" s="1106"/>
      <c r="J6" s="1106"/>
      <c r="K6" s="1106"/>
      <c r="L6" s="1106"/>
      <c r="M6" s="1106"/>
      <c r="N6" s="1106"/>
      <c r="O6" s="1106"/>
      <c r="P6" s="1106"/>
      <c r="Q6" s="1106"/>
      <c r="R6" s="1106">
        <f>Model!R197+Model!R285+Model!R393+Model!R473+Model!R513+Model!R544+Model!R587</f>
        <v>6829</v>
      </c>
      <c r="S6" s="1106">
        <f>Model!S197+Model!S285+Model!S393+Model!S473+Model!S513+Model!S544+Model!S587</f>
        <v>6463</v>
      </c>
      <c r="T6" s="1106">
        <f>Model!T197+Model!T285+Model!T393+Model!T473+Model!T513+Model!T544+Model!T587</f>
        <v>6578</v>
      </c>
      <c r="U6" s="1106">
        <f>Model!U197+Model!U285+Model!U393+Model!U473+Model!U513+Model!U544+Model!U587</f>
        <v>6372</v>
      </c>
      <c r="V6" s="1106">
        <f>Model!V197+Model!V285+Model!V393+Model!V473+Model!V513+Model!V544+Model!V587</f>
        <v>6647</v>
      </c>
      <c r="W6" s="1106">
        <f>Model!W197+Model!W285+Model!W393+Model!W473+Model!W513+Model!W544+Model!W587</f>
        <v>6955</v>
      </c>
      <c r="X6" s="1106">
        <f>Model!X197+Model!X285+Model!X393+Model!X473+Model!X513+Model!X544+Model!X587</f>
        <v>5985</v>
      </c>
      <c r="Y6" s="1106">
        <f>Model!Y197+Model!Y285+Model!Y393+Model!Y473+Model!Y513+Model!Y544+Model!Y587</f>
        <v>4210</v>
      </c>
      <c r="Z6" s="1106">
        <f>Model!Z197+Model!Z285+Model!Z393+Model!Z473+Model!Z513+Model!Z544+Model!Z587</f>
        <v>4638</v>
      </c>
      <c r="AA6" s="1106">
        <f>Model!AA197+Model!AA285+Model!AA393+Model!AA473+Model!AA513+Model!AA544+Model!AA587</f>
        <v>5108</v>
      </c>
      <c r="AB6" s="1106">
        <f>Model!AB197+Model!AB285+Model!AB393+Model!AB473+Model!AB513+Model!AB544+Model!AB587</f>
        <v>5396</v>
      </c>
      <c r="AC6" s="1106">
        <f>Model!AC197+Model!AC285+Model!AC393+Model!AC473+Model!AC513+Model!AC544+Model!AC587</f>
        <v>5181</v>
      </c>
      <c r="AD6" s="1106">
        <f>Model!AD197+Model!AD285+Model!AD393+Model!AD473+Model!AD513+Model!AD544+Model!AD587</f>
        <v>5534</v>
      </c>
      <c r="AE6" s="1106">
        <f>Model!AE197+Model!AE285+Model!AE393+Model!AE473+Model!AE513+Model!AE544+Model!AE587</f>
        <v>5205</v>
      </c>
      <c r="AF6" s="1117">
        <f>Model!AF197+Model!AF285+Model!AF393+Model!AF473+Model!AF513+Model!AF544+Model!AF587</f>
        <v>4972</v>
      </c>
      <c r="AG6" s="92">
        <f>Model!AG197+Model!AG285+Model!AG393+Model!AG473+Model!AG513+Model!AG544+Model!AG587</f>
        <v>5449.4014809904738</v>
      </c>
      <c r="AH6" s="92">
        <f>Model!AH197+Model!AH285+Model!AH393+Model!AH473+Model!AH513+Model!AH544+Model!AH587</f>
        <v>5369.4454356520737</v>
      </c>
      <c r="AI6" s="92">
        <f>Model!AI197+Model!AI285+Model!AI393+Model!AI473+Model!AI513+Model!AI544+Model!AI587</f>
        <v>5534.8873309613846</v>
      </c>
      <c r="AJ6" s="92">
        <f>Model!AJ197+Model!AJ285+Model!AJ393+Model!AJ473+Model!AJ513+Model!AJ544+Model!AJ587</f>
        <v>5489.2348988180247</v>
      </c>
      <c r="AK6" s="92">
        <f>Model!AK197+Model!AK285+Model!AK393+Model!AK473+Model!AK513+Model!AK544+Model!AK587</f>
        <v>5696.2958776189889</v>
      </c>
      <c r="AL6" s="92">
        <f>Model!AL197+Model!AL285+Model!AL393+Model!AL473+Model!AL513+Model!AL544+Model!AL587</f>
        <v>5673.2915526784218</v>
      </c>
      <c r="AM6" s="92">
        <f>Model!AM197+Model!AM285+Model!AM393+Model!AM473+Model!AM513+Model!AM544+Model!AM587</f>
        <v>5828.3358332095368</v>
      </c>
      <c r="AN6" s="92">
        <f>Model!AN197+Model!AN285+Model!AN393+Model!AN473+Model!AN513+Model!AN544+Model!AN587</f>
        <v>5675.3741953073841</v>
      </c>
      <c r="AO6" s="92">
        <f>Model!AO197+Model!AO285+Model!AO393+Model!AO473+Model!AO513+Model!AO544+Model!AO587</f>
        <v>5883.7253816237417</v>
      </c>
      <c r="AP6" s="92">
        <f>Model!AP197+Model!AP285+Model!AP393+Model!AP473+Model!AP513+Model!AP544+Model!AP587</f>
        <v>5864.8043272780524</v>
      </c>
      <c r="AQ6" s="92">
        <f>Model!AQ197+Model!AQ285+Model!AQ393+Model!AQ473+Model!AQ513+Model!AQ544+Model!AQ587</f>
        <v>6030.8644323061772</v>
      </c>
      <c r="AR6" s="92">
        <f>Model!AR197+Model!AR285+Model!AR393+Model!AR473+Model!AR513+Model!AR544+Model!AR587</f>
        <v>5853.79172250384</v>
      </c>
      <c r="AS6" s="92">
        <f>Model!AS197+Model!AS285+Model!AS393+Model!AS473+Model!AS513+Model!AS544+Model!AS587</f>
        <v>6043.1662752270149</v>
      </c>
    </row>
    <row r="7" spans="1:49">
      <c r="A7" t="s">
        <v>433</v>
      </c>
      <c r="C7" s="133"/>
      <c r="D7" s="133"/>
      <c r="E7" s="133"/>
      <c r="F7" s="133"/>
      <c r="G7" s="133"/>
      <c r="H7" s="133"/>
      <c r="I7" s="133"/>
      <c r="J7" s="133"/>
      <c r="K7" s="133"/>
      <c r="L7" s="133"/>
      <c r="M7" s="133"/>
      <c r="N7" s="133"/>
      <c r="O7" s="133"/>
      <c r="P7" s="133"/>
      <c r="Q7" s="133"/>
      <c r="R7" s="133">
        <f>Model!R197/R6</f>
        <v>0.2050080538878313</v>
      </c>
      <c r="S7" s="133">
        <f>Model!S197/S6</f>
        <v>0.20625096704316881</v>
      </c>
      <c r="T7" s="133">
        <f>Model!T197/T6</f>
        <v>0.2103982973548191</v>
      </c>
      <c r="U7" s="133">
        <f>Model!U197/U6</f>
        <v>0.28170119271814187</v>
      </c>
      <c r="V7" s="133">
        <f>Model!V197/V6</f>
        <v>0.21062133293214985</v>
      </c>
      <c r="W7" s="133">
        <f>Model!W197/W6</f>
        <v>0.21020848310567936</v>
      </c>
      <c r="X7" s="133">
        <f>Model!X197/X6</f>
        <v>0.2279030910609858</v>
      </c>
      <c r="Y7" s="133">
        <f>Model!Y197/Y6</f>
        <v>0.35510688836104515</v>
      </c>
      <c r="Z7" s="133">
        <f>Model!Z197/Z6</f>
        <v>0.2923673997412678</v>
      </c>
      <c r="AA7" s="133">
        <f>Model!AA197/AA6</f>
        <v>0.26174628034455755</v>
      </c>
      <c r="AB7" s="133">
        <f>Model!AB197/AB6</f>
        <v>0.30893254262416603</v>
      </c>
      <c r="AC7" s="133">
        <f>Model!AC197/AC6</f>
        <v>0.27002509168114264</v>
      </c>
      <c r="AD7" s="133">
        <f>Model!AD197/AD6</f>
        <v>0.2446693169497651</v>
      </c>
      <c r="AE7" s="133">
        <f>Model!AE197/AE6</f>
        <v>0.26993275696445723</v>
      </c>
      <c r="AF7" s="1124">
        <f>Model!AF197/AF6</f>
        <v>0.26528559935639584</v>
      </c>
      <c r="AG7" s="120">
        <f>Model!AG197/AG6</f>
        <v>0.25401896753529501</v>
      </c>
      <c r="AH7" s="120">
        <f>Model!AH197/AH6</f>
        <v>0.26023577349794458</v>
      </c>
      <c r="AI7" s="120">
        <f>Model!AI197/AI6</f>
        <v>0.26296283313773017</v>
      </c>
      <c r="AJ7" s="120">
        <f>Model!AJ197/AJ6</f>
        <v>0.2547178844616747</v>
      </c>
      <c r="AK7" s="120">
        <f>Model!AK197/AK6</f>
        <v>0.25080537924036184</v>
      </c>
      <c r="AL7" s="120">
        <f>Model!AL197/AL6</f>
        <v>0.25416120819409765</v>
      </c>
      <c r="AM7" s="120">
        <f>Model!AM197/AM6</f>
        <v>0.25755363197258213</v>
      </c>
      <c r="AN7" s="120">
        <f>Model!AN197/AN6</f>
        <v>0.25420965194174988</v>
      </c>
      <c r="AO7" s="120">
        <f>Model!AO197/AO6</f>
        <v>0.25047078809532614</v>
      </c>
      <c r="AP7" s="120">
        <f>Model!AP197/AP6</f>
        <v>0.2535687115922024</v>
      </c>
      <c r="AQ7" s="120">
        <f>Model!AQ197/AQ6</f>
        <v>0.25656630666642349</v>
      </c>
      <c r="AR7" s="120">
        <f>Model!AR197/AR6</f>
        <v>0.25415458885801201</v>
      </c>
      <c r="AS7" s="120">
        <f>Model!AS197/AS6</f>
        <v>0.25139326333708367</v>
      </c>
    </row>
    <row r="8" spans="1:49">
      <c r="A8" t="s">
        <v>437</v>
      </c>
      <c r="C8" s="133"/>
      <c r="D8" s="133"/>
      <c r="E8" s="133"/>
      <c r="F8" s="133"/>
      <c r="G8" s="133"/>
      <c r="H8" s="133"/>
      <c r="I8" s="133"/>
      <c r="J8" s="133"/>
      <c r="K8" s="133"/>
      <c r="L8" s="133"/>
      <c r="M8" s="133"/>
      <c r="N8" s="133"/>
      <c r="O8" s="133"/>
      <c r="P8" s="133"/>
      <c r="Q8" s="133"/>
      <c r="R8" s="133">
        <f>Model!R285/R6</f>
        <v>0.17206033094157269</v>
      </c>
      <c r="S8" s="133">
        <f>Model!S285/S6</f>
        <v>0.18025684666563516</v>
      </c>
      <c r="T8" s="133">
        <f>Model!T285/T6</f>
        <v>0.17710550319245971</v>
      </c>
      <c r="U8" s="133">
        <f>Model!U285/U6</f>
        <v>0.22551789077212805</v>
      </c>
      <c r="V8" s="133">
        <f>Model!V285/V6</f>
        <v>0.16864751015495713</v>
      </c>
      <c r="W8" s="133">
        <f>Model!W285/W6</f>
        <v>0.16750539180445723</v>
      </c>
      <c r="X8" s="133">
        <f>Model!X285/X6</f>
        <v>0.18262322472848788</v>
      </c>
      <c r="Y8" s="133">
        <f>Model!Y285/Y6</f>
        <v>0.27862232779097384</v>
      </c>
      <c r="Z8" s="133">
        <f>Model!Z285/Z6</f>
        <v>0.25291073738680464</v>
      </c>
      <c r="AA8" s="133">
        <f>Model!AA285/AA6</f>
        <v>0.22415818324197337</v>
      </c>
      <c r="AB8" s="133">
        <f>Model!AB285/AB6</f>
        <v>0.20033358042994812</v>
      </c>
      <c r="AC8" s="133">
        <f>Model!AC285/AC6</f>
        <v>0.25072379849449911</v>
      </c>
      <c r="AD8" s="133">
        <f>Model!AD285/AD6</f>
        <v>0.22063606794362126</v>
      </c>
      <c r="AE8" s="133">
        <f>Model!AE285/AE6</f>
        <v>0.24284341978866475</v>
      </c>
      <c r="AF8" s="1118">
        <f>Model!AF285/AF6</f>
        <v>0.25382139983909896</v>
      </c>
      <c r="AG8" s="120">
        <f>Model!AG285/AG6</f>
        <v>0.25770259680095331</v>
      </c>
      <c r="AH8" s="120">
        <f>Model!AH285/AH6</f>
        <v>0.24785745822353403</v>
      </c>
      <c r="AI8" s="120">
        <f>Model!AI285/AI6</f>
        <v>0.25679410524189467</v>
      </c>
      <c r="AJ8" s="120">
        <f>Model!AJ285/AJ6</f>
        <v>0.24124031223699058</v>
      </c>
      <c r="AK8" s="120">
        <f>Model!AK285/AK6</f>
        <v>0.25962603953976304</v>
      </c>
      <c r="AL8" s="120">
        <f>Model!AL285/AL6</f>
        <v>0.24707881099083812</v>
      </c>
      <c r="AM8" s="120">
        <f>Model!AM285/AM6</f>
        <v>0.25691520855431477</v>
      </c>
      <c r="AN8" s="120">
        <f>Model!AN285/AN6</f>
        <v>0.24579777826264412</v>
      </c>
      <c r="AO8" s="120">
        <f>Model!AO285/AO6</f>
        <v>0.26476065420101608</v>
      </c>
      <c r="AP8" s="120">
        <f>Model!AP285/AP6</f>
        <v>0.25178090804083114</v>
      </c>
      <c r="AQ8" s="120">
        <f>Model!AQ285/AQ6</f>
        <v>0.26159773394347019</v>
      </c>
      <c r="AR8" s="120">
        <f>Model!AR285/AR6</f>
        <v>0.25104362136990599</v>
      </c>
      <c r="AS8" s="120">
        <f>Model!AS285/AS6</f>
        <v>0.27150615265638206</v>
      </c>
    </row>
    <row r="9" spans="1:49" s="851" customFormat="1">
      <c r="A9" t="s">
        <v>438</v>
      </c>
      <c r="C9" s="133"/>
      <c r="D9" s="133"/>
      <c r="E9" s="133"/>
      <c r="F9" s="133"/>
      <c r="G9" s="133"/>
      <c r="H9" s="133"/>
      <c r="I9" s="133"/>
      <c r="J9" s="133"/>
      <c r="K9" s="133"/>
      <c r="L9" s="133"/>
      <c r="M9" s="133"/>
      <c r="N9" s="133"/>
      <c r="O9" s="133"/>
      <c r="P9" s="133"/>
      <c r="Q9" s="133"/>
      <c r="R9" s="133">
        <f>Model!R393/R6</f>
        <v>0.12329770098110997</v>
      </c>
      <c r="S9" s="133">
        <f>Model!S393/S6</f>
        <v>0.11480736500077364</v>
      </c>
      <c r="T9" s="133">
        <f>Model!T393/T6</f>
        <v>0.15430221951961082</v>
      </c>
      <c r="U9" s="133">
        <f>Model!U393/U6</f>
        <v>0.11550533584431889</v>
      </c>
      <c r="V9" s="133">
        <f>Model!V393/V6</f>
        <v>0.16368286445012789</v>
      </c>
      <c r="W9" s="133">
        <f>Model!W393/W6</f>
        <v>0.14953271028037382</v>
      </c>
      <c r="X9" s="133">
        <f>Model!X393/X6</f>
        <v>0.14786967418546365</v>
      </c>
      <c r="Y9" s="133">
        <f>Model!Y393/Y6</f>
        <v>0.19619952494061757</v>
      </c>
      <c r="Z9" s="133">
        <f>Model!Z393/Z6</f>
        <v>0.1955584303579129</v>
      </c>
      <c r="AA9" s="133">
        <f>Model!AA393/AA6</f>
        <v>0.17834768989819891</v>
      </c>
      <c r="AB9" s="133">
        <f>Model!AB393/AB6</f>
        <v>0.16994069681245366</v>
      </c>
      <c r="AC9" s="133">
        <f>Model!AC393/AC6</f>
        <v>0.16637714726886701</v>
      </c>
      <c r="AD9" s="133">
        <f>Model!AD393/AD6</f>
        <v>0.15919768702565956</v>
      </c>
      <c r="AE9" s="133">
        <f>Model!AE393/AE6</f>
        <v>0.16292026897214218</v>
      </c>
      <c r="AF9" s="1118">
        <f>Model!AF393/AF6</f>
        <v>0.17900241351568785</v>
      </c>
      <c r="AG9" s="120">
        <f>Model!AG393/AG6</f>
        <v>0.16120544445318091</v>
      </c>
      <c r="AH9" s="120">
        <f>Model!AH393/AH6</f>
        <v>0.17336636937505864</v>
      </c>
      <c r="AI9" s="120">
        <f>Model!AI393/AI6</f>
        <v>0.1707941864987074</v>
      </c>
      <c r="AJ9" s="120">
        <f>Model!AJ393/AJ6</f>
        <v>0.17254228443504119</v>
      </c>
      <c r="AK9" s="120">
        <f>Model!AK393/AK6</f>
        <v>0.16592911929504689</v>
      </c>
      <c r="AL9" s="120">
        <f>Model!AL393/AL6</f>
        <v>0.17689288102734635</v>
      </c>
      <c r="AM9" s="120">
        <f>Model!AM393/AM6</f>
        <v>0.17517548110839859</v>
      </c>
      <c r="AN9" s="120">
        <f>Model!AN393/AN6</f>
        <v>0.18057449100789591</v>
      </c>
      <c r="AO9" s="120">
        <f>Model!AO393/AO6</f>
        <v>0.17416593765516422</v>
      </c>
      <c r="AP9" s="120">
        <f>Model!AP393/AP6</f>
        <v>0.18582179395953216</v>
      </c>
      <c r="AQ9" s="120">
        <f>Model!AQ393/AQ6</f>
        <v>0.18416193212748319</v>
      </c>
      <c r="AR9" s="120">
        <f>Model!AR393/AR6</f>
        <v>0.19080503537002139</v>
      </c>
      <c r="AS9" s="120">
        <f>Model!AS393/AS6</f>
        <v>0.18518060308905002</v>
      </c>
    </row>
    <row r="10" spans="1:49">
      <c r="A10" t="s">
        <v>593</v>
      </c>
      <c r="C10" s="133"/>
      <c r="D10" s="133"/>
      <c r="E10" s="133"/>
      <c r="F10" s="133"/>
      <c r="G10" s="133"/>
      <c r="H10" s="133"/>
      <c r="I10" s="133"/>
      <c r="J10" s="133"/>
      <c r="K10" s="133"/>
      <c r="L10" s="133"/>
      <c r="M10" s="133"/>
      <c r="N10" s="133"/>
      <c r="O10" s="133"/>
      <c r="P10" s="133"/>
      <c r="Q10" s="133"/>
      <c r="R10" s="133">
        <f>Model!R473/R6</f>
        <v>0.29111143652072047</v>
      </c>
      <c r="S10" s="133">
        <f>Model!S473/S6</f>
        <v>0.30264583010985613</v>
      </c>
      <c r="T10" s="133">
        <f>Model!T473/T6</f>
        <v>0.29203405290361811</v>
      </c>
      <c r="U10" s="133">
        <f>Model!U473/U6</f>
        <v>0.24497802887633396</v>
      </c>
      <c r="V10" s="133">
        <f>Model!V473/V6</f>
        <v>0.32360463366932452</v>
      </c>
      <c r="W10" s="133">
        <f>Model!W473/W6</f>
        <v>0.27692307692307694</v>
      </c>
      <c r="X10" s="133">
        <f>Model!X473/X6</f>
        <v>0.26382623224728485</v>
      </c>
      <c r="Y10" s="133">
        <f>Model!Y473/Y6</f>
        <v>0.27790973871733965</v>
      </c>
      <c r="Z10" s="133">
        <f>Model!Z473/Z6</f>
        <v>0.26843467011642952</v>
      </c>
      <c r="AA10" s="133">
        <f>Model!AA473/AA6</f>
        <v>0.31910728269381361</v>
      </c>
      <c r="AB10" s="133">
        <f>Model!AB473/AB6</f>
        <v>0.25148257968865828</v>
      </c>
      <c r="AC10" s="133">
        <f>Model!AC473/AC6</f>
        <v>0.24416135881104034</v>
      </c>
      <c r="AD10" s="133">
        <f>Model!AD473/AD6</f>
        <v>0.29074810263823636</v>
      </c>
      <c r="AE10" s="133">
        <f>Model!AE473/AE6</f>
        <v>0.29145052833813639</v>
      </c>
      <c r="AF10" s="1118">
        <f>Model!AF473/AF6</f>
        <v>0.25382139983909896</v>
      </c>
      <c r="AG10" s="120">
        <f>Model!AG473/AG6</f>
        <v>0.25540622710366284</v>
      </c>
      <c r="AH10" s="120">
        <f>Model!AH473/AH6</f>
        <v>0.25527726993278449</v>
      </c>
      <c r="AI10" s="120">
        <f>Model!AI473/AI6</f>
        <v>0.24389005313019221</v>
      </c>
      <c r="AJ10" s="120">
        <f>Model!AJ473/AJ6</f>
        <v>0.24218784911807048</v>
      </c>
      <c r="AK10" s="120">
        <f>Model!AK473/AK6</f>
        <v>0.22984386688415753</v>
      </c>
      <c r="AL10" s="120">
        <f>Model!AL473/AL6</f>
        <v>0.2272749910072471</v>
      </c>
      <c r="AM10" s="120">
        <f>Model!AM473/AM6</f>
        <v>0.21787303173687811</v>
      </c>
      <c r="AN10" s="120">
        <f>Model!AN473/AN6</f>
        <v>0.22035090406059579</v>
      </c>
      <c r="AO10" s="120">
        <f>Model!AO473/AO6</f>
        <v>0.20932361998421944</v>
      </c>
      <c r="AP10" s="120">
        <f>Model!AP473/AP6</f>
        <v>0.20681326782958229</v>
      </c>
      <c r="AQ10" s="120">
        <f>Model!AQ473/AQ6</f>
        <v>0.19806769645413541</v>
      </c>
      <c r="AR10" s="120">
        <f>Model!AR473/AR6</f>
        <v>0.20096352671544601</v>
      </c>
      <c r="AS10" s="120">
        <f>Model!AS473/AS6</f>
        <v>0.19171286564865189</v>
      </c>
    </row>
    <row r="11" spans="1:49">
      <c r="A11" t="s">
        <v>594</v>
      </c>
      <c r="C11" s="133"/>
      <c r="D11" s="133"/>
      <c r="E11" s="133"/>
      <c r="F11" s="133"/>
      <c r="G11" s="133"/>
      <c r="H11" s="133"/>
      <c r="I11" s="133"/>
      <c r="J11" s="133"/>
      <c r="K11" s="133"/>
      <c r="L11" s="133"/>
      <c r="M11" s="133"/>
      <c r="N11" s="133"/>
      <c r="O11" s="133"/>
      <c r="P11" s="133"/>
      <c r="Q11" s="133"/>
      <c r="R11" s="133">
        <f>Model!R513/R6</f>
        <v>7.7024454532142336E-2</v>
      </c>
      <c r="S11" s="133">
        <f>Model!S513/S6</f>
        <v>9.2217236577440811E-2</v>
      </c>
      <c r="T11" s="133">
        <f>Model!T513/T6</f>
        <v>7.2362420188507151E-2</v>
      </c>
      <c r="U11" s="133">
        <f>Model!U513/U6</f>
        <v>8.0194601381042063E-2</v>
      </c>
      <c r="V11" s="133">
        <f>Model!V513/V6</f>
        <v>6.0027079885662707E-2</v>
      </c>
      <c r="W11" s="133">
        <f>Model!W513/W6</f>
        <v>8.1667864845434937E-2</v>
      </c>
      <c r="X11" s="133">
        <f>Model!X513/X6</f>
        <v>6.6833751044277356E-2</v>
      </c>
      <c r="Y11" s="133">
        <f>Model!Y513/Y6</f>
        <v>9.9762470308788598E-2</v>
      </c>
      <c r="Z11" s="133">
        <f>Model!Z513/Z6</f>
        <v>8.365674859853385E-2</v>
      </c>
      <c r="AA11" s="133">
        <f>Model!AA513/AA6</f>
        <v>0.10630383711824588</v>
      </c>
      <c r="AB11" s="133">
        <f>Model!AB513/AB6</f>
        <v>8.6545589325426248E-2</v>
      </c>
      <c r="AC11" s="133">
        <f>Model!AC513/AC6</f>
        <v>0.11078942289133371</v>
      </c>
      <c r="AD11" s="133">
        <f>Model!AD513/AD6</f>
        <v>0.10950487893024936</v>
      </c>
      <c r="AE11" s="133">
        <f>Model!AE513/AE6</f>
        <v>9.8174831892411149E-2</v>
      </c>
      <c r="AF11" s="1118">
        <f>Model!AF513/AF6</f>
        <v>9.1914722445695901E-2</v>
      </c>
      <c r="AG11" s="120">
        <f>Model!AG513/AG6</f>
        <v>9.8967014131444375E-2</v>
      </c>
      <c r="AH11" s="120">
        <f>Model!AH513/AH6</f>
        <v>0.10087297443746879</v>
      </c>
      <c r="AI11" s="120">
        <f>Model!AI513/AI6</f>
        <v>9.8278939870730428E-2</v>
      </c>
      <c r="AJ11" s="120">
        <f>Model!AJ513/AJ6</f>
        <v>9.9522761820598035E-2</v>
      </c>
      <c r="AK11" s="120">
        <f>Model!AK513/AK6</f>
        <v>9.6317828602238115E-2</v>
      </c>
      <c r="AL11" s="120">
        <f>Model!AL513/AL6</f>
        <v>9.7124569611320682E-2</v>
      </c>
      <c r="AM11" s="120">
        <f>Model!AM513/AM6</f>
        <v>9.494773941765601E-2</v>
      </c>
      <c r="AN11" s="120">
        <f>Model!AN513/AN6</f>
        <v>9.7926376200386189E-2</v>
      </c>
      <c r="AO11" s="120">
        <f>Model!AO513/AO6</f>
        <v>9.486516753256205E-2</v>
      </c>
      <c r="AP11" s="120">
        <f>Model!AP513/AP6</f>
        <v>9.5580793714883108E-2</v>
      </c>
      <c r="AQ11" s="120">
        <f>Model!AQ513/AQ6</f>
        <v>9.3348980857431374E-2</v>
      </c>
      <c r="AR11" s="120">
        <f>Model!AR513/AR6</f>
        <v>9.6586597698867543E-2</v>
      </c>
      <c r="AS11" s="120">
        <f>Model!AS513/AS6</f>
        <v>9.3962503166230296E-2</v>
      </c>
    </row>
    <row r="12" spans="1:49">
      <c r="A12" t="s">
        <v>595</v>
      </c>
      <c r="C12" s="133"/>
      <c r="D12" s="133"/>
      <c r="E12" s="133"/>
      <c r="F12" s="133"/>
      <c r="G12" s="133"/>
      <c r="H12" s="133"/>
      <c r="I12" s="133"/>
      <c r="J12" s="133"/>
      <c r="K12" s="133"/>
      <c r="L12" s="133"/>
      <c r="M12" s="133"/>
      <c r="N12" s="133"/>
      <c r="O12" s="133"/>
      <c r="P12" s="133"/>
      <c r="Q12" s="133"/>
      <c r="R12" s="133">
        <f>Model!R544/R6</f>
        <v>0.14423780934250988</v>
      </c>
      <c r="S12" s="133">
        <f>Model!S544/S6</f>
        <v>8.8194336995203459E-2</v>
      </c>
      <c r="T12" s="133">
        <f>Model!T544/T6</f>
        <v>5.1383399209486168E-2</v>
      </c>
      <c r="U12" s="133">
        <f>Model!U544/U6</f>
        <v>-8.6315128688010043E-3</v>
      </c>
      <c r="V12" s="133">
        <f>Model!V544/V6</f>
        <v>4.7389799909733715E-2</v>
      </c>
      <c r="W12" s="133">
        <f>Model!W544/W6</f>
        <v>5.8950395398993528E-2</v>
      </c>
      <c r="X12" s="133">
        <f>Model!X544/X6</f>
        <v>-1.4703425229741019E-2</v>
      </c>
      <c r="Y12" s="133">
        <f>Model!Y544/Y6</f>
        <v>-2.9928741092636581E-2</v>
      </c>
      <c r="Z12" s="133">
        <f>Model!Z544/Z6</f>
        <v>-0.11664510564898663</v>
      </c>
      <c r="AA12" s="133">
        <f>Model!AA544/AA6</f>
        <v>-7.1064996084573215E-2</v>
      </c>
      <c r="AB12" s="133">
        <f>Model!AB544/AB6</f>
        <v>-3.0578206078576725E-2</v>
      </c>
      <c r="AC12" s="133">
        <f>Model!AC544/AC6</f>
        <v>-3.8988612237019882E-2</v>
      </c>
      <c r="AD12" s="133">
        <f>Model!AD544/AD6</f>
        <v>-3.7224430791470905E-2</v>
      </c>
      <c r="AE12" s="133">
        <f>Model!AE544/AE6</f>
        <v>-5.2641690682036502E-2</v>
      </c>
      <c r="AF12" s="1118">
        <f>Model!AF544/AF6</f>
        <v>-5.1287208366854388E-2</v>
      </c>
      <c r="AG12" s="120">
        <f>Model!AG544/AG6</f>
        <v>-3.996219101763418E-2</v>
      </c>
      <c r="AH12" s="120">
        <f>Model!AH544/AH6</f>
        <v>-5.0460334558616031E-2</v>
      </c>
      <c r="AI12" s="120">
        <f>Model!AI544/AI6</f>
        <v>-4.518649630289915E-2</v>
      </c>
      <c r="AJ12" s="120">
        <f>Model!AJ544/AJ6</f>
        <v>-2.2781149880405326E-2</v>
      </c>
      <c r="AK12" s="120">
        <f>Model!AK544/AK6</f>
        <v>-1.4635368392064099E-2</v>
      </c>
      <c r="AL12" s="120">
        <f>Model!AL544/AL6</f>
        <v>-1.4694712560610664E-2</v>
      </c>
      <c r="AM12" s="120">
        <f>Model!AM544/AM6</f>
        <v>-1.4303806613909786E-2</v>
      </c>
      <c r="AN12" s="120">
        <f>Model!AN544/AN6</f>
        <v>-1.1016990127463488E-2</v>
      </c>
      <c r="AO12" s="120">
        <f>Model!AO544/AO6</f>
        <v>-5.3134313231753185E-3</v>
      </c>
      <c r="AP12" s="120">
        <f>Model!AP544/AP6</f>
        <v>-5.3305735358081053E-3</v>
      </c>
      <c r="AQ12" s="120">
        <f>Model!AQ544/AQ6</f>
        <v>-5.1837959699794628E-3</v>
      </c>
      <c r="AR12" s="120">
        <f>Model!AR544/AR6</f>
        <v>-5.3406018221484027E-3</v>
      </c>
      <c r="AS12" s="120">
        <f>Model!AS544/AS6</f>
        <v>-5.1732435143871398E-3</v>
      </c>
    </row>
    <row r="13" spans="1:49">
      <c r="A13" t="s">
        <v>596</v>
      </c>
      <c r="C13" s="133"/>
      <c r="D13" s="133"/>
      <c r="E13" s="133"/>
      <c r="F13" s="133"/>
      <c r="G13" s="133"/>
      <c r="H13" s="133"/>
      <c r="I13" s="133"/>
      <c r="J13" s="133"/>
      <c r="K13" s="133"/>
      <c r="L13" s="133"/>
      <c r="M13" s="133"/>
      <c r="N13" s="133"/>
      <c r="O13" s="133"/>
      <c r="P13" s="133"/>
      <c r="Q13" s="133"/>
      <c r="R13" s="133">
        <f>Model!R587/R6</f>
        <v>-1.273978620588666E-2</v>
      </c>
      <c r="S13" s="133">
        <f>Model!S587/S6</f>
        <v>1.5627417607922019E-2</v>
      </c>
      <c r="T13" s="133">
        <f>Model!T587/T6</f>
        <v>4.2414107631498936E-2</v>
      </c>
      <c r="U13" s="133">
        <f>Model!U587/U6</f>
        <v>6.0734463276836161E-2</v>
      </c>
      <c r="V13" s="133">
        <f>Model!V587/V6</f>
        <v>2.6026778998044231E-2</v>
      </c>
      <c r="W13" s="133">
        <f>Model!W587/W6</f>
        <v>5.5212077641984186E-2</v>
      </c>
      <c r="X13" s="133">
        <f>Model!X587/X6</f>
        <v>0.12564745196324142</v>
      </c>
      <c r="Y13" s="133">
        <f>Model!Y587/Y6</f>
        <v>-0.17767220902612826</v>
      </c>
      <c r="Z13" s="133">
        <f>Model!Z587/Z6</f>
        <v>2.3717119448037949E-2</v>
      </c>
      <c r="AA13" s="133">
        <f>Model!AA587/AA6</f>
        <v>-1.859827721221613E-2</v>
      </c>
      <c r="AB13" s="133">
        <f>Model!AB587/AB6</f>
        <v>1.3343217197924388E-2</v>
      </c>
      <c r="AC13" s="133">
        <f>Model!AC587/AC6</f>
        <v>-3.0882069098629606E-3</v>
      </c>
      <c r="AD13" s="133">
        <f>Model!AD587/AD6</f>
        <v>1.2468377303939284E-2</v>
      </c>
      <c r="AE13" s="133">
        <f>Model!AE587/AE6</f>
        <v>-1.2680115273775217E-2</v>
      </c>
      <c r="AF13" s="1118">
        <f>Model!AF587/AF6</f>
        <v>7.441673370876911E-3</v>
      </c>
      <c r="AG13" s="120">
        <f>Model!AG587/AG6</f>
        <v>1.266194099309759E-2</v>
      </c>
      <c r="AH13" s="120">
        <f>Model!AH587/AH6</f>
        <v>1.2850489091825651E-2</v>
      </c>
      <c r="AI13" s="120">
        <f>Model!AI587/AI6</f>
        <v>1.2466378423644446E-2</v>
      </c>
      <c r="AJ13" s="120">
        <f>Model!AJ587/AJ6</f>
        <v>1.2570057808030314E-2</v>
      </c>
      <c r="AK13" s="120">
        <f>Model!AK587/AK6</f>
        <v>1.2113134830496464E-2</v>
      </c>
      <c r="AL13" s="120">
        <f>Model!AL587/AL6</f>
        <v>1.2162251729760718E-2</v>
      </c>
      <c r="AM13" s="120">
        <f>Model!AM587/AM6</f>
        <v>1.1838713824080246E-2</v>
      </c>
      <c r="AN13" s="120">
        <f>Model!AN587/AN6</f>
        <v>1.2157788654191619E-2</v>
      </c>
      <c r="AO13" s="120">
        <f>Model!AO587/AO6</f>
        <v>1.1727263854887454E-2</v>
      </c>
      <c r="AP13" s="120">
        <f>Model!AP587/AP6</f>
        <v>1.1765098398777096E-2</v>
      </c>
      <c r="AQ13" s="120">
        <f>Model!AQ587/AQ6</f>
        <v>1.144114592103585E-2</v>
      </c>
      <c r="AR13" s="120">
        <f>Model!AR587/AR6</f>
        <v>1.178723180989546E-2</v>
      </c>
      <c r="AS13" s="120">
        <f>Model!AS587/AS6</f>
        <v>1.1417855616989122E-2</v>
      </c>
    </row>
    <row r="14" spans="1:49" s="2" customFormat="1">
      <c r="A14" s="2" t="s">
        <v>591</v>
      </c>
      <c r="C14" s="1107"/>
      <c r="D14" s="1107"/>
      <c r="E14" s="1107"/>
      <c r="F14" s="1107"/>
      <c r="G14" s="1107"/>
      <c r="H14" s="1107"/>
      <c r="I14" s="1107"/>
      <c r="J14" s="1107"/>
      <c r="K14" s="1107"/>
      <c r="L14" s="1107"/>
      <c r="M14" s="1107"/>
      <c r="N14" s="1107"/>
      <c r="O14" s="1107"/>
      <c r="P14" s="1107"/>
      <c r="Q14" s="1107"/>
      <c r="R14" s="1107">
        <f>Model!R21</f>
        <v>5052</v>
      </c>
      <c r="S14" s="1107">
        <f>Model!S21</f>
        <v>6791</v>
      </c>
      <c r="T14" s="1107">
        <f>Model!T21</f>
        <v>5181</v>
      </c>
      <c r="U14" s="1107">
        <f>Model!U21</f>
        <v>5405</v>
      </c>
      <c r="V14" s="1107">
        <f>Model!V21</f>
        <v>5106</v>
      </c>
      <c r="W14" s="1107">
        <f>Model!W21</f>
        <v>5248</v>
      </c>
      <c r="X14" s="1107">
        <f>Model!X21</f>
        <v>5023</v>
      </c>
      <c r="Y14" s="1107">
        <f>Model!Y21</f>
        <v>10518</v>
      </c>
      <c r="Z14" s="1107">
        <f>Model!Z21</f>
        <v>4972</v>
      </c>
      <c r="AA14" s="1107">
        <f>Model!AA21</f>
        <v>4937</v>
      </c>
      <c r="AB14" s="1107">
        <f>Model!AB21</f>
        <v>5119</v>
      </c>
      <c r="AC14" s="1107">
        <f>Model!AC21</f>
        <v>7309</v>
      </c>
      <c r="AD14" s="1107">
        <f>Model!AD21</f>
        <v>4811</v>
      </c>
      <c r="AE14" s="1107">
        <f>Model!AE21</f>
        <v>4541</v>
      </c>
      <c r="AF14" s="1119">
        <f>Model!AF21</f>
        <v>4540</v>
      </c>
      <c r="AG14" s="848">
        <f>Model!AG21</f>
        <v>4836.4549550102074</v>
      </c>
      <c r="AH14" s="848">
        <f>Model!AH21</f>
        <v>4738.6342651773302</v>
      </c>
      <c r="AI14" s="848">
        <f>Model!AI21</f>
        <v>4688.7730959068394</v>
      </c>
      <c r="AJ14" s="848">
        <f>Model!AJ21</f>
        <v>4445.9465969781322</v>
      </c>
      <c r="AK14" s="848">
        <f>Model!AK21</f>
        <v>4480.5786867814368</v>
      </c>
      <c r="AL14" s="848">
        <f>Model!AL21</f>
        <v>4448.965246288406</v>
      </c>
      <c r="AM14" s="848">
        <f>Model!AM21</f>
        <v>4532.6146799542557</v>
      </c>
      <c r="AN14" s="848">
        <f>Model!AN21</f>
        <v>4370.6828770053162</v>
      </c>
      <c r="AO14" s="848">
        <f>Model!AO21</f>
        <v>4425.4817668997484</v>
      </c>
      <c r="AP14" s="848">
        <f>Model!AP21</f>
        <v>4399.5947338020178</v>
      </c>
      <c r="AQ14" s="848">
        <f>Model!AQ21</f>
        <v>4489.4950676688586</v>
      </c>
      <c r="AR14" s="848">
        <f>Model!AR21</f>
        <v>4357.9019436011395</v>
      </c>
      <c r="AS14" s="848">
        <f>Model!AS21</f>
        <v>4462.1224443336196</v>
      </c>
    </row>
    <row r="15" spans="1:49">
      <c r="A15" s="851" t="s">
        <v>433</v>
      </c>
      <c r="C15" s="133"/>
      <c r="D15" s="133"/>
      <c r="E15" s="133"/>
      <c r="F15" s="133"/>
      <c r="G15" s="133"/>
      <c r="H15" s="133"/>
      <c r="I15" s="133"/>
      <c r="J15" s="133"/>
      <c r="K15" s="133"/>
      <c r="L15" s="133"/>
      <c r="M15" s="133"/>
      <c r="N15" s="133"/>
      <c r="O15" s="133"/>
      <c r="P15" s="133"/>
      <c r="Q15" s="133"/>
      <c r="R15" s="133">
        <f>Model!R206/R14</f>
        <v>0.18151227236737927</v>
      </c>
      <c r="S15" s="133">
        <f>Model!S206/S14</f>
        <v>0.13944927109409513</v>
      </c>
      <c r="T15" s="133">
        <f>Model!T206/T14</f>
        <v>0.17718587145338738</v>
      </c>
      <c r="U15" s="133">
        <f>Model!U206/U14</f>
        <v>0.18723404255319148</v>
      </c>
      <c r="V15" s="133">
        <f>Model!V206/V14</f>
        <v>0.18292205248726986</v>
      </c>
      <c r="W15" s="133">
        <f>Model!W206/W14</f>
        <v>0.18311737804878048</v>
      </c>
      <c r="X15" s="133">
        <f>Model!X206/X14</f>
        <v>0.18415289667529364</v>
      </c>
      <c r="Y15" s="133">
        <f>Model!Y206/Y14</f>
        <v>0.1034417189579768</v>
      </c>
      <c r="Z15" s="133">
        <f>Model!Z206/Z14</f>
        <v>0.18463395012067579</v>
      </c>
      <c r="AA15" s="133">
        <f>Model!AA206/AA14</f>
        <v>0.17723313753291473</v>
      </c>
      <c r="AB15" s="133">
        <f>Model!AB206/AB14</f>
        <v>0.17171322523930455</v>
      </c>
      <c r="AC15" s="133">
        <f>Model!AC206/AC14</f>
        <v>0.13449172253386235</v>
      </c>
      <c r="AD15" s="133">
        <f>Model!AD206/AD14</f>
        <v>0.19538557472458948</v>
      </c>
      <c r="AE15" s="133">
        <f>Model!AE206/AE14</f>
        <v>0.19092710856639505</v>
      </c>
      <c r="AF15" s="1118">
        <f>Model!AF206/AF14</f>
        <v>0.19361233480176213</v>
      </c>
      <c r="AG15" s="120">
        <f>Model!AG206/AG14</f>
        <v>0.18099480821997077</v>
      </c>
      <c r="AH15" s="120">
        <f>Model!AH206/AH14</f>
        <v>0.18424467233932754</v>
      </c>
      <c r="AI15" s="120">
        <f>Model!AI206/AI14</f>
        <v>0.17239680829245466</v>
      </c>
      <c r="AJ15" s="120">
        <f>Model!AJ206/AJ14</f>
        <v>0.18862254574409232</v>
      </c>
      <c r="AK15" s="120">
        <f>Model!AK206/AK14</f>
        <v>0.19092252248343658</v>
      </c>
      <c r="AL15" s="120">
        <f>Model!AL206/AL14</f>
        <v>0.19374090655467519</v>
      </c>
      <c r="AM15" s="120">
        <f>Model!AM206/AM14</f>
        <v>0.19763883620921774</v>
      </c>
      <c r="AN15" s="120">
        <f>Model!AN206/AN14</f>
        <v>0.19666076926686238</v>
      </c>
      <c r="AO15" s="120">
        <f>Model!AO206/AO14</f>
        <v>0.19806139837758743</v>
      </c>
      <c r="AP15" s="120">
        <f>Model!AP206/AP14</f>
        <v>0.20070428160704093</v>
      </c>
      <c r="AQ15" s="120">
        <f>Model!AQ206/AQ14</f>
        <v>0.20430066375908185</v>
      </c>
      <c r="AR15" s="120">
        <f>Model!AR206/AR14</f>
        <v>0.20202847581525893</v>
      </c>
      <c r="AS15" s="120">
        <f>Model!AS206/AS14</f>
        <v>0.20113933380498261</v>
      </c>
    </row>
    <row r="16" spans="1:49">
      <c r="A16" s="851" t="s">
        <v>437</v>
      </c>
      <c r="C16" s="133"/>
      <c r="D16" s="133"/>
      <c r="E16" s="133"/>
      <c r="F16" s="133"/>
      <c r="G16" s="133"/>
      <c r="H16" s="133"/>
      <c r="I16" s="133"/>
      <c r="J16" s="133"/>
      <c r="K16" s="133"/>
      <c r="L16" s="133"/>
      <c r="M16" s="133"/>
      <c r="N16" s="133"/>
      <c r="O16" s="133"/>
      <c r="P16" s="133"/>
      <c r="Q16" s="133"/>
      <c r="R16" s="133">
        <f>Model!R294/R14</f>
        <v>0.18052256532066507</v>
      </c>
      <c r="S16" s="133">
        <f>Model!S294/S14</f>
        <v>0.13282285377705788</v>
      </c>
      <c r="T16" s="133">
        <f>Model!T294/T14</f>
        <v>0.17332561281605868</v>
      </c>
      <c r="U16" s="133">
        <f>Model!U294/U14</f>
        <v>0.17724329324699353</v>
      </c>
      <c r="V16" s="133">
        <f>Model!V294/V14</f>
        <v>0.16470818644731688</v>
      </c>
      <c r="W16" s="133">
        <f>Model!W294/W14</f>
        <v>0.17035060975609756</v>
      </c>
      <c r="X16" s="133">
        <f>Model!X294/X14</f>
        <v>0.17618952817041608</v>
      </c>
      <c r="Y16" s="133">
        <f>Model!Y294/Y14</f>
        <v>0.11447043164099639</v>
      </c>
      <c r="Z16" s="133">
        <f>Model!Z294/Z14</f>
        <v>0.17598551890587288</v>
      </c>
      <c r="AA16" s="133">
        <f>Model!AA294/AA14</f>
        <v>0.17905610694753898</v>
      </c>
      <c r="AB16" s="133">
        <f>Model!AB294/AB14</f>
        <v>0.16331314709904279</v>
      </c>
      <c r="AC16" s="133">
        <f>Model!AC294/AC14</f>
        <v>0.13169503352031742</v>
      </c>
      <c r="AD16" s="133">
        <f>Model!AD294/AD14</f>
        <v>0.19288297651215963</v>
      </c>
      <c r="AE16" s="133">
        <f>Model!AE294/AE14</f>
        <v>0.19623871393966086</v>
      </c>
      <c r="AF16" s="1118">
        <f>Model!AF294/AF14</f>
        <v>0.19902907488986785</v>
      </c>
      <c r="AG16" s="120">
        <f>Model!AG294/AG14</f>
        <v>0.20867271674984769</v>
      </c>
      <c r="AH16" s="120">
        <f>Model!AH294/AH14</f>
        <v>0.20035034881931221</v>
      </c>
      <c r="AI16" s="120">
        <f>Model!AI294/AI14</f>
        <v>0.21465110960197772</v>
      </c>
      <c r="AJ16" s="120">
        <f>Model!AJ294/AJ14</f>
        <v>0.20935465709393178</v>
      </c>
      <c r="AK16" s="120">
        <f>Model!AK294/AK14</f>
        <v>0.23029181389546632</v>
      </c>
      <c r="AL16" s="120">
        <f>Model!AL294/AL14</f>
        <v>0.21820769645815974</v>
      </c>
      <c r="AM16" s="120">
        <f>Model!AM294/AM14</f>
        <v>0.2271070962390262</v>
      </c>
      <c r="AN16" s="120">
        <f>Model!AN294/AN14</f>
        <v>0.21779852393747104</v>
      </c>
      <c r="AO16" s="120">
        <f>Model!AO294/AO14</f>
        <v>0.23843154306095832</v>
      </c>
      <c r="AP16" s="120">
        <f>Model!AP294/AP14</f>
        <v>0.22566734812876343</v>
      </c>
      <c r="AQ16" s="120">
        <f>Model!AQ294/AQ14</f>
        <v>0.23453505954872472</v>
      </c>
      <c r="AR16" s="120">
        <f>Model!AR294/AR14</f>
        <v>0.22340216722486742</v>
      </c>
      <c r="AS16" s="120">
        <f>Model!AS294/AS14</f>
        <v>0.24180638570057295</v>
      </c>
    </row>
    <row r="17" spans="1:45">
      <c r="A17" s="851" t="s">
        <v>438</v>
      </c>
      <c r="C17" s="133"/>
      <c r="D17" s="133"/>
      <c r="E17" s="133"/>
      <c r="F17" s="133"/>
      <c r="G17" s="133"/>
      <c r="H17" s="133"/>
      <c r="I17" s="133"/>
      <c r="J17" s="133"/>
      <c r="K17" s="133"/>
      <c r="L17" s="133"/>
      <c r="M17" s="133"/>
      <c r="N17" s="133"/>
      <c r="O17" s="133"/>
      <c r="P17" s="133"/>
      <c r="Q17" s="133"/>
      <c r="R17" s="133">
        <f>Model!R403/R14</f>
        <v>0.11421219319081552</v>
      </c>
      <c r="S17" s="133">
        <f>Model!S403/S14</f>
        <v>8.3787365630982186E-2</v>
      </c>
      <c r="T17" s="133">
        <f>Model!T403/T14</f>
        <v>0.12352827639451844</v>
      </c>
      <c r="U17" s="133">
        <f>Model!U403/U14</f>
        <v>0.11267345050878816</v>
      </c>
      <c r="V17" s="133">
        <f>Model!V403/V14</f>
        <v>0.12260086173129651</v>
      </c>
      <c r="W17" s="133">
        <f>Model!W403/W14</f>
        <v>0.12614329268292682</v>
      </c>
      <c r="X17" s="133">
        <f>Model!X403/X14</f>
        <v>0.13915986462273541</v>
      </c>
      <c r="Y17" s="133">
        <f>Model!Y403/Y14</f>
        <v>0.13690815744438106</v>
      </c>
      <c r="Z17" s="133">
        <f>Model!Z403/Z14</f>
        <v>0.13374899436846341</v>
      </c>
      <c r="AA17" s="133">
        <f>Model!AA403/AA14</f>
        <v>0.14219161434069272</v>
      </c>
      <c r="AB17" s="133">
        <f>Model!AB403/AB14</f>
        <v>0.14280132838445009</v>
      </c>
      <c r="AC17" s="133">
        <f>Model!AC403/AC14</f>
        <v>0.10233958133807634</v>
      </c>
      <c r="AD17" s="133">
        <f>Model!AD403/AD14</f>
        <v>0.15173560590313864</v>
      </c>
      <c r="AE17" s="133">
        <f>Model!AE403/AE14</f>
        <v>0.14556265139837041</v>
      </c>
      <c r="AF17" s="1118">
        <f>Model!AF403/AF14</f>
        <v>0.14691629955947136</v>
      </c>
      <c r="AG17" s="120">
        <f>Model!AG403/AG14</f>
        <v>0.14274754643069454</v>
      </c>
      <c r="AH17" s="120">
        <f>Model!AH403/AH14</f>
        <v>0.15438616737926752</v>
      </c>
      <c r="AI17" s="120">
        <f>Model!AI403/AI14</f>
        <v>0.15844916000024487</v>
      </c>
      <c r="AJ17" s="120">
        <f>Model!AJ403/AJ14</f>
        <v>0.16742118305642609</v>
      </c>
      <c r="AK17" s="120">
        <f>Model!AK403/AK14</f>
        <v>0.16578618106059623</v>
      </c>
      <c r="AL17" s="120">
        <f>Model!AL403/AL14</f>
        <v>0.17727754692421371</v>
      </c>
      <c r="AM17" s="120">
        <f>Model!AM403/AM14</f>
        <v>0.17702572222590962</v>
      </c>
      <c r="AN17" s="120">
        <f>Model!AN403/AN14</f>
        <v>0.18427604927411556</v>
      </c>
      <c r="AO17" s="120">
        <f>Model!AO403/AO14</f>
        <v>0.18197945052979597</v>
      </c>
      <c r="AP17" s="120">
        <f>Model!AP403/AP14</f>
        <v>0.19467258271955371</v>
      </c>
      <c r="AQ17" s="120">
        <f>Model!AQ403/AQ14</f>
        <v>0.19442370672722625</v>
      </c>
      <c r="AR17" s="120">
        <f>Model!AR403/AR14</f>
        <v>0.20142665123772385</v>
      </c>
      <c r="AS17" s="120">
        <f>Model!AS403/AS14</f>
        <v>0.19709964554528581</v>
      </c>
    </row>
    <row r="18" spans="1:45">
      <c r="A18" s="851" t="s">
        <v>593</v>
      </c>
      <c r="C18" s="133"/>
      <c r="D18" s="133"/>
      <c r="E18" s="133"/>
      <c r="F18" s="133"/>
      <c r="G18" s="133"/>
      <c r="H18" s="133"/>
      <c r="I18" s="133"/>
      <c r="J18" s="133"/>
      <c r="K18" s="133"/>
      <c r="L18" s="133"/>
      <c r="M18" s="133"/>
      <c r="N18" s="133"/>
      <c r="O18" s="133"/>
      <c r="P18" s="133"/>
      <c r="Q18" s="133"/>
      <c r="R18" s="133">
        <f>Model!R481/R14</f>
        <v>0.27889944576405384</v>
      </c>
      <c r="S18" s="133">
        <f>Model!S481/S14</f>
        <v>0.20011780297452511</v>
      </c>
      <c r="T18" s="133">
        <f>Model!T481/T14</f>
        <v>0.2615325226790195</v>
      </c>
      <c r="U18" s="133">
        <f>Model!U481/U14</f>
        <v>0.23718778908418131</v>
      </c>
      <c r="V18" s="133">
        <f>Model!V481/V14</f>
        <v>0.27810419114766943</v>
      </c>
      <c r="W18" s="133">
        <f>Model!W481/W14</f>
        <v>0.29325457317073172</v>
      </c>
      <c r="X18" s="133">
        <f>Model!X481/X14</f>
        <v>0.25920764483376468</v>
      </c>
      <c r="Y18" s="133">
        <f>Model!Y481/Y14</f>
        <v>0.42650694048298154</v>
      </c>
      <c r="Z18" s="133">
        <f>Model!Z481/Z14</f>
        <v>0.28559935639581657</v>
      </c>
      <c r="AA18" s="133">
        <f>Model!AA481/AA14</f>
        <v>0.30241037067044763</v>
      </c>
      <c r="AB18" s="133">
        <f>Model!AB481/AB14</f>
        <v>0.24907208439148271</v>
      </c>
      <c r="AC18" s="133">
        <f>Model!AC481/AC14</f>
        <v>0.17293747434669585</v>
      </c>
      <c r="AD18" s="133">
        <f>Model!AD481/AD14</f>
        <v>0.26751195177717729</v>
      </c>
      <c r="AE18" s="133">
        <f>Model!AE481/AE14</f>
        <v>0.27482933274609117</v>
      </c>
      <c r="AF18" s="1124">
        <f>Model!AF481/AF14</f>
        <v>0.26101321585903081</v>
      </c>
      <c r="AG18" s="120">
        <f>Model!AG481/AG14</f>
        <v>0.27102483162362001</v>
      </c>
      <c r="AH18" s="120">
        <f>Model!AH481/AH14</f>
        <v>0.25269697931935625</v>
      </c>
      <c r="AI18" s="120">
        <f>Model!AI481/AI14</f>
        <v>0.25025248477024792</v>
      </c>
      <c r="AJ18" s="120">
        <f>Model!AJ481/AJ14</f>
        <v>0.25861740320567117</v>
      </c>
      <c r="AK18" s="120">
        <f>Model!AK481/AK14</f>
        <v>0.25146193518658772</v>
      </c>
      <c r="AL18" s="120">
        <f>Model!AL481/AL14</f>
        <v>0.24815996696245035</v>
      </c>
      <c r="AM18" s="120">
        <f>Model!AM481/AM14</f>
        <v>0.23868564942348341</v>
      </c>
      <c r="AN18" s="120">
        <f>Model!AN481/AN14</f>
        <v>0.2425549749525126</v>
      </c>
      <c r="AO18" s="120">
        <f>Model!AO481/AO14</f>
        <v>0.23473794660499522</v>
      </c>
      <c r="AP18" s="120">
        <f>Model!AP481/AP14</f>
        <v>0.23137453406337471</v>
      </c>
      <c r="AQ18" s="120">
        <f>Model!AQ481/AQ14</f>
        <v>0.2221851892269209</v>
      </c>
      <c r="AR18" s="120">
        <f>Model!AR481/AR14</f>
        <v>0.22429496475471203</v>
      </c>
      <c r="AS18" s="120">
        <f>Model!AS481/AS14</f>
        <v>0.21465443620931313</v>
      </c>
    </row>
    <row r="19" spans="1:45">
      <c r="A19" s="851" t="s">
        <v>594</v>
      </c>
      <c r="C19" s="133"/>
      <c r="D19" s="133"/>
      <c r="E19" s="133"/>
      <c r="F19" s="133"/>
      <c r="G19" s="133"/>
      <c r="H19" s="133"/>
      <c r="I19" s="133"/>
      <c r="J19" s="133"/>
      <c r="K19" s="133"/>
      <c r="L19" s="133"/>
      <c r="M19" s="133"/>
      <c r="N19" s="133"/>
      <c r="O19" s="133"/>
      <c r="P19" s="133"/>
      <c r="Q19" s="133"/>
      <c r="R19" s="133">
        <f>Model!R521/R14</f>
        <v>7.9770387965162309E-2</v>
      </c>
      <c r="S19" s="133">
        <f>Model!S521/S14</f>
        <v>6.3908113679870412E-2</v>
      </c>
      <c r="T19" s="133">
        <f>Model!T521/T14</f>
        <v>7.6626133950974715E-2</v>
      </c>
      <c r="U19" s="133">
        <f>Model!U521/U14</f>
        <v>6.7530064754856609E-2</v>
      </c>
      <c r="V19" s="133">
        <f>Model!V521/V14</f>
        <v>8.7348217783000393E-2</v>
      </c>
      <c r="W19" s="133">
        <f>Model!W521/W14</f>
        <v>8.0602134146341459E-2</v>
      </c>
      <c r="X19" s="133">
        <f>Model!X521/X14</f>
        <v>6.6693211228349591E-2</v>
      </c>
      <c r="Y19" s="133">
        <f>Model!Y521/Y14</f>
        <v>8.5282373074729037E-2</v>
      </c>
      <c r="Z19" s="133">
        <f>Model!Z521/Z14</f>
        <v>8.4674175382139991E-2</v>
      </c>
      <c r="AA19" s="133">
        <f>Model!AA521/AA14</f>
        <v>8.2641280129633385E-2</v>
      </c>
      <c r="AB19" s="133">
        <f>Model!AB521/AB14</f>
        <v>8.5368235983590543E-2</v>
      </c>
      <c r="AC19" s="133">
        <f>Model!AC521/AC14</f>
        <v>5.8147489396634285E-2</v>
      </c>
      <c r="AD19" s="133">
        <f>Model!AD521/AD14</f>
        <v>9.3743504468925376E-2</v>
      </c>
      <c r="AE19" s="133">
        <f>Model!AE521/AE14</f>
        <v>9.249064082801145E-2</v>
      </c>
      <c r="AF19" s="1118">
        <f>Model!AF521/AF14</f>
        <v>9.0308370044052858E-2</v>
      </c>
      <c r="AG19" s="120">
        <f>Model!AG521/AG14</f>
        <v>9.1890461510645921E-2</v>
      </c>
      <c r="AH19" s="120">
        <f>Model!AH521/AH14</f>
        <v>9.3720038348793819E-2</v>
      </c>
      <c r="AI19" s="120">
        <f>Model!AI521/AI14</f>
        <v>9.4648666558159247E-2</v>
      </c>
      <c r="AJ19" s="120">
        <f>Model!AJ521/AJ14</f>
        <v>9.9746471726030767E-2</v>
      </c>
      <c r="AK19" s="120">
        <f>Model!AK521/AK14</f>
        <v>9.8904429873093544E-2</v>
      </c>
      <c r="AL19" s="120">
        <f>Model!AL521/AL14</f>
        <v>9.953570742920978E-2</v>
      </c>
      <c r="AM19" s="120">
        <f>Model!AM521/AM14</f>
        <v>9.7628628377063847E-2</v>
      </c>
      <c r="AN19" s="120">
        <f>Model!AN521/AN14</f>
        <v>0.10117303083809838</v>
      </c>
      <c r="AO19" s="120">
        <f>Model!AO521/AO14</f>
        <v>9.9848505592719128E-2</v>
      </c>
      <c r="AP19" s="120">
        <f>Model!AP521/AP14</f>
        <v>0.10036389783160324</v>
      </c>
      <c r="AQ19" s="120">
        <f>Model!AQ521/AQ14</f>
        <v>9.8283533652983104E-2</v>
      </c>
      <c r="AR19" s="120">
        <f>Model!AR521/AR14</f>
        <v>0.10117864883347044</v>
      </c>
      <c r="AS19" s="120">
        <f>Model!AS521/AS14</f>
        <v>9.8744499775528405E-2</v>
      </c>
    </row>
    <row r="20" spans="1:45">
      <c r="A20" s="851" t="s">
        <v>595</v>
      </c>
      <c r="C20" s="133"/>
      <c r="D20" s="133"/>
      <c r="E20" s="133"/>
      <c r="F20" s="133"/>
      <c r="G20" s="133"/>
      <c r="H20" s="133"/>
      <c r="I20" s="133"/>
      <c r="J20" s="133"/>
      <c r="K20" s="133"/>
      <c r="L20" s="133"/>
      <c r="M20" s="133"/>
      <c r="N20" s="133"/>
      <c r="O20" s="133"/>
      <c r="P20" s="133"/>
      <c r="Q20" s="133"/>
      <c r="R20" s="133">
        <f>Model!R554/R14</f>
        <v>0.12965162311955661</v>
      </c>
      <c r="S20" s="133">
        <f>Model!S554/S14</f>
        <v>0.34825504343984687</v>
      </c>
      <c r="T20" s="133">
        <f>Model!T554/T14</f>
        <v>0.16251688863153832</v>
      </c>
      <c r="U20" s="133">
        <f>Model!U554/U14</f>
        <v>0.19426456984273821</v>
      </c>
      <c r="V20" s="133">
        <f>Model!V554/V14</f>
        <v>0.12064238151194673</v>
      </c>
      <c r="W20" s="133">
        <f>Model!W554/W14</f>
        <v>0.12347560975609756</v>
      </c>
      <c r="X20" s="133">
        <f>Model!X554/X14</f>
        <v>0.13259008560621144</v>
      </c>
      <c r="Y20" s="133">
        <f>Model!Y554/Y14</f>
        <v>0.10420231983266781</v>
      </c>
      <c r="Z20" s="133">
        <f>Model!Z554/Z14</f>
        <v>0.12007240547063557</v>
      </c>
      <c r="AA20" s="133">
        <f>Model!AA554/AA14</f>
        <v>8.7705084059145233E-2</v>
      </c>
      <c r="AB20" s="133">
        <f>Model!AB554/AB14</f>
        <v>0.13322914631764016</v>
      </c>
      <c r="AC20" s="133">
        <f>Model!AC554/AC14</f>
        <v>0.36461896292242441</v>
      </c>
      <c r="AD20" s="133">
        <f>Model!AD554/AD14</f>
        <v>6.4227811265849102E-2</v>
      </c>
      <c r="AE20" s="133">
        <f>Model!AE554/AE14</f>
        <v>6.077956397269324E-2</v>
      </c>
      <c r="AF20" s="1118">
        <f>Model!AF554/AF14</f>
        <v>7.2907488986784147E-2</v>
      </c>
      <c r="AG20" s="120">
        <f>Model!AG554/AG14</f>
        <v>7.0760501290383207E-2</v>
      </c>
      <c r="AH20" s="120">
        <f>Model!AH554/AH14</f>
        <v>7.9992665757794554E-2</v>
      </c>
      <c r="AI20" s="120">
        <f>Model!AI554/AI14</f>
        <v>7.4624603691741995E-2</v>
      </c>
      <c r="AJ20" s="120">
        <f>Model!AJ554/AJ14</f>
        <v>3.9350206581470447E-2</v>
      </c>
      <c r="AK20" s="120">
        <f>Model!AK554/AK14</f>
        <v>2.6030702619940255E-2</v>
      </c>
      <c r="AL20" s="120">
        <f>Model!AL554/AL14</f>
        <v>2.6215671488589831E-2</v>
      </c>
      <c r="AM20" s="120">
        <f>Model!AM554/AM14</f>
        <v>2.5731861099215936E-2</v>
      </c>
      <c r="AN20" s="120">
        <f>Model!AN554/AN14</f>
        <v>2.0013911094042321E-2</v>
      </c>
      <c r="AO20" s="120">
        <f>Model!AO554/AO14</f>
        <v>9.8830436015915797E-3</v>
      </c>
      <c r="AP20" s="120">
        <f>Model!AP554/AP14</f>
        <v>9.9411950205973067E-3</v>
      </c>
      <c r="AQ20" s="120">
        <f>Model!AQ554/AQ14</f>
        <v>9.7421265868611433E-3</v>
      </c>
      <c r="AR20" s="120">
        <f>Model!AR554/AR14</f>
        <v>1.0036304126700158E-2</v>
      </c>
      <c r="AS20" s="120">
        <f>Model!AS554/AS14</f>
        <v>9.8018890799063552E-3</v>
      </c>
    </row>
    <row r="21" spans="1:45">
      <c r="A21" s="851" t="s">
        <v>596</v>
      </c>
      <c r="C21" s="133"/>
      <c r="D21" s="133"/>
      <c r="E21" s="133"/>
      <c r="F21" s="133"/>
      <c r="G21" s="133"/>
      <c r="H21" s="133"/>
      <c r="I21" s="133"/>
      <c r="J21" s="133"/>
      <c r="K21" s="133"/>
      <c r="L21" s="133"/>
      <c r="M21" s="133"/>
      <c r="N21" s="133"/>
      <c r="O21" s="133"/>
      <c r="P21" s="133"/>
      <c r="Q21" s="133"/>
      <c r="R21" s="133">
        <f>Model!R594/R14</f>
        <v>3.5431512272367377E-2</v>
      </c>
      <c r="S21" s="133">
        <f>Model!S594/S14</f>
        <v>3.1659549403622443E-2</v>
      </c>
      <c r="T21" s="133">
        <f>Model!T594/T14</f>
        <v>2.5284694074502991E-2</v>
      </c>
      <c r="U21" s="133">
        <f>Model!U594/U14</f>
        <v>2.3866790009250693E-2</v>
      </c>
      <c r="V21" s="133">
        <f>Model!V594/V14</f>
        <v>4.3674108891500196E-2</v>
      </c>
      <c r="W21" s="133">
        <f>Model!W594/W14</f>
        <v>2.305640243902439E-2</v>
      </c>
      <c r="X21" s="133">
        <f>Model!X594/X14</f>
        <v>4.2006768863229148E-2</v>
      </c>
      <c r="Y21" s="133">
        <f>Model!Y594/Y14</f>
        <v>2.9188058566267352E-2</v>
      </c>
      <c r="Z21" s="133">
        <f>Model!Z594/Z14</f>
        <v>1.5285599356395816E-2</v>
      </c>
      <c r="AA21" s="133">
        <f>Model!AA594/AA14</f>
        <v>2.8762406319627305E-2</v>
      </c>
      <c r="AB21" s="133">
        <f>Model!AB594/AB14</f>
        <v>5.450283258448916E-2</v>
      </c>
      <c r="AC21" s="133">
        <f>Model!AC594/AC14</f>
        <v>3.5846216992748668E-2</v>
      </c>
      <c r="AD21" s="133">
        <f>Model!AD594/AD14</f>
        <v>3.4504261068384952E-2</v>
      </c>
      <c r="AE21" s="133">
        <f>Model!AE594/AE14</f>
        <v>3.9198414446157237E-2</v>
      </c>
      <c r="AF21" s="1118">
        <f>Model!AF594/AF14</f>
        <v>3.6123348017621147E-2</v>
      </c>
      <c r="AG21" s="120">
        <f>Model!AG594/AG14</f>
        <v>3.3909134174837749E-2</v>
      </c>
      <c r="AH21" s="120">
        <f>Model!AH594/AH14</f>
        <v>3.4609128036147935E-2</v>
      </c>
      <c r="AI21" s="120">
        <f>Model!AI594/AI14</f>
        <v>3.4977167085173552E-2</v>
      </c>
      <c r="AJ21" s="120">
        <f>Model!AJ594/AJ14</f>
        <v>3.6887532592377342E-2</v>
      </c>
      <c r="AK21" s="120">
        <f>Model!AK594/AK14</f>
        <v>3.6602414880879411E-2</v>
      </c>
      <c r="AL21" s="120">
        <f>Model!AL594/AL14</f>
        <v>3.6862504182701504E-2</v>
      </c>
      <c r="AM21" s="120">
        <f>Model!AM594/AM14</f>
        <v>3.6182206426083219E-2</v>
      </c>
      <c r="AN21" s="120">
        <f>Model!AN594/AN14</f>
        <v>3.7522740636897624E-2</v>
      </c>
      <c r="AO21" s="120">
        <f>Model!AO594/AO14</f>
        <v>3.7058112232352385E-2</v>
      </c>
      <c r="AP21" s="120">
        <f>Model!AP594/AP14</f>
        <v>3.7276160629066711E-2</v>
      </c>
      <c r="AQ21" s="120">
        <f>Model!AQ594/AQ14</f>
        <v>3.652972049820203E-2</v>
      </c>
      <c r="AR21" s="120">
        <f>Model!AR594/AR14</f>
        <v>3.763278800726734E-2</v>
      </c>
      <c r="AS21" s="120">
        <f>Model!AS594/AS14</f>
        <v>3.6753809884410737E-2</v>
      </c>
    </row>
    <row r="22" spans="1:45" s="2" customFormat="1" outlineLevel="1">
      <c r="A22" s="2" t="s">
        <v>598</v>
      </c>
      <c r="C22" s="1107"/>
      <c r="D22" s="1107"/>
      <c r="E22" s="1107"/>
      <c r="F22" s="1107"/>
      <c r="G22" s="1107"/>
      <c r="H22" s="1107"/>
      <c r="I22" s="1107"/>
      <c r="J22" s="1107"/>
      <c r="K22" s="1107"/>
      <c r="L22" s="1107"/>
      <c r="M22" s="1107"/>
      <c r="N22" s="1107"/>
      <c r="O22" s="1107"/>
      <c r="P22" s="1107"/>
      <c r="Q22" s="1107"/>
      <c r="R22" s="1107">
        <f>Model!R23</f>
        <v>1743</v>
      </c>
      <c r="S22" s="1107">
        <f>Model!S23</f>
        <v>-346</v>
      </c>
      <c r="T22" s="1107">
        <f>Model!T23</f>
        <v>1338</v>
      </c>
      <c r="U22" s="1107">
        <f>Model!U23</f>
        <v>892</v>
      </c>
      <c r="V22" s="1107">
        <f>Model!V23</f>
        <v>1511</v>
      </c>
      <c r="W22" s="1107">
        <f>Model!W23</f>
        <v>1656</v>
      </c>
      <c r="X22" s="1107">
        <f>Model!X23</f>
        <v>852</v>
      </c>
      <c r="Y22" s="1107">
        <f>Model!Y23</f>
        <v>-6441</v>
      </c>
      <c r="Z22" s="1107">
        <f>Model!Z23</f>
        <v>-484</v>
      </c>
      <c r="AA22" s="1107">
        <f>Model!AA23</f>
        <v>199</v>
      </c>
      <c r="AB22" s="1107">
        <f>Model!AB23</f>
        <v>222</v>
      </c>
      <c r="AC22" s="1107">
        <f>Model!AC23</f>
        <v>-2203</v>
      </c>
      <c r="AD22" s="1107">
        <f>Model!AD23</f>
        <v>670</v>
      </c>
      <c r="AE22" s="1107">
        <f>Model!AE23</f>
        <v>582</v>
      </c>
      <c r="AF22" s="1119">
        <f>Model!AF23</f>
        <v>400</v>
      </c>
      <c r="AG22" s="848">
        <f>Model!AG23</f>
        <v>562.80464405497901</v>
      </c>
      <c r="AH22" s="848">
        <f>Model!AH23</f>
        <v>580.66928854945786</v>
      </c>
      <c r="AI22" s="848">
        <f>Model!AI23</f>
        <v>795.97235312925932</v>
      </c>
      <c r="AJ22" s="848">
        <f>Model!AJ23</f>
        <v>993.14641991460576</v>
      </c>
      <c r="AK22" s="848">
        <f>Model!AK23</f>
        <v>1165.5753089122638</v>
      </c>
      <c r="AL22" s="848">
        <f>Model!AL23</f>
        <v>1174.184424464728</v>
      </c>
      <c r="AM22" s="848">
        <f>Model!AM23</f>
        <v>1245.5792713299945</v>
      </c>
      <c r="AN22" s="848">
        <f>Model!AN23</f>
        <v>1254.5494363767816</v>
      </c>
      <c r="AO22" s="848">
        <f>Model!AO23</f>
        <v>1408.1017327987065</v>
      </c>
      <c r="AP22" s="848">
        <f>Model!AP23</f>
        <v>1415.0677115507474</v>
      </c>
      <c r="AQ22" s="848">
        <f>Model!AQ23</f>
        <v>1491.2274827120318</v>
      </c>
      <c r="AR22" s="848">
        <f>Model!AR23</f>
        <v>1445.7478969774129</v>
      </c>
      <c r="AS22" s="848">
        <f>Model!AS23</f>
        <v>1530.9019489681077</v>
      </c>
    </row>
    <row r="23" spans="1:45" outlineLevel="1">
      <c r="A23" s="851" t="s">
        <v>433</v>
      </c>
      <c r="C23" s="133"/>
      <c r="D23" s="133"/>
      <c r="E23" s="133"/>
      <c r="F23" s="133"/>
      <c r="G23" s="133"/>
      <c r="H23" s="133"/>
      <c r="I23" s="133"/>
      <c r="J23" s="133"/>
      <c r="K23" s="133"/>
      <c r="L23" s="133"/>
      <c r="M23" s="133"/>
      <c r="N23" s="133"/>
      <c r="O23" s="133"/>
      <c r="P23" s="133"/>
      <c r="Q23" s="133"/>
      <c r="R23" s="133">
        <f>Model!R207/R22</f>
        <v>0.26678141135972461</v>
      </c>
      <c r="S23" s="133">
        <f>Model!S207/S22</f>
        <v>-1.0375722543352601</v>
      </c>
      <c r="T23" s="133">
        <f>Model!T207/T22</f>
        <v>0.33333333333333331</v>
      </c>
      <c r="U23" s="133">
        <f>Model!U207/U22</f>
        <v>0.8452914798206278</v>
      </c>
      <c r="V23" s="133">
        <f>Model!V207/V22</f>
        <v>0.29318332230311051</v>
      </c>
      <c r="W23" s="133">
        <f>Model!W207/W22</f>
        <v>0.28260869565217389</v>
      </c>
      <c r="X23" s="133">
        <f>Model!X207/X22</f>
        <v>0.46948356807511737</v>
      </c>
      <c r="Y23" s="133">
        <f>Model!Y207/Y22</f>
        <v>-5.6512963825492937E-2</v>
      </c>
      <c r="Z23" s="133">
        <f>Model!Z207/Z22</f>
        <v>-0.8925619834710744</v>
      </c>
      <c r="AA23" s="133">
        <f>Model!AA207/AA22</f>
        <v>2.2763819095477387</v>
      </c>
      <c r="AB23" s="133">
        <f>Model!AB207/AB22</f>
        <v>3.4144144144144146</v>
      </c>
      <c r="AC23" s="133">
        <f>Model!AC207/AC22</f>
        <v>-0.17339990921470722</v>
      </c>
      <c r="AD23" s="133">
        <f>Model!AD207/AD22</f>
        <v>0.60298507462686568</v>
      </c>
      <c r="AE23" s="133">
        <f>Model!AE207/AE22</f>
        <v>0.86254295532646053</v>
      </c>
      <c r="AF23" s="1118">
        <f>Model!AF207/AF22</f>
        <v>1.0649999999999999</v>
      </c>
      <c r="AG23" s="120">
        <f>Model!AG207/AG22</f>
        <v>0.86405498670079073</v>
      </c>
      <c r="AH23" s="120">
        <f>Model!AH207/AH22</f>
        <v>0.86395085286114504</v>
      </c>
      <c r="AI23" s="120">
        <f>Model!AI207/AI22</f>
        <v>0.784645588561796</v>
      </c>
      <c r="AJ23" s="120">
        <f>Model!AJ207/AJ22</f>
        <v>0.5407224785809106</v>
      </c>
      <c r="AK23" s="120">
        <f>Model!AK207/AK22</f>
        <v>0.47241419492124204</v>
      </c>
      <c r="AL23" s="120">
        <f>Model!AL207/AL22</f>
        <v>0.47471259386549691</v>
      </c>
      <c r="AM23" s="120">
        <f>Model!AM207/AM22</f>
        <v>0.46781802144158341</v>
      </c>
      <c r="AN23" s="120">
        <f>Model!AN207/AN22</f>
        <v>0.44686090811068024</v>
      </c>
      <c r="AO23" s="120">
        <f>Model!AO207/AO22</f>
        <v>0.4080673086575865</v>
      </c>
      <c r="AP23" s="120">
        <f>Model!AP207/AP22</f>
        <v>0.41095520040895234</v>
      </c>
      <c r="AQ23" s="120">
        <f>Model!AQ207/AQ22</f>
        <v>0.40739984782475969</v>
      </c>
      <c r="AR23" s="120">
        <f>Model!AR207/AR22</f>
        <v>0.4044714854450181</v>
      </c>
      <c r="AS23" s="120">
        <f>Model!AS207/AS22</f>
        <v>0.3913503499073831</v>
      </c>
    </row>
    <row r="24" spans="1:45" outlineLevel="1">
      <c r="A24" s="851" t="s">
        <v>437</v>
      </c>
      <c r="C24" s="133"/>
      <c r="D24" s="133"/>
      <c r="E24" s="133"/>
      <c r="F24" s="133"/>
      <c r="G24" s="133"/>
      <c r="H24" s="133"/>
      <c r="I24" s="133"/>
      <c r="J24" s="133"/>
      <c r="K24" s="133"/>
      <c r="L24" s="133"/>
      <c r="M24" s="133"/>
      <c r="N24" s="133"/>
      <c r="O24" s="133"/>
      <c r="P24" s="133"/>
      <c r="Q24" s="133"/>
      <c r="R24" s="133">
        <f>Model!R295/R22</f>
        <v>0.15088927137119909</v>
      </c>
      <c r="S24" s="133">
        <f>Model!S295/S22</f>
        <v>-0.75433526011560692</v>
      </c>
      <c r="T24" s="133">
        <f>Model!T295/T22</f>
        <v>0.19730941704035873</v>
      </c>
      <c r="U24" s="133">
        <f>Model!U295/U22</f>
        <v>0.52914798206278024</v>
      </c>
      <c r="V24" s="133">
        <f>Model!V295/V22</f>
        <v>0.18398411647915289</v>
      </c>
      <c r="W24" s="133">
        <f>Model!W295/W22</f>
        <v>0.16425120772946861</v>
      </c>
      <c r="X24" s="133">
        <f>Model!X295/X22</f>
        <v>0.23122065727699531</v>
      </c>
      <c r="Y24" s="133">
        <f>Model!Y295/Y22</f>
        <v>3.7261294829995344E-3</v>
      </c>
      <c r="Z24" s="133">
        <f>Model!Z295/Z22</f>
        <v>-0.6198347107438017</v>
      </c>
      <c r="AA24" s="133">
        <f>Model!AA295/AA22</f>
        <v>1.2311557788944723</v>
      </c>
      <c r="AB24" s="133">
        <f>Model!AB295/AB22</f>
        <v>1.1036036036036037</v>
      </c>
      <c r="AC24" s="133">
        <f>Model!AC295/AC22</f>
        <v>-0.1499959146618248</v>
      </c>
      <c r="AD24" s="133">
        <f>Model!AD295/AD22</f>
        <v>0.43438805970149247</v>
      </c>
      <c r="AE24" s="133">
        <f>Model!AE295/AE22</f>
        <v>0.62694158075601369</v>
      </c>
      <c r="AF24" s="1118">
        <f>Model!AF295/AF22</f>
        <v>0.88852000000000009</v>
      </c>
      <c r="AG24" s="120">
        <f>Model!AG295/AG22</f>
        <v>0.69422347078847457</v>
      </c>
      <c r="AH24" s="120">
        <f>Model!AH295/AH22</f>
        <v>0.64941189906394281</v>
      </c>
      <c r="AI24" s="120">
        <f>Model!AI295/AI22</f>
        <v>0.5157208866068721</v>
      </c>
      <c r="AJ24" s="120">
        <f>Model!AJ295/AJ22</f>
        <v>0.39175350529679748</v>
      </c>
      <c r="AK24" s="120">
        <f>Model!AK295/AK22</f>
        <v>0.37980353384073956</v>
      </c>
      <c r="AL24" s="120">
        <f>Model!AL295/AL22</f>
        <v>0.36329484529601519</v>
      </c>
      <c r="AM24" s="120">
        <f>Model!AM295/AM22</f>
        <v>0.37221447406838482</v>
      </c>
      <c r="AN24" s="120">
        <f>Model!AN295/AN22</f>
        <v>0.34967897772277412</v>
      </c>
      <c r="AO24" s="120">
        <f>Model!AO295/AO22</f>
        <v>0.353829555572858</v>
      </c>
      <c r="AP24" s="120">
        <f>Model!AP295/AP22</f>
        <v>0.33879958837436336</v>
      </c>
      <c r="AQ24" s="120">
        <f>Model!AQ295/AQ22</f>
        <v>0.34893398747961857</v>
      </c>
      <c r="AR24" s="120">
        <f>Model!AR295/AR22</f>
        <v>0.34004255558396568</v>
      </c>
      <c r="AS24" s="120">
        <f>Model!AS295/AS22</f>
        <v>0.36410600980516172</v>
      </c>
    </row>
    <row r="25" spans="1:45" outlineLevel="1">
      <c r="A25" s="851" t="s">
        <v>438</v>
      </c>
      <c r="C25" s="133"/>
      <c r="D25" s="133"/>
      <c r="E25" s="133"/>
      <c r="F25" s="133"/>
      <c r="G25" s="133"/>
      <c r="H25" s="133"/>
      <c r="I25" s="133"/>
      <c r="J25" s="133"/>
      <c r="K25" s="133"/>
      <c r="L25" s="133"/>
      <c r="M25" s="133"/>
      <c r="N25" s="133"/>
      <c r="O25" s="133"/>
      <c r="P25" s="133"/>
      <c r="Q25" s="133"/>
      <c r="R25" s="133">
        <f>Model!R404/R22</f>
        <v>0.15146299483648881</v>
      </c>
      <c r="S25" s="133">
        <f>Model!S404/S22</f>
        <v>-0.48843930635838151</v>
      </c>
      <c r="T25" s="133">
        <f>Model!T404/T22</f>
        <v>0.25784753363228702</v>
      </c>
      <c r="U25" s="133">
        <f>Model!U404/U22</f>
        <v>0.1367713004484305</v>
      </c>
      <c r="V25" s="133">
        <f>Model!V404/V22</f>
        <v>0.30774321641297153</v>
      </c>
      <c r="W25" s="133">
        <f>Model!W404/W22</f>
        <v>0.22161835748792272</v>
      </c>
      <c r="X25" s="133">
        <f>Model!X404/X22</f>
        <v>0.19014084507042253</v>
      </c>
      <c r="Y25" s="133">
        <f>Model!Y404/Y22</f>
        <v>9.5792578792113031E-2</v>
      </c>
      <c r="Z25" s="133">
        <f>Model!Z404/Z22</f>
        <v>-0.54545454545454541</v>
      </c>
      <c r="AA25" s="133">
        <f>Model!AA404/AA22</f>
        <v>1.035175879396985</v>
      </c>
      <c r="AB25" s="133">
        <f>Model!AB404/AB22</f>
        <v>0.68468468468468469</v>
      </c>
      <c r="AC25" s="133">
        <f>Model!AC404/AC22</f>
        <v>-4.6754425783023149E-2</v>
      </c>
      <c r="AD25" s="133">
        <f>Model!AD404/AD22</f>
        <v>0.21940298507462686</v>
      </c>
      <c r="AE25" s="133">
        <f>Model!AE404/AE22</f>
        <v>0.32302405498281789</v>
      </c>
      <c r="AF25" s="1118">
        <f>Model!AF404/AF22</f>
        <v>0.54500000000000004</v>
      </c>
      <c r="AG25" s="120">
        <f>Model!AG404/AG22</f>
        <v>0.32275798625012936</v>
      </c>
      <c r="AH25" s="120">
        <f>Model!AH404/AH22</f>
        <v>0.33215164948068243</v>
      </c>
      <c r="AI25" s="120">
        <f>Model!AI404/AI22</f>
        <v>0.24619323004845489</v>
      </c>
      <c r="AJ25" s="120">
        <f>Model!AJ404/AJ22</f>
        <v>0.19770304791364279</v>
      </c>
      <c r="AK25" s="120">
        <f>Model!AK404/AK22</f>
        <v>0.16809888761968794</v>
      </c>
      <c r="AL25" s="120">
        <f>Model!AL404/AL22</f>
        <v>0.17751200082058483</v>
      </c>
      <c r="AM25" s="120">
        <f>Model!AM404/AM22</f>
        <v>0.17033097395510982</v>
      </c>
      <c r="AN25" s="120">
        <f>Model!AN404/AN22</f>
        <v>0.16976948957732688</v>
      </c>
      <c r="AO25" s="120">
        <f>Model!AO404/AO22</f>
        <v>0.15124361176195056</v>
      </c>
      <c r="AP25" s="120">
        <f>Model!AP404/AP22</f>
        <v>0.16034326399122861</v>
      </c>
      <c r="AQ25" s="120">
        <f>Model!AQ404/AQ22</f>
        <v>0.15514732702798351</v>
      </c>
      <c r="AR25" s="120">
        <f>Model!AR404/AR22</f>
        <v>0.16095747142115335</v>
      </c>
      <c r="AS25" s="120">
        <f>Model!AS404/AS22</f>
        <v>0.15230433763839943</v>
      </c>
    </row>
    <row r="26" spans="1:45" outlineLevel="1">
      <c r="A26" s="851" t="s">
        <v>593</v>
      </c>
      <c r="C26" s="133"/>
      <c r="D26" s="133"/>
      <c r="E26" s="133"/>
      <c r="F26" s="133"/>
      <c r="G26" s="133"/>
      <c r="H26" s="133"/>
      <c r="I26" s="133"/>
      <c r="J26" s="133"/>
      <c r="K26" s="133"/>
      <c r="L26" s="133"/>
      <c r="M26" s="133"/>
      <c r="N26" s="133"/>
      <c r="O26" s="133"/>
      <c r="P26" s="133"/>
      <c r="Q26" s="133"/>
      <c r="R26" s="133">
        <f>Model!R482/R22</f>
        <v>0.33161216293746415</v>
      </c>
      <c r="S26" s="133">
        <f>Model!S482/S22</f>
        <v>-1.7398843930635839</v>
      </c>
      <c r="T26" s="133">
        <f>Model!T482/T22</f>
        <v>0.42376681614349776</v>
      </c>
      <c r="U26" s="133">
        <f>Model!U482/U22</f>
        <v>0.29932735426008966</v>
      </c>
      <c r="V26" s="133">
        <f>Model!V482/V22</f>
        <v>0.48113831899404369</v>
      </c>
      <c r="W26" s="133">
        <f>Model!W482/W22</f>
        <v>0.2361111111111111</v>
      </c>
      <c r="X26" s="133">
        <f>Model!X482/X22</f>
        <v>0.30868544600938969</v>
      </c>
      <c r="Y26" s="133">
        <f>Model!Y482/Y22</f>
        <v>0.51420586865393569</v>
      </c>
      <c r="Z26" s="133">
        <f>Model!Z482/Z22</f>
        <v>0.40909090909090912</v>
      </c>
      <c r="AA26" s="133">
        <f>Model!AA482/AA22</f>
        <v>0.77386934673366836</v>
      </c>
      <c r="AB26" s="133">
        <f>Model!AB482/AB22</f>
        <v>0.39189189189189189</v>
      </c>
      <c r="AC26" s="133">
        <f>Model!AC482/AC22</f>
        <v>-2.2696323195642307E-3</v>
      </c>
      <c r="AD26" s="133">
        <f>Model!AD482/AD22</f>
        <v>0.47313432835820896</v>
      </c>
      <c r="AE26" s="133">
        <f>Model!AE482/AE22</f>
        <v>0.44158075601374569</v>
      </c>
      <c r="AF26" s="1118">
        <f>Model!AF482/AF22</f>
        <v>0.17749999999999999</v>
      </c>
      <c r="AG26" s="120">
        <f>Model!AG482/AG22</f>
        <v>0.13550293730087917</v>
      </c>
      <c r="AH26" s="120">
        <f>Model!AH482/AH22</f>
        <v>0.29019755354678228</v>
      </c>
      <c r="AI26" s="120">
        <f>Model!AI482/AI22</f>
        <v>0.21580755508392657</v>
      </c>
      <c r="AJ26" s="120">
        <f>Model!AJ482/AJ22</f>
        <v>0.17608363302769395</v>
      </c>
      <c r="AK26" s="120">
        <f>Model!AK482/AK22</f>
        <v>0.1525544361954041</v>
      </c>
      <c r="AL26" s="120">
        <f>Model!AL482/AL22</f>
        <v>0.15380225994973892</v>
      </c>
      <c r="AM26" s="120">
        <f>Model!AM482/AM22</f>
        <v>0.14709390538838632</v>
      </c>
      <c r="AN26" s="120">
        <f>Model!AN482/AN22</f>
        <v>0.14801565699718566</v>
      </c>
      <c r="AO26" s="120">
        <f>Model!AO482/AO22</f>
        <v>0.13353026190864034</v>
      </c>
      <c r="AP26" s="120">
        <f>Model!AP482/AP22</f>
        <v>0.13442124709062622</v>
      </c>
      <c r="AQ26" s="120">
        <f>Model!AQ482/AQ22</f>
        <v>0.12893412763628434</v>
      </c>
      <c r="AR26" s="120">
        <f>Model!AR482/AR22</f>
        <v>0.13432021362337312</v>
      </c>
      <c r="AS26" s="120">
        <f>Model!AS482/AS22</f>
        <v>0.12802148874512176</v>
      </c>
    </row>
    <row r="27" spans="1:45" outlineLevel="1">
      <c r="A27" s="851" t="s">
        <v>594</v>
      </c>
      <c r="C27" s="133"/>
      <c r="D27" s="133"/>
      <c r="E27" s="133"/>
      <c r="F27" s="133"/>
      <c r="G27" s="133"/>
      <c r="H27" s="133"/>
      <c r="I27" s="133"/>
      <c r="J27" s="133"/>
      <c r="K27" s="133"/>
      <c r="L27" s="133"/>
      <c r="M27" s="133"/>
      <c r="N27" s="133"/>
      <c r="O27" s="133"/>
      <c r="P27" s="133"/>
      <c r="Q27" s="133"/>
      <c r="R27" s="133">
        <f>Model!R522/R22</f>
        <v>6.9994262765347107E-2</v>
      </c>
      <c r="S27" s="133">
        <f>Model!S522/S22</f>
        <v>-0.47398843930635837</v>
      </c>
      <c r="T27" s="133">
        <f>Model!T522/T22</f>
        <v>5.9790732436472344E-2</v>
      </c>
      <c r="U27" s="133">
        <f>Model!U522/U22</f>
        <v>0.16255605381165919</v>
      </c>
      <c r="V27" s="133">
        <f>Model!V522/V22</f>
        <v>-3.1105228325612178E-2</v>
      </c>
      <c r="W27" s="133">
        <f>Model!W522/W22</f>
        <v>8.7560386473429952E-2</v>
      </c>
      <c r="X27" s="133">
        <f>Model!X522/X22</f>
        <v>7.6291079812206578E-2</v>
      </c>
      <c r="Y27" s="133">
        <f>Model!Y522/Y22</f>
        <v>7.4056823474615743E-2</v>
      </c>
      <c r="Z27" s="133">
        <f>Model!Z522/Z22</f>
        <v>0.128099173553719</v>
      </c>
      <c r="AA27" s="133">
        <f>Model!AA522/AA22</f>
        <v>0.67839195979899503</v>
      </c>
      <c r="AB27" s="133">
        <f>Model!AB522/AB22</f>
        <v>0.17567567567567569</v>
      </c>
      <c r="AC27" s="133">
        <f>Model!AC522/AC22</f>
        <v>-6.7635043123014077E-2</v>
      </c>
      <c r="AD27" s="133">
        <f>Model!AD522/AD22</f>
        <v>0.22238805970149253</v>
      </c>
      <c r="AE27" s="133">
        <f>Model!AE522/AE22</f>
        <v>0.13402061855670103</v>
      </c>
      <c r="AF27" s="1118">
        <f>Model!AF522/AF22</f>
        <v>8.7499999999999994E-2</v>
      </c>
      <c r="AG27" s="120">
        <f>Model!AG522/AG22</f>
        <v>0.14727475396891529</v>
      </c>
      <c r="AH27" s="120">
        <f>Model!AH522/AH22</f>
        <v>0.14729028864990951</v>
      </c>
      <c r="AI27" s="120">
        <f>Model!AI522/AI22</f>
        <v>0.1107786439099448</v>
      </c>
      <c r="AJ27" s="120">
        <f>Model!AJ522/AJ22</f>
        <v>9.1463181118116757E-2</v>
      </c>
      <c r="AK27" s="120">
        <f>Model!AK522/AK22</f>
        <v>8.0222846842689613E-2</v>
      </c>
      <c r="AL27" s="120">
        <f>Model!AL522/AL22</f>
        <v>8.1916516019189756E-2</v>
      </c>
      <c r="AM27" s="120">
        <f>Model!AM522/AM22</f>
        <v>7.9380220946445784E-2</v>
      </c>
      <c r="AN27" s="120">
        <f>Model!AN522/AN22</f>
        <v>8.0964202831399393E-2</v>
      </c>
      <c r="AO27" s="120">
        <f>Model!AO522/AO22</f>
        <v>7.4059175314902748E-2</v>
      </c>
      <c r="AP27" s="120">
        <f>Model!AP522/AP22</f>
        <v>7.5616294080154065E-2</v>
      </c>
      <c r="AQ27" s="120">
        <f>Model!AQ522/AQ22</f>
        <v>7.3584754941221298E-2</v>
      </c>
      <c r="AR27" s="120">
        <f>Model!AR522/AR22</f>
        <v>7.7794472983333959E-2</v>
      </c>
      <c r="AS27" s="120">
        <f>Model!AS522/AS22</f>
        <v>7.5263462591354705E-2</v>
      </c>
    </row>
    <row r="28" spans="1:45" outlineLevel="1">
      <c r="A28" s="851" t="s">
        <v>595</v>
      </c>
      <c r="C28" s="133"/>
      <c r="D28" s="133"/>
      <c r="E28" s="133"/>
      <c r="F28" s="133"/>
      <c r="G28" s="133"/>
      <c r="H28" s="133"/>
      <c r="I28" s="133"/>
      <c r="J28" s="133"/>
      <c r="K28" s="133"/>
      <c r="L28" s="133"/>
      <c r="M28" s="133"/>
      <c r="N28" s="133"/>
      <c r="O28" s="133"/>
      <c r="P28" s="133"/>
      <c r="Q28" s="133"/>
      <c r="R28" s="133">
        <f>Model!R556/R22</f>
        <v>0.18187033849684453</v>
      </c>
      <c r="S28" s="133">
        <f>Model!S556/S22</f>
        <v>5.1647398843930636</v>
      </c>
      <c r="T28" s="133">
        <f>Model!T556/T22</f>
        <v>-0.38191330343796709</v>
      </c>
      <c r="U28" s="133">
        <f>Model!U556/U22</f>
        <v>-1.2623318385650224</v>
      </c>
      <c r="V28" s="133">
        <f>Model!V556/V22</f>
        <v>-0.20185307743216413</v>
      </c>
      <c r="W28" s="133">
        <f>Model!W556/W22</f>
        <v>-0.15096618357487923</v>
      </c>
      <c r="X28" s="133">
        <f>Model!X556/X22</f>
        <v>-0.90962441314553988</v>
      </c>
      <c r="Y28" s="133">
        <f>Model!Y556/Y22</f>
        <v>0.20524763235522434</v>
      </c>
      <c r="Z28" s="133">
        <f>Model!Z556/Z22</f>
        <v>2.5888429752066116</v>
      </c>
      <c r="AA28" s="133">
        <f>Model!AA556/AA22</f>
        <v>-3.8140703517587942</v>
      </c>
      <c r="AB28" s="133">
        <f>Model!AB556/AB22</f>
        <v>-3.8378378378378377</v>
      </c>
      <c r="AC28" s="133">
        <f>Model!AC556/AC22</f>
        <v>1.3141171130276894</v>
      </c>
      <c r="AD28" s="133">
        <f>Model!AD556/AD22</f>
        <v>-0.80447761194029854</v>
      </c>
      <c r="AE28" s="133">
        <f>Model!AE556/AE22</f>
        <v>-0.96735395189003437</v>
      </c>
      <c r="AF28" s="1118">
        <f>Model!AF556/AF22</f>
        <v>-1.4450000000000001</v>
      </c>
      <c r="AG28" s="120">
        <f>Model!AG556/AG22</f>
        <v>-0.99501666504602437</v>
      </c>
      <c r="AH28" s="120">
        <f>Model!AH556/AH22</f>
        <v>-1.1193979306598665</v>
      </c>
      <c r="AI28" s="120">
        <f>Model!AI556/AI22</f>
        <v>-0.75379502521812458</v>
      </c>
      <c r="AJ28" s="120">
        <f>Model!AJ556/AJ22</f>
        <v>-0.3020702627370847</v>
      </c>
      <c r="AK28" s="120">
        <f>Model!AK556/AK22</f>
        <v>-0.17158908435238188</v>
      </c>
      <c r="AL28" s="120">
        <f>Model!AL556/AL22</f>
        <v>-0.17033099386510209</v>
      </c>
      <c r="AM28" s="120">
        <f>Model!AM556/AM22</f>
        <v>-0.1605678615592612</v>
      </c>
      <c r="AN28" s="120">
        <f>Model!AN556/AN22</f>
        <v>-0.11956483790165298</v>
      </c>
      <c r="AO28" s="120">
        <f>Model!AO556/AO22</f>
        <v>-5.3263197007031547E-2</v>
      </c>
      <c r="AP28" s="120">
        <f>Model!AP556/AP22</f>
        <v>-5.3000997328819584E-2</v>
      </c>
      <c r="AQ28" s="120">
        <f>Model!AQ556/AQ22</f>
        <v>-5.0294137460235575E-2</v>
      </c>
      <c r="AR28" s="120">
        <f>Model!AR556/AR22</f>
        <v>-5.1876264289784223E-2</v>
      </c>
      <c r="AS28" s="120">
        <f>Model!AS556/AS22</f>
        <v>-4.8990727362097329E-2</v>
      </c>
    </row>
    <row r="29" spans="1:45" outlineLevel="1">
      <c r="A29" s="851" t="s">
        <v>596</v>
      </c>
      <c r="C29" s="133"/>
      <c r="D29" s="133"/>
      <c r="E29" s="133"/>
      <c r="F29" s="133"/>
      <c r="G29" s="133"/>
      <c r="H29" s="133"/>
      <c r="I29" s="133"/>
      <c r="J29" s="133"/>
      <c r="K29" s="133"/>
      <c r="L29" s="133"/>
      <c r="M29" s="133"/>
      <c r="N29" s="133"/>
      <c r="O29" s="133"/>
      <c r="P29" s="133"/>
      <c r="Q29" s="133"/>
      <c r="R29" s="133">
        <f>Model!R595/R22</f>
        <v>-0.15261044176706828</v>
      </c>
      <c r="S29" s="133">
        <f>Model!S595/S22</f>
        <v>0.32947976878612717</v>
      </c>
      <c r="T29" s="133">
        <f>Model!T595/T22</f>
        <v>0.10986547085201794</v>
      </c>
      <c r="U29" s="133">
        <f>Model!U595/U22</f>
        <v>0.28923766816143498</v>
      </c>
      <c r="V29" s="133">
        <f>Model!V595/V22</f>
        <v>-3.3090668431502317E-2</v>
      </c>
      <c r="W29" s="133">
        <f>Model!W595/W22</f>
        <v>0.15881642512077296</v>
      </c>
      <c r="X29" s="133">
        <f>Model!X595/X22</f>
        <v>0.63380281690140849</v>
      </c>
      <c r="Y29" s="133">
        <f>Model!Y595/Y22</f>
        <v>0.16348393106660455</v>
      </c>
      <c r="Z29" s="133">
        <f>Model!Z595/Z22</f>
        <v>-6.8181818181818177E-2</v>
      </c>
      <c r="AA29" s="133">
        <f>Model!AA595/AA22</f>
        <v>-1.1809045226130652</v>
      </c>
      <c r="AB29" s="133">
        <f>Model!AB595/AB22</f>
        <v>-0.93243243243243246</v>
      </c>
      <c r="AC29" s="133">
        <f>Model!AC595/AC22</f>
        <v>0.12619155696777123</v>
      </c>
      <c r="AD29" s="133">
        <f>Model!AD595/AD22</f>
        <v>-0.14776119402985075</v>
      </c>
      <c r="AE29" s="133">
        <f>Model!AE595/AE22</f>
        <v>-0.42096219931271478</v>
      </c>
      <c r="AF29" s="1118">
        <f>Model!AF595/AF22</f>
        <v>-0.3175</v>
      </c>
      <c r="AG29" s="120">
        <f>Model!AG595/AG22</f>
        <v>-0.16879746996316483</v>
      </c>
      <c r="AH29" s="120">
        <f>Model!AH595/AH22</f>
        <v>-0.16360431294259586</v>
      </c>
      <c r="AI29" s="120">
        <f>Model!AI595/AI22</f>
        <v>-0.11935087899286972</v>
      </c>
      <c r="AJ29" s="120">
        <f>Model!AJ595/AJ22</f>
        <v>-9.5655583200076819E-2</v>
      </c>
      <c r="AK29" s="120">
        <f>Model!AK595/AK22</f>
        <v>-8.1504815067381386E-2</v>
      </c>
      <c r="AL29" s="120">
        <f>Model!AL595/AL22</f>
        <v>-8.0907222085923491E-2</v>
      </c>
      <c r="AM29" s="120">
        <f>Model!AM595/AM22</f>
        <v>-7.6269734240649062E-2</v>
      </c>
      <c r="AN29" s="120">
        <f>Model!AN595/AN22</f>
        <v>-7.572439733771355E-2</v>
      </c>
      <c r="AO29" s="120">
        <f>Model!AO595/AO22</f>
        <v>-6.7466716208906624E-2</v>
      </c>
      <c r="AP29" s="120">
        <f>Model!AP595/AP22</f>
        <v>-6.7134596616504796E-2</v>
      </c>
      <c r="AQ29" s="120">
        <f>Model!AQ595/AQ22</f>
        <v>-6.3705907449631727E-2</v>
      </c>
      <c r="AR29" s="120">
        <f>Model!AR595/AR22</f>
        <v>-6.570993476706001E-2</v>
      </c>
      <c r="AS29" s="120">
        <f>Model!AS595/AS22</f>
        <v>-6.2054921325323281E-2</v>
      </c>
    </row>
    <row r="32" spans="1:45" s="6" customFormat="1">
      <c r="A32" s="6" t="s">
        <v>599</v>
      </c>
      <c r="C32" s="1128"/>
      <c r="D32" s="1128"/>
      <c r="E32" s="1128"/>
      <c r="F32" s="1128"/>
      <c r="G32" s="1128"/>
      <c r="H32" s="1128"/>
      <c r="I32" s="1128"/>
      <c r="J32" s="1128"/>
      <c r="K32" s="1128"/>
      <c r="L32" s="1128"/>
      <c r="M32" s="1128"/>
      <c r="N32" s="1128"/>
      <c r="O32" s="1128"/>
      <c r="P32" s="1128"/>
      <c r="Q32" s="1128"/>
      <c r="R32" s="1128">
        <f t="shared" ref="R32:AA32" si="1">R14/R6</f>
        <v>0.73978620588665989</v>
      </c>
      <c r="S32" s="1128">
        <f t="shared" si="1"/>
        <v>1.0507504254989943</v>
      </c>
      <c r="T32" s="1128">
        <f t="shared" si="1"/>
        <v>0.7876254180602007</v>
      </c>
      <c r="U32" s="1128">
        <f t="shared" si="1"/>
        <v>0.84824231010671691</v>
      </c>
      <c r="V32" s="1128">
        <f t="shared" si="1"/>
        <v>0.76816608996539792</v>
      </c>
      <c r="W32" s="1128">
        <f t="shared" si="1"/>
        <v>0.75456506110711719</v>
      </c>
      <c r="X32" s="1128">
        <f t="shared" si="1"/>
        <v>0.83926482873851294</v>
      </c>
      <c r="Y32" s="1128">
        <f t="shared" si="1"/>
        <v>2.4983372921615201</v>
      </c>
      <c r="Z32" s="1128">
        <f t="shared" si="1"/>
        <v>1.0720137990513152</v>
      </c>
      <c r="AA32" s="1128">
        <f t="shared" si="1"/>
        <v>0.96652310101801098</v>
      </c>
      <c r="AB32" s="1128">
        <f>AB14/AB6</f>
        <v>0.94866567828020754</v>
      </c>
      <c r="AC32" s="1128">
        <f>AC14/AC6</f>
        <v>1.4107315190117737</v>
      </c>
      <c r="AD32" s="1128">
        <f t="shared" ref="AD32:AS32" si="2">AD14/AD6</f>
        <v>0.86935308998915795</v>
      </c>
      <c r="AE32" s="1128">
        <f t="shared" si="2"/>
        <v>0.8724303554274736</v>
      </c>
      <c r="AF32" s="1129">
        <f t="shared" si="2"/>
        <v>0.91311343523732902</v>
      </c>
      <c r="AG32" s="1130">
        <f t="shared" si="2"/>
        <v>0.88752039501614066</v>
      </c>
      <c r="AH32" s="1130">
        <f t="shared" si="2"/>
        <v>0.88251837586684834</v>
      </c>
      <c r="AI32" s="1130">
        <f t="shared" si="2"/>
        <v>0.8471307211040231</v>
      </c>
      <c r="AJ32" s="1130">
        <f t="shared" si="2"/>
        <v>0.80993921355696774</v>
      </c>
      <c r="AK32" s="1130">
        <f t="shared" si="2"/>
        <v>0.78657759060336707</v>
      </c>
      <c r="AL32" s="1130">
        <f t="shared" si="2"/>
        <v>0.78419471394661566</v>
      </c>
      <c r="AM32" s="1130">
        <f t="shared" si="2"/>
        <v>0.77768591406961607</v>
      </c>
      <c r="AN32" s="1130">
        <f t="shared" si="2"/>
        <v>0.77011360424818576</v>
      </c>
      <c r="AO32" s="1130">
        <f t="shared" si="2"/>
        <v>0.75215641109314324</v>
      </c>
      <c r="AP32" s="1130">
        <f t="shared" si="2"/>
        <v>0.75016905736119222</v>
      </c>
      <c r="AQ32" s="1130">
        <f t="shared" si="2"/>
        <v>0.74441982870971191</v>
      </c>
      <c r="AR32" s="1130">
        <f t="shared" si="2"/>
        <v>0.74445797701479133</v>
      </c>
      <c r="AS32" s="1130">
        <f t="shared" si="2"/>
        <v>0.73837492485112821</v>
      </c>
    </row>
    <row r="33" spans="1:45" s="851" customFormat="1">
      <c r="A33" s="851" t="s">
        <v>433</v>
      </c>
      <c r="C33" s="1104"/>
      <c r="D33" s="1104"/>
      <c r="E33" s="1104"/>
      <c r="F33" s="1104"/>
      <c r="G33" s="1104"/>
      <c r="H33" s="1104"/>
      <c r="I33" s="1104"/>
      <c r="J33" s="1104"/>
      <c r="K33" s="1104"/>
      <c r="L33" s="1104"/>
      <c r="M33" s="1104"/>
      <c r="N33" s="1104"/>
      <c r="O33" s="1104"/>
      <c r="P33" s="1104"/>
      <c r="Q33" s="1104"/>
      <c r="R33" s="1104">
        <f t="shared" ref="R33:AS38" si="3">(R15*R$14)/(R7*R$6)</f>
        <v>0.65500000000000003</v>
      </c>
      <c r="S33" s="1104">
        <f t="shared" si="3"/>
        <v>0.71042760690172546</v>
      </c>
      <c r="T33" s="1104">
        <f t="shared" si="3"/>
        <v>0.66329479768786126</v>
      </c>
      <c r="U33" s="1104">
        <f t="shared" si="3"/>
        <v>0.56378830083565457</v>
      </c>
      <c r="V33" s="1104">
        <f t="shared" si="3"/>
        <v>0.66714285714285704</v>
      </c>
      <c r="W33" s="1104">
        <f t="shared" si="3"/>
        <v>0.65731874145006841</v>
      </c>
      <c r="X33" s="1104">
        <f t="shared" si="3"/>
        <v>0.67815249266862165</v>
      </c>
      <c r="Y33" s="1104">
        <f t="shared" si="3"/>
        <v>0.72775919732441474</v>
      </c>
      <c r="Z33" s="1104">
        <f t="shared" si="3"/>
        <v>0.67699115044247793</v>
      </c>
      <c r="AA33" s="1104">
        <f t="shared" si="3"/>
        <v>0.65445026178010468</v>
      </c>
      <c r="AB33" s="1104">
        <f t="shared" si="3"/>
        <v>0.52729454109178164</v>
      </c>
      <c r="AC33" s="1104">
        <f t="shared" si="3"/>
        <v>0.70264474624731943</v>
      </c>
      <c r="AD33" s="1104">
        <f t="shared" si="3"/>
        <v>0.69423929098966031</v>
      </c>
      <c r="AE33" s="1104">
        <f t="shared" si="3"/>
        <v>0.61708185053380771</v>
      </c>
      <c r="AF33" s="1124">
        <f t="shared" si="3"/>
        <v>0.66641394996209236</v>
      </c>
      <c r="AG33" s="120">
        <f t="shared" si="3"/>
        <v>0.63238027162258736</v>
      </c>
      <c r="AH33" s="120">
        <f t="shared" si="3"/>
        <v>0.62481536189069431</v>
      </c>
      <c r="AI33" s="120">
        <f t="shared" si="3"/>
        <v>0.55537366548042721</v>
      </c>
      <c r="AJ33" s="120">
        <f t="shared" si="3"/>
        <v>0.59977255496588333</v>
      </c>
      <c r="AK33" s="120">
        <f t="shared" si="3"/>
        <v>0.59877255496588322</v>
      </c>
      <c r="AL33" s="120">
        <f t="shared" si="3"/>
        <v>0.59777255496588311</v>
      </c>
      <c r="AM33" s="120">
        <f t="shared" si="3"/>
        <v>0.59677255496588322</v>
      </c>
      <c r="AN33" s="120">
        <f t="shared" si="3"/>
        <v>0.59577255496588322</v>
      </c>
      <c r="AO33" s="120">
        <f t="shared" si="3"/>
        <v>0.59477255496588333</v>
      </c>
      <c r="AP33" s="120">
        <f t="shared" si="3"/>
        <v>0.5937725549658831</v>
      </c>
      <c r="AQ33" s="120">
        <f t="shared" si="3"/>
        <v>0.59277255496588321</v>
      </c>
      <c r="AR33" s="120">
        <f t="shared" si="3"/>
        <v>0.59177255496588321</v>
      </c>
      <c r="AS33" s="120">
        <f t="shared" si="3"/>
        <v>0.59077255496588321</v>
      </c>
    </row>
    <row r="34" spans="1:45" s="851" customFormat="1">
      <c r="A34" s="851" t="s">
        <v>437</v>
      </c>
      <c r="C34" s="1104"/>
      <c r="D34" s="1104"/>
      <c r="E34" s="1104"/>
      <c r="F34" s="1104"/>
      <c r="G34" s="1104"/>
      <c r="H34" s="1104"/>
      <c r="I34" s="1104"/>
      <c r="J34" s="1104"/>
      <c r="K34" s="1104"/>
      <c r="L34" s="1104"/>
      <c r="M34" s="1104"/>
      <c r="N34" s="1104"/>
      <c r="O34" s="1104"/>
      <c r="P34" s="1104"/>
      <c r="Q34" s="1104"/>
      <c r="R34" s="1104">
        <f t="shared" ref="R34" si="4">(R16*R$14)/(R8*R$6)</f>
        <v>0.77617021276595743</v>
      </c>
      <c r="S34" s="1104">
        <f t="shared" si="3"/>
        <v>0.77424892703862669</v>
      </c>
      <c r="T34" s="1104">
        <f t="shared" si="3"/>
        <v>0.77081545064377688</v>
      </c>
      <c r="U34" s="1104">
        <f t="shared" si="3"/>
        <v>0.66666666666666663</v>
      </c>
      <c r="V34" s="1104">
        <f t="shared" si="3"/>
        <v>0.7502230151650312</v>
      </c>
      <c r="W34" s="1104">
        <f t="shared" si="3"/>
        <v>0.76738197424892707</v>
      </c>
      <c r="X34" s="1104">
        <f t="shared" si="3"/>
        <v>0.80969807868252519</v>
      </c>
      <c r="Y34" s="1104">
        <f t="shared" si="3"/>
        <v>1.0264279624893435</v>
      </c>
      <c r="Z34" s="1104">
        <f t="shared" si="3"/>
        <v>0.74595055413469735</v>
      </c>
      <c r="AA34" s="1104">
        <f t="shared" si="3"/>
        <v>0.77205240174672485</v>
      </c>
      <c r="AB34" s="1104">
        <f t="shared" si="3"/>
        <v>0.77335800185013892</v>
      </c>
      <c r="AC34" s="1104">
        <f t="shared" si="3"/>
        <v>0.7410000000000001</v>
      </c>
      <c r="AD34" s="1104">
        <f t="shared" si="3"/>
        <v>0.76</v>
      </c>
      <c r="AE34" s="1104">
        <f t="shared" si="3"/>
        <v>0.70499999999999996</v>
      </c>
      <c r="AF34" s="1118">
        <f t="shared" si="3"/>
        <v>0.71599999999999997</v>
      </c>
      <c r="AG34" s="120">
        <f t="shared" si="3"/>
        <v>0.71866288620274765</v>
      </c>
      <c r="AH34" s="120">
        <f t="shared" si="3"/>
        <v>0.71336511602936947</v>
      </c>
      <c r="AI34" s="120">
        <f t="shared" si="3"/>
        <v>0.70810639945031029</v>
      </c>
      <c r="AJ34" s="120">
        <f t="shared" si="3"/>
        <v>0.70288644857402727</v>
      </c>
      <c r="AK34" s="120">
        <f t="shared" si="3"/>
        <v>0.69770497763122885</v>
      </c>
      <c r="AL34" s="120">
        <f t="shared" si="3"/>
        <v>0.69256170295922981</v>
      </c>
      <c r="AM34" s="120">
        <f t="shared" si="3"/>
        <v>0.68745634298642266</v>
      </c>
      <c r="AN34" s="120">
        <f t="shared" si="3"/>
        <v>0.68238861821686292</v>
      </c>
      <c r="AO34" s="120">
        <f t="shared" si="3"/>
        <v>0.67735825121496629</v>
      </c>
      <c r="AP34" s="120">
        <f t="shared" si="3"/>
        <v>0.67236496659032252</v>
      </c>
      <c r="AQ34" s="120">
        <f t="shared" si="3"/>
        <v>0.66740849098261779</v>
      </c>
      <c r="AR34" s="120">
        <f t="shared" si="3"/>
        <v>0.6624885530466692</v>
      </c>
      <c r="AS34" s="120">
        <f t="shared" si="3"/>
        <v>0.65760488343757095</v>
      </c>
    </row>
    <row r="35" spans="1:45" s="851" customFormat="1">
      <c r="A35" s="851" t="s">
        <v>438</v>
      </c>
      <c r="C35" s="1104"/>
      <c r="D35" s="1104"/>
      <c r="E35" s="1104"/>
      <c r="F35" s="1104"/>
      <c r="G35" s="1104"/>
      <c r="H35" s="1104"/>
      <c r="I35" s="1104"/>
      <c r="J35" s="1104"/>
      <c r="K35" s="1104"/>
      <c r="L35" s="1104"/>
      <c r="M35" s="1104"/>
      <c r="N35" s="1104"/>
      <c r="O35" s="1104"/>
      <c r="P35" s="1104"/>
      <c r="Q35" s="1104"/>
      <c r="R35" s="1104">
        <f t="shared" si="3"/>
        <v>0.68527315914489306</v>
      </c>
      <c r="S35" s="1104">
        <f t="shared" si="3"/>
        <v>0.76684636118598382</v>
      </c>
      <c r="T35" s="1104">
        <f t="shared" si="3"/>
        <v>0.63054187192118227</v>
      </c>
      <c r="U35" s="1104">
        <f t="shared" si="3"/>
        <v>0.82744565217391308</v>
      </c>
      <c r="V35" s="1104">
        <f t="shared" si="3"/>
        <v>0.57536764705882348</v>
      </c>
      <c r="W35" s="1104">
        <f t="shared" si="3"/>
        <v>0.63653846153846139</v>
      </c>
      <c r="X35" s="1104">
        <f t="shared" si="3"/>
        <v>0.78983050847457625</v>
      </c>
      <c r="Y35" s="1104">
        <f t="shared" si="3"/>
        <v>1.7433414043583535</v>
      </c>
      <c r="Z35" s="1104">
        <f t="shared" si="3"/>
        <v>0.73318632855567822</v>
      </c>
      <c r="AA35" s="1104">
        <f t="shared" si="3"/>
        <v>0.77058177826564211</v>
      </c>
      <c r="AB35" s="1104">
        <f t="shared" si="3"/>
        <v>0.79716466739367497</v>
      </c>
      <c r="AC35" s="1104">
        <f t="shared" si="3"/>
        <v>0.86774941995359633</v>
      </c>
      <c r="AD35" s="1104">
        <f t="shared" si="3"/>
        <v>0.82860385925085134</v>
      </c>
      <c r="AE35" s="1104">
        <f t="shared" si="3"/>
        <v>0.77948113207547165</v>
      </c>
      <c r="AF35" s="1118">
        <f t="shared" si="3"/>
        <v>0.74943820224719104</v>
      </c>
      <c r="AG35" s="120">
        <f t="shared" si="3"/>
        <v>0.78590000000000004</v>
      </c>
      <c r="AH35" s="120">
        <f t="shared" si="3"/>
        <v>0.78590000000000004</v>
      </c>
      <c r="AI35" s="120">
        <f t="shared" si="3"/>
        <v>0.78590000000000004</v>
      </c>
      <c r="AJ35" s="120">
        <f t="shared" si="3"/>
        <v>0.78590000000000004</v>
      </c>
      <c r="AK35" s="120">
        <f t="shared" si="3"/>
        <v>0.78590000000000004</v>
      </c>
      <c r="AL35" s="120">
        <f t="shared" si="3"/>
        <v>0.78590000000000004</v>
      </c>
      <c r="AM35" s="120">
        <f t="shared" si="3"/>
        <v>0.78590000000000004</v>
      </c>
      <c r="AN35" s="120">
        <f t="shared" si="3"/>
        <v>0.78590000000000004</v>
      </c>
      <c r="AO35" s="120">
        <f t="shared" si="3"/>
        <v>0.78590000000000004</v>
      </c>
      <c r="AP35" s="120">
        <f t="shared" si="3"/>
        <v>0.78590000000000004</v>
      </c>
      <c r="AQ35" s="120">
        <f t="shared" si="3"/>
        <v>0.78590000000000004</v>
      </c>
      <c r="AR35" s="120">
        <f t="shared" si="3"/>
        <v>0.78590000000000004</v>
      </c>
      <c r="AS35" s="120">
        <f t="shared" si="3"/>
        <v>0.78590000000000004</v>
      </c>
    </row>
    <row r="36" spans="1:45" s="851" customFormat="1">
      <c r="A36" s="851" t="s">
        <v>593</v>
      </c>
      <c r="C36" s="1104"/>
      <c r="D36" s="1104"/>
      <c r="E36" s="1104"/>
      <c r="F36" s="1104"/>
      <c r="G36" s="1104"/>
      <c r="H36" s="1104"/>
      <c r="I36" s="1104"/>
      <c r="J36" s="1104"/>
      <c r="K36" s="1104"/>
      <c r="L36" s="1104"/>
      <c r="M36" s="1104"/>
      <c r="N36" s="1104"/>
      <c r="O36" s="1104"/>
      <c r="P36" s="1104"/>
      <c r="Q36" s="1104"/>
      <c r="R36" s="1104">
        <f t="shared" si="3"/>
        <v>0.70875251509054327</v>
      </c>
      <c r="S36" s="1104">
        <f t="shared" si="3"/>
        <v>0.69478527607361951</v>
      </c>
      <c r="T36" s="1104">
        <f t="shared" si="3"/>
        <v>0.70536179073399274</v>
      </c>
      <c r="U36" s="1104">
        <f t="shared" si="3"/>
        <v>0.82126841768097369</v>
      </c>
      <c r="V36" s="1104">
        <f t="shared" si="3"/>
        <v>0.66015806601580673</v>
      </c>
      <c r="W36" s="1104">
        <f t="shared" si="3"/>
        <v>0.7990654205607477</v>
      </c>
      <c r="X36" s="1104">
        <f t="shared" si="3"/>
        <v>0.82457251424952516</v>
      </c>
      <c r="Y36" s="1104">
        <f t="shared" si="3"/>
        <v>3.8341880341880343</v>
      </c>
      <c r="Z36" s="1104">
        <f t="shared" si="3"/>
        <v>1.1405622489959839</v>
      </c>
      <c r="AA36" s="1104">
        <f t="shared" si="3"/>
        <v>0.91595092024539881</v>
      </c>
      <c r="AB36" s="1104">
        <f t="shared" si="3"/>
        <v>0.93957258658806186</v>
      </c>
      <c r="AC36" s="1104">
        <f t="shared" si="3"/>
        <v>0.99920948616600791</v>
      </c>
      <c r="AD36" s="1104">
        <f t="shared" si="3"/>
        <v>0.79987569919204471</v>
      </c>
      <c r="AE36" s="1104">
        <f t="shared" si="3"/>
        <v>0.82267633487145686</v>
      </c>
      <c r="AF36" s="1118">
        <f t="shared" si="3"/>
        <v>0.9389857369255149</v>
      </c>
      <c r="AG36" s="120">
        <f t="shared" si="3"/>
        <v>0.94179405235937808</v>
      </c>
      <c r="AH36" s="120">
        <f t="shared" si="3"/>
        <v>0.87359806000000007</v>
      </c>
      <c r="AI36" s="120">
        <f t="shared" si="3"/>
        <v>0.86923006970000005</v>
      </c>
      <c r="AJ36" s="120">
        <f t="shared" si="3"/>
        <v>0.8648839193515</v>
      </c>
      <c r="AK36" s="120">
        <f t="shared" si="3"/>
        <v>0.86055949975474233</v>
      </c>
      <c r="AL36" s="120">
        <f t="shared" si="3"/>
        <v>0.85625670225596873</v>
      </c>
      <c r="AM36" s="120">
        <f t="shared" si="3"/>
        <v>0.85197541874468885</v>
      </c>
      <c r="AN36" s="120">
        <f t="shared" si="3"/>
        <v>0.84771554165096541</v>
      </c>
      <c r="AO36" s="120">
        <f t="shared" si="3"/>
        <v>0.84347696394271054</v>
      </c>
      <c r="AP36" s="120">
        <f t="shared" si="3"/>
        <v>0.83925957912299698</v>
      </c>
      <c r="AQ36" s="120">
        <f t="shared" si="3"/>
        <v>0.83506328122738194</v>
      </c>
      <c r="AR36" s="120">
        <f t="shared" si="3"/>
        <v>0.83088796482124505</v>
      </c>
      <c r="AS36" s="120">
        <f t="shared" si="3"/>
        <v>0.82673352499713881</v>
      </c>
    </row>
    <row r="37" spans="1:45" s="851" customFormat="1">
      <c r="A37" s="851" t="s">
        <v>594</v>
      </c>
      <c r="C37" s="1104"/>
      <c r="D37" s="1104"/>
      <c r="E37" s="1104"/>
      <c r="F37" s="1104"/>
      <c r="G37" s="1104"/>
      <c r="H37" s="1104"/>
      <c r="I37" s="1104"/>
      <c r="J37" s="1104"/>
      <c r="K37" s="1104"/>
      <c r="L37" s="1104"/>
      <c r="M37" s="1104"/>
      <c r="N37" s="1104"/>
      <c r="O37" s="1104"/>
      <c r="P37" s="1104"/>
      <c r="Q37" s="1104"/>
      <c r="R37" s="1104">
        <f t="shared" si="3"/>
        <v>0.76615969581749055</v>
      </c>
      <c r="S37" s="1104">
        <f t="shared" si="3"/>
        <v>0.72818791946308714</v>
      </c>
      <c r="T37" s="1104">
        <f t="shared" si="3"/>
        <v>0.83403361344537807</v>
      </c>
      <c r="U37" s="1104">
        <f t="shared" si="3"/>
        <v>0.71428571428571419</v>
      </c>
      <c r="V37" s="1104">
        <f t="shared" si="3"/>
        <v>1.1177944862155389</v>
      </c>
      <c r="W37" s="1104">
        <f t="shared" si="3"/>
        <v>0.74471830985915488</v>
      </c>
      <c r="X37" s="1104">
        <f t="shared" si="3"/>
        <v>0.83750000000000002</v>
      </c>
      <c r="Y37" s="1104">
        <f t="shared" si="3"/>
        <v>2.1357142857142857</v>
      </c>
      <c r="Z37" s="1104">
        <f t="shared" si="3"/>
        <v>1.0850515463917527</v>
      </c>
      <c r="AA37" s="1104">
        <f t="shared" si="3"/>
        <v>0.75138121546961323</v>
      </c>
      <c r="AB37" s="1104">
        <f t="shared" si="3"/>
        <v>0.9357601713062097</v>
      </c>
      <c r="AC37" s="1104">
        <f t="shared" si="3"/>
        <v>0.74041811846689898</v>
      </c>
      <c r="AD37" s="1104">
        <f t="shared" si="3"/>
        <v>0.74422442244224418</v>
      </c>
      <c r="AE37" s="1104">
        <f t="shared" si="3"/>
        <v>0.82191780821917804</v>
      </c>
      <c r="AF37" s="1118">
        <f t="shared" si="3"/>
        <v>0.89715536105032823</v>
      </c>
      <c r="AG37" s="120">
        <f t="shared" si="3"/>
        <v>0.8240590000000001</v>
      </c>
      <c r="AH37" s="120">
        <f t="shared" si="3"/>
        <v>0.8199387050000001</v>
      </c>
      <c r="AI37" s="120">
        <f t="shared" si="3"/>
        <v>0.81583901147500004</v>
      </c>
      <c r="AJ37" s="120">
        <f t="shared" si="3"/>
        <v>0.81175981641762507</v>
      </c>
      <c r="AK37" s="120">
        <f t="shared" si="3"/>
        <v>0.8077010173355369</v>
      </c>
      <c r="AL37" s="120">
        <f t="shared" si="3"/>
        <v>0.80366251224885921</v>
      </c>
      <c r="AM37" s="120">
        <f t="shared" si="3"/>
        <v>0.79964419968761491</v>
      </c>
      <c r="AN37" s="120">
        <f t="shared" si="3"/>
        <v>0.79564597868917686</v>
      </c>
      <c r="AO37" s="120">
        <f t="shared" si="3"/>
        <v>0.79166774879573087</v>
      </c>
      <c r="AP37" s="120">
        <f t="shared" si="3"/>
        <v>0.78770941005175232</v>
      </c>
      <c r="AQ37" s="120">
        <f t="shared" si="3"/>
        <v>0.78377086300149357</v>
      </c>
      <c r="AR37" s="120">
        <f t="shared" si="3"/>
        <v>0.77985200868648608</v>
      </c>
      <c r="AS37" s="120">
        <f t="shared" si="3"/>
        <v>0.77595274864305364</v>
      </c>
    </row>
    <row r="38" spans="1:45" s="851" customFormat="1">
      <c r="A38" s="851" t="s">
        <v>595</v>
      </c>
      <c r="C38" s="1104"/>
      <c r="D38" s="1104"/>
      <c r="E38" s="1104"/>
      <c r="F38" s="1104"/>
      <c r="G38" s="1104"/>
      <c r="H38" s="1104"/>
      <c r="I38" s="1104"/>
      <c r="J38" s="1104"/>
      <c r="K38" s="1104"/>
      <c r="L38" s="1104"/>
      <c r="M38" s="1104"/>
      <c r="N38" s="1104"/>
      <c r="O38" s="1104"/>
      <c r="P38" s="1104"/>
      <c r="Q38" s="1104"/>
      <c r="R38" s="1104">
        <f t="shared" si="3"/>
        <v>0.6649746192893401</v>
      </c>
      <c r="S38" s="1104">
        <f t="shared" si="3"/>
        <v>4.1491228070175437</v>
      </c>
      <c r="T38" s="1104">
        <f t="shared" si="3"/>
        <v>2.4911242603550297</v>
      </c>
      <c r="U38" s="1104">
        <f t="shared" si="3"/>
        <v>-19.09090909090909</v>
      </c>
      <c r="V38" s="1104">
        <f t="shared" si="3"/>
        <v>1.9555555555555555</v>
      </c>
      <c r="W38" s="1104">
        <f t="shared" si="3"/>
        <v>1.5804878048780489</v>
      </c>
      <c r="X38" s="1104">
        <f t="shared" si="3"/>
        <v>-7.5681818181818183</v>
      </c>
      <c r="Y38" s="1104">
        <f t="shared" si="3"/>
        <v>-8.6984126984126977</v>
      </c>
      <c r="Z38" s="1104">
        <f t="shared" si="3"/>
        <v>-1.1035120147874307</v>
      </c>
      <c r="AA38" s="1104">
        <f t="shared" si="3"/>
        <v>-1.1928374655647382</v>
      </c>
      <c r="AB38" s="1104">
        <f t="shared" si="3"/>
        <v>-4.1333333333333337</v>
      </c>
      <c r="AC38" s="1104">
        <f t="shared" si="3"/>
        <v>-13.193069306930694</v>
      </c>
      <c r="AD38" s="1104">
        <f t="shared" si="3"/>
        <v>-1.5000000000000002</v>
      </c>
      <c r="AE38" s="1104">
        <f t="shared" si="3"/>
        <v>-1.0072992700729928</v>
      </c>
      <c r="AF38" s="1118">
        <f t="shared" si="3"/>
        <v>-1.2980392156862743</v>
      </c>
      <c r="AG38" s="120">
        <f t="shared" si="3"/>
        <v>-1.5715201408518509</v>
      </c>
      <c r="AH38" s="120">
        <f t="shared" si="3"/>
        <v>-1.3990196078431372</v>
      </c>
      <c r="AI38" s="120">
        <f t="shared" si="3"/>
        <v>-1.3990196078431372</v>
      </c>
      <c r="AJ38" s="120">
        <f t="shared" si="3"/>
        <v>-1.3990196078431372</v>
      </c>
      <c r="AK38" s="120">
        <f t="shared" si="3"/>
        <v>-1.3990196078431372</v>
      </c>
      <c r="AL38" s="120">
        <f t="shared" si="3"/>
        <v>-1.3990196078431372</v>
      </c>
      <c r="AM38" s="120">
        <f t="shared" si="3"/>
        <v>-1.3990196078431372</v>
      </c>
      <c r="AN38" s="120">
        <f t="shared" si="3"/>
        <v>-1.3990196078431372</v>
      </c>
      <c r="AO38" s="120">
        <f t="shared" si="3"/>
        <v>-1.3990196078431372</v>
      </c>
      <c r="AP38" s="120">
        <f t="shared" si="3"/>
        <v>-1.3990196078431372</v>
      </c>
      <c r="AQ38" s="120">
        <f t="shared" si="3"/>
        <v>-1.3990196078431374</v>
      </c>
      <c r="AR38" s="120">
        <f t="shared" si="3"/>
        <v>-1.3990196078431372</v>
      </c>
      <c r="AS38" s="120">
        <f t="shared" si="3"/>
        <v>-1.3990196078431372</v>
      </c>
    </row>
    <row r="39" spans="1:45" s="851" customFormat="1">
      <c r="A39" s="851" t="s">
        <v>596</v>
      </c>
      <c r="C39" s="1104"/>
      <c r="D39" s="1104"/>
      <c r="E39" s="1104"/>
      <c r="F39" s="1104"/>
      <c r="G39" s="1104"/>
      <c r="H39" s="1104"/>
      <c r="I39" s="1104"/>
      <c r="J39" s="1104"/>
      <c r="K39" s="1104"/>
      <c r="L39" s="1104"/>
      <c r="M39" s="1104"/>
      <c r="N39" s="1104"/>
      <c r="O39" s="1104"/>
      <c r="P39" s="1104"/>
      <c r="Q39" s="1104"/>
      <c r="R39" s="1104">
        <f t="shared" ref="R39:AS39" si="5">(R21*R$14)/(R13*R$6)</f>
        <v>-2.0574712643678161</v>
      </c>
      <c r="S39" s="1104">
        <f t="shared" si="5"/>
        <v>2.1287128712871284</v>
      </c>
      <c r="T39" s="1104">
        <f t="shared" si="5"/>
        <v>0.46953405017921146</v>
      </c>
      <c r="U39" s="1104">
        <f t="shared" si="5"/>
        <v>0.33333333333333331</v>
      </c>
      <c r="V39" s="1104">
        <f t="shared" si="5"/>
        <v>1.2890173410404624</v>
      </c>
      <c r="W39" s="1104">
        <f t="shared" si="5"/>
        <v>0.31510416666666669</v>
      </c>
      <c r="X39" s="1104">
        <f t="shared" si="5"/>
        <v>0.28058510638297879</v>
      </c>
      <c r="Y39" s="1104">
        <f t="shared" si="5"/>
        <v>-0.41042780748663099</v>
      </c>
      <c r="Z39" s="1104">
        <f t="shared" si="5"/>
        <v>0.69090909090909092</v>
      </c>
      <c r="AA39" s="1104">
        <f t="shared" si="5"/>
        <v>-1.4947368421052634</v>
      </c>
      <c r="AB39" s="1104">
        <f t="shared" si="5"/>
        <v>3.875</v>
      </c>
      <c r="AC39" s="1104">
        <f t="shared" si="5"/>
        <v>-16.375000000000004</v>
      </c>
      <c r="AD39" s="1104">
        <f t="shared" si="5"/>
        <v>2.4057971014492754</v>
      </c>
      <c r="AE39" s="1104">
        <f t="shared" si="5"/>
        <v>-2.6969696969696968</v>
      </c>
      <c r="AF39" s="1118">
        <f t="shared" si="5"/>
        <v>4.4324324324324325</v>
      </c>
      <c r="AG39" s="120">
        <f t="shared" si="5"/>
        <v>2.3768115942028984</v>
      </c>
      <c r="AH39" s="120">
        <f t="shared" si="5"/>
        <v>2.3768115942028984</v>
      </c>
      <c r="AI39" s="120">
        <f t="shared" si="5"/>
        <v>2.3768115942028984</v>
      </c>
      <c r="AJ39" s="120">
        <f t="shared" si="5"/>
        <v>2.376811594202898</v>
      </c>
      <c r="AK39" s="120">
        <f t="shared" si="5"/>
        <v>2.3768115942028984</v>
      </c>
      <c r="AL39" s="120">
        <f t="shared" si="5"/>
        <v>2.3768115942028984</v>
      </c>
      <c r="AM39" s="120">
        <f t="shared" si="5"/>
        <v>2.3768115942028984</v>
      </c>
      <c r="AN39" s="120">
        <f t="shared" si="5"/>
        <v>2.3768115942028984</v>
      </c>
      <c r="AO39" s="120">
        <f t="shared" si="5"/>
        <v>2.3768115942028984</v>
      </c>
      <c r="AP39" s="120">
        <f t="shared" si="5"/>
        <v>2.3768115942028984</v>
      </c>
      <c r="AQ39" s="120">
        <f t="shared" si="5"/>
        <v>2.3768115942028984</v>
      </c>
      <c r="AR39" s="120">
        <f t="shared" si="5"/>
        <v>2.3768115942028984</v>
      </c>
      <c r="AS39" s="120">
        <f t="shared" si="5"/>
        <v>2.3768115942028984</v>
      </c>
    </row>
    <row r="42" spans="1:45">
      <c r="A42" s="2" t="s">
        <v>600</v>
      </c>
    </row>
    <row r="43" spans="1:45" s="2" customFormat="1">
      <c r="A43" s="2" t="s">
        <v>597</v>
      </c>
      <c r="C43" s="1106"/>
      <c r="D43" s="1106"/>
      <c r="E43" s="1106"/>
      <c r="F43" s="1106"/>
      <c r="G43" s="1106"/>
      <c r="H43" s="1106"/>
      <c r="I43" s="1106"/>
      <c r="J43" s="1106"/>
      <c r="K43" s="1106"/>
      <c r="L43" s="1106"/>
      <c r="M43" s="1106"/>
      <c r="N43" s="1106"/>
      <c r="O43" s="1106"/>
      <c r="P43" s="1106"/>
      <c r="Q43" s="1106"/>
      <c r="R43" s="1106">
        <f t="shared" ref="R43:AA43" si="6">R6-Q6</f>
        <v>6829</v>
      </c>
      <c r="S43" s="1106">
        <f t="shared" si="6"/>
        <v>-366</v>
      </c>
      <c r="T43" s="1106">
        <f t="shared" si="6"/>
        <v>115</v>
      </c>
      <c r="U43" s="1106">
        <f t="shared" si="6"/>
        <v>-206</v>
      </c>
      <c r="V43" s="1106">
        <f t="shared" si="6"/>
        <v>275</v>
      </c>
      <c r="W43" s="1106">
        <f t="shared" si="6"/>
        <v>308</v>
      </c>
      <c r="X43" s="1106">
        <f t="shared" si="6"/>
        <v>-970</v>
      </c>
      <c r="Y43" s="1106">
        <f t="shared" si="6"/>
        <v>-1775</v>
      </c>
      <c r="Z43" s="1106">
        <f t="shared" si="6"/>
        <v>428</v>
      </c>
      <c r="AA43" s="1106">
        <f t="shared" si="6"/>
        <v>470</v>
      </c>
      <c r="AB43" s="1106">
        <f>AB6-AA6</f>
        <v>288</v>
      </c>
      <c r="AC43" s="1106">
        <f>AC6-AB6</f>
        <v>-215</v>
      </c>
      <c r="AD43" s="1106">
        <f t="shared" ref="AD43:AS43" si="7">AD6-AC6</f>
        <v>353</v>
      </c>
      <c r="AE43" s="1106">
        <f t="shared" si="7"/>
        <v>-329</v>
      </c>
      <c r="AF43" s="1117">
        <f t="shared" si="7"/>
        <v>-233</v>
      </c>
      <c r="AG43" s="92">
        <f t="shared" si="7"/>
        <v>477.40148099047383</v>
      </c>
      <c r="AH43" s="92">
        <f t="shared" si="7"/>
        <v>-79.956045338400145</v>
      </c>
      <c r="AI43" s="92">
        <f t="shared" si="7"/>
        <v>165.44189530931089</v>
      </c>
      <c r="AJ43" s="92">
        <f t="shared" si="7"/>
        <v>-45.652432143359874</v>
      </c>
      <c r="AK43" s="92">
        <f t="shared" si="7"/>
        <v>207.06097880096422</v>
      </c>
      <c r="AL43" s="92">
        <f t="shared" si="7"/>
        <v>-23.00432494056713</v>
      </c>
      <c r="AM43" s="92">
        <f t="shared" si="7"/>
        <v>155.04428053111496</v>
      </c>
      <c r="AN43" s="92">
        <f t="shared" si="7"/>
        <v>-152.96163790215269</v>
      </c>
      <c r="AO43" s="92">
        <f t="shared" si="7"/>
        <v>208.3511863163576</v>
      </c>
      <c r="AP43" s="92">
        <f t="shared" si="7"/>
        <v>-18.921054345689299</v>
      </c>
      <c r="AQ43" s="92">
        <f t="shared" si="7"/>
        <v>166.06010502812478</v>
      </c>
      <c r="AR43" s="92">
        <f t="shared" si="7"/>
        <v>-177.07270980233716</v>
      </c>
      <c r="AS43" s="92">
        <f t="shared" si="7"/>
        <v>189.37455272317493</v>
      </c>
    </row>
    <row r="44" spans="1:45" s="851" customFormat="1">
      <c r="A44" s="851" t="s">
        <v>433</v>
      </c>
      <c r="C44" s="133"/>
      <c r="D44" s="133"/>
      <c r="E44" s="133"/>
      <c r="F44" s="133"/>
      <c r="G44" s="1108"/>
      <c r="H44" s="1108"/>
      <c r="I44" s="1108"/>
      <c r="J44" s="1108"/>
      <c r="K44" s="1108"/>
      <c r="L44" s="1108"/>
      <c r="M44" s="1108"/>
      <c r="N44" s="1108"/>
      <c r="O44" s="1108"/>
      <c r="P44" s="1108"/>
      <c r="Q44" s="1108"/>
      <c r="R44" s="1108">
        <f t="shared" ref="R44:AA44" si="8">(R7*R$6)-(Q7*Q$6)</f>
        <v>1400</v>
      </c>
      <c r="S44" s="1108">
        <f t="shared" si="8"/>
        <v>-67</v>
      </c>
      <c r="T44" s="1108">
        <f t="shared" si="8"/>
        <v>51</v>
      </c>
      <c r="U44" s="1108">
        <f t="shared" si="8"/>
        <v>411</v>
      </c>
      <c r="V44" s="1108">
        <f t="shared" si="8"/>
        <v>-395</v>
      </c>
      <c r="W44" s="1108">
        <f t="shared" si="8"/>
        <v>62</v>
      </c>
      <c r="X44" s="1108">
        <f t="shared" si="8"/>
        <v>-98</v>
      </c>
      <c r="Y44" s="1108">
        <f t="shared" si="8"/>
        <v>131</v>
      </c>
      <c r="Z44" s="1108">
        <f t="shared" si="8"/>
        <v>-139</v>
      </c>
      <c r="AA44" s="1108">
        <f t="shared" si="8"/>
        <v>-19</v>
      </c>
      <c r="AB44" s="1108">
        <f>(AB7*AB$6)-(AA7*AA$6)</f>
        <v>330</v>
      </c>
      <c r="AC44" s="1108">
        <f>(AC7*AC6)-(AB7*AB6)</f>
        <v>-268</v>
      </c>
      <c r="AD44" s="1108">
        <f t="shared" ref="AD44:AS44" si="9">(AD7*AD$6)-(AC7*AC$6)</f>
        <v>-45</v>
      </c>
      <c r="AE44" s="1108">
        <f t="shared" si="9"/>
        <v>51</v>
      </c>
      <c r="AF44" s="1121">
        <f t="shared" si="9"/>
        <v>-85.999999999999773</v>
      </c>
      <c r="AG44" s="119">
        <f t="shared" si="9"/>
        <v>65.251337886507599</v>
      </c>
      <c r="AH44" s="119">
        <f t="shared" si="9"/>
        <v>13.07044831541748</v>
      </c>
      <c r="AI44" s="119">
        <f t="shared" si="9"/>
        <v>58.147867445809879</v>
      </c>
      <c r="AJ44" s="119">
        <f t="shared" si="9"/>
        <v>-57.263352907612898</v>
      </c>
      <c r="AK44" s="119">
        <f t="shared" si="9"/>
        <v>30.45534711141795</v>
      </c>
      <c r="AL44" s="119">
        <f t="shared" si="9"/>
        <v>13.268987614575735</v>
      </c>
      <c r="AM44" s="119">
        <f t="shared" si="9"/>
        <v>59.178426732945809</v>
      </c>
      <c r="AN44" s="119">
        <f t="shared" si="9"/>
        <v>-58.374163370782753</v>
      </c>
      <c r="AO44" s="119">
        <f t="shared" si="9"/>
        <v>30.966434443492972</v>
      </c>
      <c r="AP44" s="119">
        <f t="shared" si="9"/>
        <v>13.42954373649718</v>
      </c>
      <c r="AQ44" s="119">
        <f t="shared" si="9"/>
        <v>60.185736394423429</v>
      </c>
      <c r="AR44" s="119">
        <f t="shared" si="9"/>
        <v>-59.548584909295187</v>
      </c>
      <c r="AS44" s="119">
        <f t="shared" si="9"/>
        <v>31.443262324530679</v>
      </c>
    </row>
    <row r="45" spans="1:45" s="851" customFormat="1">
      <c r="A45" s="851" t="s">
        <v>437</v>
      </c>
      <c r="C45" s="133"/>
      <c r="D45" s="133"/>
      <c r="E45" s="133"/>
      <c r="F45" s="133"/>
      <c r="G45" s="1108"/>
      <c r="H45" s="1108"/>
      <c r="I45" s="1108"/>
      <c r="J45" s="1108"/>
      <c r="K45" s="1108"/>
      <c r="L45" s="1108"/>
      <c r="M45" s="1108"/>
      <c r="N45" s="1108"/>
      <c r="O45" s="1108"/>
      <c r="P45" s="1108"/>
      <c r="Q45" s="1108"/>
      <c r="R45" s="1108">
        <f t="shared" ref="R45:AA45" si="10">(R8*R$6)-(Q8*Q$6)</f>
        <v>1175</v>
      </c>
      <c r="S45" s="1108">
        <f t="shared" si="10"/>
        <v>-10</v>
      </c>
      <c r="T45" s="1108">
        <f t="shared" si="10"/>
        <v>0</v>
      </c>
      <c r="U45" s="1108">
        <f t="shared" si="10"/>
        <v>272</v>
      </c>
      <c r="V45" s="1108">
        <f t="shared" si="10"/>
        <v>-316</v>
      </c>
      <c r="W45" s="1108">
        <f t="shared" si="10"/>
        <v>44</v>
      </c>
      <c r="X45" s="1108">
        <f t="shared" si="10"/>
        <v>-72</v>
      </c>
      <c r="Y45" s="1108">
        <f t="shared" si="10"/>
        <v>80</v>
      </c>
      <c r="Z45" s="1108">
        <f t="shared" si="10"/>
        <v>0</v>
      </c>
      <c r="AA45" s="1108">
        <f t="shared" si="10"/>
        <v>-28</v>
      </c>
      <c r="AB45" s="1108">
        <f t="shared" ref="AB45:AC50" si="11">(AB8*AB$6)-(AA8*AA$6)</f>
        <v>-64</v>
      </c>
      <c r="AC45" s="1108">
        <f t="shared" si="11"/>
        <v>217.99999999999977</v>
      </c>
      <c r="AD45" s="1108">
        <f t="shared" ref="AD45:AS45" si="12">(AD8*AD$6)-(AC8*AC$6)</f>
        <v>-77.999999999999773</v>
      </c>
      <c r="AE45" s="1108">
        <f t="shared" si="12"/>
        <v>43</v>
      </c>
      <c r="AF45" s="1121">
        <f t="shared" si="12"/>
        <v>-2</v>
      </c>
      <c r="AG45" s="119">
        <f t="shared" si="12"/>
        <v>142.32491266220586</v>
      </c>
      <c r="AH45" s="119">
        <f t="shared" si="12"/>
        <v>-73.467814911526602</v>
      </c>
      <c r="AI45" s="119">
        <f t="shared" si="12"/>
        <v>90.469342018247971</v>
      </c>
      <c r="AJ45" s="119">
        <f t="shared" si="12"/>
        <v>-97.101698835881507</v>
      </c>
      <c r="AK45" s="119">
        <f t="shared" si="12"/>
        <v>154.68199781985118</v>
      </c>
      <c r="AL45" s="119">
        <f t="shared" si="12"/>
        <v>-77.156607512746632</v>
      </c>
      <c r="AM45" s="119">
        <f t="shared" si="12"/>
        <v>95.637984873463893</v>
      </c>
      <c r="AN45" s="119">
        <f t="shared" si="12"/>
        <v>-102.39374809791752</v>
      </c>
      <c r="AO45" s="119">
        <f t="shared" si="12"/>
        <v>162.78461316212815</v>
      </c>
      <c r="AP45" s="119">
        <f t="shared" si="12"/>
        <v>-81.13322217396103</v>
      </c>
      <c r="AQ45" s="119">
        <f t="shared" si="12"/>
        <v>101.01471020770487</v>
      </c>
      <c r="AR45" s="119">
        <f t="shared" si="12"/>
        <v>-108.10339644902479</v>
      </c>
      <c r="AS45" s="119">
        <f t="shared" si="12"/>
        <v>171.19975248714195</v>
      </c>
    </row>
    <row r="46" spans="1:45" s="851" customFormat="1">
      <c r="A46" s="851" t="s">
        <v>438</v>
      </c>
      <c r="C46" s="133"/>
      <c r="D46" s="133"/>
      <c r="E46" s="133"/>
      <c r="F46" s="133"/>
      <c r="G46" s="1108"/>
      <c r="H46" s="1108"/>
      <c r="I46" s="1108"/>
      <c r="J46" s="1108"/>
      <c r="K46" s="1108"/>
      <c r="L46" s="1108"/>
      <c r="M46" s="1108"/>
      <c r="N46" s="1108"/>
      <c r="O46" s="1108"/>
      <c r="P46" s="1108"/>
      <c r="Q46" s="1108"/>
      <c r="R46" s="1108">
        <f t="shared" ref="R46:AA46" si="13">(R9*R$6)-(Q9*Q$6)</f>
        <v>842</v>
      </c>
      <c r="S46" s="1108">
        <f t="shared" si="13"/>
        <v>-100</v>
      </c>
      <c r="T46" s="1108">
        <f t="shared" si="13"/>
        <v>273</v>
      </c>
      <c r="U46" s="1108">
        <f t="shared" si="13"/>
        <v>-279</v>
      </c>
      <c r="V46" s="1108">
        <f t="shared" si="13"/>
        <v>352</v>
      </c>
      <c r="W46" s="1108">
        <f t="shared" si="13"/>
        <v>-48</v>
      </c>
      <c r="X46" s="1108">
        <f t="shared" si="13"/>
        <v>-155</v>
      </c>
      <c r="Y46" s="1108">
        <f t="shared" si="13"/>
        <v>-59</v>
      </c>
      <c r="Z46" s="1108">
        <f t="shared" si="13"/>
        <v>81</v>
      </c>
      <c r="AA46" s="1108">
        <f t="shared" si="13"/>
        <v>4</v>
      </c>
      <c r="AB46" s="1108">
        <f t="shared" si="11"/>
        <v>6</v>
      </c>
      <c r="AC46" s="1108">
        <f t="shared" si="11"/>
        <v>-55</v>
      </c>
      <c r="AD46" s="1108">
        <f t="shared" ref="AD46:AS46" si="14">(AD9*AD$6)-(AC9*AC$6)</f>
        <v>19</v>
      </c>
      <c r="AE46" s="1108">
        <f t="shared" si="14"/>
        <v>-33</v>
      </c>
      <c r="AF46" s="1121">
        <f t="shared" si="14"/>
        <v>42</v>
      </c>
      <c r="AG46" s="119">
        <f t="shared" si="14"/>
        <v>-11.526812253108346</v>
      </c>
      <c r="AH46" s="119">
        <f t="shared" si="14"/>
        <v>52.408072989588391</v>
      </c>
      <c r="AI46" s="119">
        <f t="shared" si="14"/>
        <v>14.445318317071496</v>
      </c>
      <c r="AJ46" s="119">
        <f t="shared" si="14"/>
        <v>1.7985501890626665</v>
      </c>
      <c r="AK46" s="119">
        <f t="shared" si="14"/>
        <v>-1.943771025289152</v>
      </c>
      <c r="AL46" s="119">
        <f t="shared" si="14"/>
        <v>58.383529444068017</v>
      </c>
      <c r="AM46" s="119">
        <f t="shared" si="14"/>
        <v>17.416645982406635</v>
      </c>
      <c r="AN46" s="119">
        <f t="shared" si="14"/>
        <v>3.8462729531780724</v>
      </c>
      <c r="AO46" s="119">
        <f t="shared" si="14"/>
        <v>-8.3258600989893239E-2</v>
      </c>
      <c r="AP46" s="119">
        <f t="shared" si="14"/>
        <v>65.063913320447</v>
      </c>
      <c r="AQ46" s="119">
        <f t="shared" si="14"/>
        <v>20.847184935987798</v>
      </c>
      <c r="AR46" s="119">
        <f t="shared" si="14"/>
        <v>6.2772904086609742</v>
      </c>
      <c r="AS46" s="119">
        <f t="shared" si="14"/>
        <v>2.1442387528629752</v>
      </c>
    </row>
    <row r="47" spans="1:45" s="851" customFormat="1">
      <c r="A47" s="851" t="s">
        <v>593</v>
      </c>
      <c r="C47" s="133"/>
      <c r="D47" s="133"/>
      <c r="E47" s="133"/>
      <c r="F47" s="133"/>
      <c r="G47" s="1108"/>
      <c r="H47" s="1108"/>
      <c r="I47" s="1108"/>
      <c r="J47" s="1108"/>
      <c r="K47" s="1108"/>
      <c r="L47" s="1108"/>
      <c r="M47" s="1108"/>
      <c r="N47" s="1108"/>
      <c r="O47" s="1108"/>
      <c r="P47" s="1108"/>
      <c r="Q47" s="1108"/>
      <c r="R47" s="1108">
        <f t="shared" ref="R47:AA47" si="15">(R10*R$6)-(Q10*Q$6)</f>
        <v>1988</v>
      </c>
      <c r="S47" s="1108">
        <f t="shared" si="15"/>
        <v>-31.999999999999773</v>
      </c>
      <c r="T47" s="1108">
        <f t="shared" si="15"/>
        <v>-35.000000000000227</v>
      </c>
      <c r="U47" s="1108">
        <f t="shared" si="15"/>
        <v>-360</v>
      </c>
      <c r="V47" s="1108">
        <f t="shared" si="15"/>
        <v>590</v>
      </c>
      <c r="W47" s="1108">
        <f t="shared" si="15"/>
        <v>-225</v>
      </c>
      <c r="X47" s="1108">
        <f t="shared" si="15"/>
        <v>-347.00000000000023</v>
      </c>
      <c r="Y47" s="1108">
        <f t="shared" si="15"/>
        <v>-408.99999999999977</v>
      </c>
      <c r="Z47" s="1108">
        <f t="shared" si="15"/>
        <v>75</v>
      </c>
      <c r="AA47" s="1108">
        <f t="shared" si="15"/>
        <v>385</v>
      </c>
      <c r="AB47" s="1108">
        <f t="shared" si="11"/>
        <v>-273</v>
      </c>
      <c r="AC47" s="1108">
        <f t="shared" si="11"/>
        <v>-92</v>
      </c>
      <c r="AD47" s="1108">
        <f t="shared" ref="AD47:AS47" si="16">(AD10*AD$6)-(AC10*AC$6)</f>
        <v>344</v>
      </c>
      <c r="AE47" s="1108">
        <f t="shared" si="16"/>
        <v>-92</v>
      </c>
      <c r="AF47" s="1125">
        <f t="shared" si="16"/>
        <v>-255</v>
      </c>
      <c r="AG47" s="119">
        <f t="shared" si="16"/>
        <v>129.8110722328895</v>
      </c>
      <c r="AH47" s="119">
        <f t="shared" si="16"/>
        <v>-21.113700366577405</v>
      </c>
      <c r="AI47" s="119">
        <f t="shared" si="16"/>
        <v>-20.793406648512246</v>
      </c>
      <c r="AJ47" s="119">
        <f t="shared" si="16"/>
        <v>-20.477971769213127</v>
      </c>
      <c r="AK47" s="119">
        <f t="shared" si="16"/>
        <v>-20.167322020352458</v>
      </c>
      <c r="AL47" s="119">
        <f t="shared" si="16"/>
        <v>-19.861384811754988</v>
      </c>
      <c r="AM47" s="119">
        <f t="shared" si="16"/>
        <v>-19.560088654433912</v>
      </c>
      <c r="AN47" s="119">
        <f t="shared" si="16"/>
        <v>-19.263363143886863</v>
      </c>
      <c r="AO47" s="119">
        <f t="shared" si="16"/>
        <v>-18.971138943643837</v>
      </c>
      <c r="AP47" s="119">
        <f t="shared" si="16"/>
        <v>-18.683347769065676</v>
      </c>
      <c r="AQ47" s="119">
        <f t="shared" si="16"/>
        <v>-18.399922371387447</v>
      </c>
      <c r="AR47" s="119">
        <f t="shared" si="16"/>
        <v>-18.120796522004412</v>
      </c>
      <c r="AS47" s="119">
        <f t="shared" si="16"/>
        <v>-17.845904996996296</v>
      </c>
    </row>
    <row r="48" spans="1:45" s="851" customFormat="1">
      <c r="A48" s="851" t="s">
        <v>594</v>
      </c>
      <c r="C48" s="133"/>
      <c r="D48" s="133"/>
      <c r="E48" s="133"/>
      <c r="F48" s="133"/>
      <c r="G48" s="1108"/>
      <c r="H48" s="1108"/>
      <c r="I48" s="1108"/>
      <c r="J48" s="1108"/>
      <c r="K48" s="1108"/>
      <c r="L48" s="1108"/>
      <c r="M48" s="1108"/>
      <c r="N48" s="1108"/>
      <c r="O48" s="1108"/>
      <c r="P48" s="1108"/>
      <c r="Q48" s="1108"/>
      <c r="R48" s="1108">
        <f t="shared" ref="R48:AA48" si="17">(R11*R$6)-(Q11*Q$6)</f>
        <v>526</v>
      </c>
      <c r="S48" s="1108">
        <f t="shared" si="17"/>
        <v>70</v>
      </c>
      <c r="T48" s="1108">
        <f t="shared" si="17"/>
        <v>-119.99999999999994</v>
      </c>
      <c r="U48" s="1108">
        <f t="shared" si="17"/>
        <v>34.999999999999943</v>
      </c>
      <c r="V48" s="1108">
        <f t="shared" si="17"/>
        <v>-112</v>
      </c>
      <c r="W48" s="1108">
        <f t="shared" si="17"/>
        <v>169</v>
      </c>
      <c r="X48" s="1108">
        <f t="shared" si="17"/>
        <v>-168</v>
      </c>
      <c r="Y48" s="1108">
        <f t="shared" si="17"/>
        <v>20</v>
      </c>
      <c r="Z48" s="1108">
        <f t="shared" si="17"/>
        <v>-32</v>
      </c>
      <c r="AA48" s="1108">
        <f t="shared" si="17"/>
        <v>155</v>
      </c>
      <c r="AB48" s="1108">
        <f t="shared" si="11"/>
        <v>-75.999999999999943</v>
      </c>
      <c r="AC48" s="1108">
        <f t="shared" si="11"/>
        <v>106.99999999999994</v>
      </c>
      <c r="AD48" s="1108">
        <f t="shared" ref="AD48:AS48" si="18">(AD11*AD$6)-(AC11*AC$6)</f>
        <v>32</v>
      </c>
      <c r="AE48" s="1108">
        <f t="shared" si="18"/>
        <v>-94.999999999999943</v>
      </c>
      <c r="AF48" s="1121">
        <f t="shared" si="18"/>
        <v>-54.000000000000057</v>
      </c>
      <c r="AG48" s="119">
        <f t="shared" si="18"/>
        <v>82.310993377098157</v>
      </c>
      <c r="AH48" s="119">
        <f t="shared" si="18"/>
        <v>2.320938796816904</v>
      </c>
      <c r="AI48" s="119">
        <f t="shared" si="18"/>
        <v>2.3309270169064575</v>
      </c>
      <c r="AJ48" s="119">
        <f t="shared" si="18"/>
        <v>2.3409582215592764</v>
      </c>
      <c r="AK48" s="119">
        <f t="shared" si="18"/>
        <v>2.3510325957605573</v>
      </c>
      <c r="AL48" s="119">
        <f t="shared" si="18"/>
        <v>2.3611503252916464</v>
      </c>
      <c r="AM48" s="119">
        <f t="shared" si="18"/>
        <v>2.3713115967331078</v>
      </c>
      <c r="AN48" s="119">
        <f t="shared" si="18"/>
        <v>2.3815165974688171</v>
      </c>
      <c r="AO48" s="119">
        <f t="shared" si="18"/>
        <v>2.3917655156889168</v>
      </c>
      <c r="AP48" s="119">
        <f t="shared" si="18"/>
        <v>2.4020585403934547</v>
      </c>
      <c r="AQ48" s="119">
        <f t="shared" si="18"/>
        <v>2.4123958613957939</v>
      </c>
      <c r="AR48" s="119">
        <f t="shared" si="18"/>
        <v>2.4227776693261376</v>
      </c>
      <c r="AS48" s="119">
        <f t="shared" si="18"/>
        <v>2.4332041556352806</v>
      </c>
    </row>
    <row r="49" spans="1:45" s="851" customFormat="1">
      <c r="A49" s="851" t="s">
        <v>595</v>
      </c>
      <c r="C49" s="133"/>
      <c r="D49" s="133"/>
      <c r="E49" s="133"/>
      <c r="F49" s="133"/>
      <c r="G49" s="1108"/>
      <c r="H49" s="1108"/>
      <c r="I49" s="1108"/>
      <c r="J49" s="1108"/>
      <c r="K49" s="1108"/>
      <c r="L49" s="1108"/>
      <c r="M49" s="1108"/>
      <c r="N49" s="1108"/>
      <c r="O49" s="1108"/>
      <c r="P49" s="1108"/>
      <c r="Q49" s="1108"/>
      <c r="R49" s="1108">
        <f t="shared" ref="R49:AA49" si="19">(R12*R$6)-(Q12*Q$6)</f>
        <v>985</v>
      </c>
      <c r="S49" s="1108">
        <f t="shared" si="19"/>
        <v>-415</v>
      </c>
      <c r="T49" s="1108">
        <f t="shared" si="19"/>
        <v>-232</v>
      </c>
      <c r="U49" s="1108">
        <f t="shared" si="19"/>
        <v>-393</v>
      </c>
      <c r="V49" s="1108">
        <f t="shared" si="19"/>
        <v>370</v>
      </c>
      <c r="W49" s="1108">
        <f t="shared" si="19"/>
        <v>95</v>
      </c>
      <c r="X49" s="1108">
        <f t="shared" si="19"/>
        <v>-498</v>
      </c>
      <c r="Y49" s="1108">
        <f t="shared" si="19"/>
        <v>-38</v>
      </c>
      <c r="Z49" s="1108">
        <f t="shared" si="19"/>
        <v>-415</v>
      </c>
      <c r="AA49" s="1108">
        <f t="shared" si="19"/>
        <v>178</v>
      </c>
      <c r="AB49" s="1108">
        <f>(AB12*AB$6)-(AA12*AA$6)</f>
        <v>198</v>
      </c>
      <c r="AC49" s="1108">
        <f t="shared" si="11"/>
        <v>-37</v>
      </c>
      <c r="AD49" s="1108">
        <f t="shared" ref="AD49:AS49" si="20">(AD12*AD$6)-(AC12*AC$6)</f>
        <v>-4</v>
      </c>
      <c r="AE49" s="1108">
        <f t="shared" si="20"/>
        <v>-68</v>
      </c>
      <c r="AF49" s="1121">
        <f t="shared" si="20"/>
        <v>18.999999999999972</v>
      </c>
      <c r="AG49" s="119">
        <f t="shared" si="20"/>
        <v>37.229977084880119</v>
      </c>
      <c r="AH49" s="119">
        <f t="shared" si="20"/>
        <v>-53.173990162117548</v>
      </c>
      <c r="AI49" s="119">
        <f t="shared" si="20"/>
        <v>20.841847159787505</v>
      </c>
      <c r="AJ49" s="119">
        <f t="shared" si="20"/>
        <v>125.05108295872498</v>
      </c>
      <c r="AK49" s="119">
        <f t="shared" si="20"/>
        <v>41.683694319574997</v>
      </c>
      <c r="AL49" s="119">
        <f t="shared" si="20"/>
        <v>0</v>
      </c>
      <c r="AM49" s="119">
        <f t="shared" si="20"/>
        <v>0</v>
      </c>
      <c r="AN49" s="119">
        <f t="shared" si="20"/>
        <v>20.841847159787491</v>
      </c>
      <c r="AO49" s="119">
        <f t="shared" si="20"/>
        <v>31.262770739681244</v>
      </c>
      <c r="AP49" s="119">
        <f t="shared" si="20"/>
        <v>0</v>
      </c>
      <c r="AQ49" s="119">
        <f t="shared" si="20"/>
        <v>0</v>
      </c>
      <c r="AR49" s="119">
        <f t="shared" si="20"/>
        <v>0</v>
      </c>
      <c r="AS49" s="119">
        <f t="shared" si="20"/>
        <v>0</v>
      </c>
    </row>
    <row r="50" spans="1:45" s="851" customFormat="1">
      <c r="A50" s="851" t="s">
        <v>596</v>
      </c>
      <c r="C50" s="133"/>
      <c r="D50" s="133"/>
      <c r="E50" s="133"/>
      <c r="F50" s="133"/>
      <c r="G50" s="1108"/>
      <c r="H50" s="1108"/>
      <c r="I50" s="1108"/>
      <c r="J50" s="1108"/>
      <c r="K50" s="1108"/>
      <c r="L50" s="1108"/>
      <c r="M50" s="1108"/>
      <c r="N50" s="1108"/>
      <c r="O50" s="1108"/>
      <c r="P50" s="1108"/>
      <c r="Q50" s="1108"/>
      <c r="R50" s="1108">
        <f t="shared" ref="R50:AA50" si="21">(R13*R$6)-(Q13*Q$6)</f>
        <v>-87</v>
      </c>
      <c r="S50" s="1108">
        <f t="shared" si="21"/>
        <v>188</v>
      </c>
      <c r="T50" s="1108">
        <f t="shared" si="21"/>
        <v>178</v>
      </c>
      <c r="U50" s="1108">
        <f t="shared" si="21"/>
        <v>108</v>
      </c>
      <c r="V50" s="1108">
        <f t="shared" si="21"/>
        <v>-214</v>
      </c>
      <c r="W50" s="1108">
        <f t="shared" si="21"/>
        <v>211</v>
      </c>
      <c r="X50" s="1108">
        <f t="shared" si="21"/>
        <v>367.99999999999989</v>
      </c>
      <c r="Y50" s="1108">
        <f t="shared" si="21"/>
        <v>-1500</v>
      </c>
      <c r="Z50" s="1108">
        <f t="shared" si="21"/>
        <v>858</v>
      </c>
      <c r="AA50" s="1108">
        <f t="shared" si="21"/>
        <v>-205</v>
      </c>
      <c r="AB50" s="1108">
        <f>(AB13*AB$6)-(AA13*AA$6)</f>
        <v>167</v>
      </c>
      <c r="AC50" s="1108">
        <f t="shared" si="11"/>
        <v>-88</v>
      </c>
      <c r="AD50" s="1108">
        <f t="shared" ref="AD50:AS50" si="22">(AD13*AD$6)-(AC13*AC$6)</f>
        <v>85</v>
      </c>
      <c r="AE50" s="1108">
        <f t="shared" si="22"/>
        <v>-135</v>
      </c>
      <c r="AF50" s="1125">
        <f t="shared" si="22"/>
        <v>103</v>
      </c>
      <c r="AG50" s="119">
        <f t="shared" si="22"/>
        <v>32</v>
      </c>
      <c r="AH50" s="119">
        <f t="shared" si="22"/>
        <v>0</v>
      </c>
      <c r="AI50" s="119">
        <f t="shared" si="22"/>
        <v>0</v>
      </c>
      <c r="AJ50" s="119">
        <f t="shared" si="22"/>
        <v>0</v>
      </c>
      <c r="AK50" s="119">
        <f t="shared" si="22"/>
        <v>0</v>
      </c>
      <c r="AL50" s="119">
        <f t="shared" si="22"/>
        <v>0</v>
      </c>
      <c r="AM50" s="119">
        <f t="shared" si="22"/>
        <v>0</v>
      </c>
      <c r="AN50" s="119">
        <f t="shared" si="22"/>
        <v>0</v>
      </c>
      <c r="AO50" s="119">
        <f t="shared" si="22"/>
        <v>0</v>
      </c>
      <c r="AP50" s="119">
        <f t="shared" si="22"/>
        <v>0</v>
      </c>
      <c r="AQ50" s="119">
        <f t="shared" si="22"/>
        <v>0</v>
      </c>
      <c r="AR50" s="119">
        <f t="shared" si="22"/>
        <v>0</v>
      </c>
      <c r="AS50" s="119">
        <f t="shared" si="22"/>
        <v>0</v>
      </c>
    </row>
    <row r="51" spans="1:45" s="2" customFormat="1">
      <c r="A51" s="2" t="s">
        <v>591</v>
      </c>
      <c r="C51" s="1107"/>
      <c r="D51" s="1107"/>
      <c r="E51" s="1107"/>
      <c r="F51" s="1111"/>
      <c r="G51" s="1111"/>
      <c r="H51" s="1111"/>
      <c r="I51" s="1111"/>
      <c r="J51" s="1111"/>
      <c r="K51" s="1111"/>
      <c r="L51" s="1111"/>
      <c r="M51" s="1111"/>
      <c r="N51" s="1111"/>
      <c r="O51" s="1111"/>
      <c r="P51" s="1111"/>
      <c r="Q51" s="1111"/>
      <c r="R51" s="1111">
        <f t="shared" ref="R51:AA51" si="23">R14-Q14</f>
        <v>5052</v>
      </c>
      <c r="S51" s="1111">
        <f t="shared" si="23"/>
        <v>1739</v>
      </c>
      <c r="T51" s="1111">
        <f t="shared" si="23"/>
        <v>-1610</v>
      </c>
      <c r="U51" s="1111">
        <f t="shared" si="23"/>
        <v>224</v>
      </c>
      <c r="V51" s="1111">
        <f t="shared" si="23"/>
        <v>-299</v>
      </c>
      <c r="W51" s="1111">
        <f t="shared" si="23"/>
        <v>142</v>
      </c>
      <c r="X51" s="1111">
        <f t="shared" si="23"/>
        <v>-225</v>
      </c>
      <c r="Y51" s="1111">
        <f t="shared" si="23"/>
        <v>5495</v>
      </c>
      <c r="Z51" s="1111">
        <f t="shared" si="23"/>
        <v>-5546</v>
      </c>
      <c r="AA51" s="1111">
        <f t="shared" si="23"/>
        <v>-35</v>
      </c>
      <c r="AB51" s="1111">
        <f>AB14-AA14</f>
        <v>182</v>
      </c>
      <c r="AC51" s="1111">
        <f>AC14-AB14</f>
        <v>2190</v>
      </c>
      <c r="AD51" s="1111">
        <f t="shared" ref="AD51:AS51" si="24">AD14-AC14</f>
        <v>-2498</v>
      </c>
      <c r="AE51" s="1111">
        <f t="shared" si="24"/>
        <v>-270</v>
      </c>
      <c r="AF51" s="1122">
        <f t="shared" si="24"/>
        <v>-1</v>
      </c>
      <c r="AG51" s="1109">
        <f t="shared" si="24"/>
        <v>296.45495501020741</v>
      </c>
      <c r="AH51" s="1109">
        <f t="shared" si="24"/>
        <v>-97.820689832877179</v>
      </c>
      <c r="AI51" s="1109">
        <f t="shared" si="24"/>
        <v>-49.861169270490791</v>
      </c>
      <c r="AJ51" s="1109">
        <f t="shared" si="24"/>
        <v>-242.82649892870722</v>
      </c>
      <c r="AK51" s="1109">
        <f t="shared" si="24"/>
        <v>34.632089803304552</v>
      </c>
      <c r="AL51" s="1109">
        <f t="shared" si="24"/>
        <v>-31.613440493030794</v>
      </c>
      <c r="AM51" s="1109">
        <f t="shared" si="24"/>
        <v>83.649433665849756</v>
      </c>
      <c r="AN51" s="1109">
        <f t="shared" si="24"/>
        <v>-161.93180294893955</v>
      </c>
      <c r="AO51" s="1109">
        <f t="shared" si="24"/>
        <v>54.79888989443225</v>
      </c>
      <c r="AP51" s="1109">
        <f t="shared" si="24"/>
        <v>-25.887033097730637</v>
      </c>
      <c r="AQ51" s="1109">
        <f t="shared" si="24"/>
        <v>89.900333866840811</v>
      </c>
      <c r="AR51" s="1109">
        <f t="shared" si="24"/>
        <v>-131.59312406771915</v>
      </c>
      <c r="AS51" s="1109">
        <f t="shared" si="24"/>
        <v>104.2205007324801</v>
      </c>
    </row>
    <row r="52" spans="1:45" s="851" customFormat="1">
      <c r="A52" s="851" t="s">
        <v>433</v>
      </c>
      <c r="C52" s="133"/>
      <c r="D52" s="133"/>
      <c r="E52" s="133"/>
      <c r="F52" s="1112"/>
      <c r="G52" s="1112"/>
      <c r="H52" s="1112"/>
      <c r="I52" s="1112"/>
      <c r="J52" s="1112"/>
      <c r="K52" s="1112"/>
      <c r="L52" s="1112"/>
      <c r="M52" s="1112"/>
      <c r="N52" s="1112"/>
      <c r="O52" s="1112"/>
      <c r="P52" s="1112"/>
      <c r="Q52" s="1112"/>
      <c r="R52" s="1112">
        <f t="shared" ref="R52:AA52" si="25">(R15*R$14)-(Q15*Q$14)</f>
        <v>917.00000000000011</v>
      </c>
      <c r="S52" s="1112">
        <f t="shared" si="25"/>
        <v>29.999999999999886</v>
      </c>
      <c r="T52" s="1112">
        <f t="shared" si="25"/>
        <v>-29</v>
      </c>
      <c r="U52" s="1112">
        <f t="shared" si="25"/>
        <v>94</v>
      </c>
      <c r="V52" s="1112">
        <f t="shared" si="25"/>
        <v>-78.000000000000114</v>
      </c>
      <c r="W52" s="1112">
        <f t="shared" si="25"/>
        <v>27.000000000000114</v>
      </c>
      <c r="X52" s="1112">
        <f t="shared" si="25"/>
        <v>-36.000000000000114</v>
      </c>
      <c r="Y52" s="1112">
        <f t="shared" si="25"/>
        <v>163.00000000000011</v>
      </c>
      <c r="Z52" s="1112">
        <f t="shared" si="25"/>
        <v>-170</v>
      </c>
      <c r="AA52" s="1112">
        <f t="shared" si="25"/>
        <v>-43</v>
      </c>
      <c r="AB52" s="1112">
        <f>(AB15*AB$14)-(AA15*AA$14)</f>
        <v>4</v>
      </c>
      <c r="AC52" s="1112">
        <f>(AC15*AC$14)-(AB15*AB$14)</f>
        <v>103.99999999999989</v>
      </c>
      <c r="AD52" s="1112">
        <f t="shared" ref="AD52:AS52" si="26">(AD15*AD$14)-(AC15*AC$14)</f>
        <v>-42.999999999999886</v>
      </c>
      <c r="AE52" s="1112">
        <f t="shared" si="26"/>
        <v>-73.000000000000114</v>
      </c>
      <c r="AF52" s="1123">
        <f t="shared" si="26"/>
        <v>12.000000000000114</v>
      </c>
      <c r="AG52" s="1110">
        <f t="shared" si="26"/>
        <v>-3.6267629534002026</v>
      </c>
      <c r="AH52" s="1110">
        <f t="shared" si="26"/>
        <v>-2.3051195230924577</v>
      </c>
      <c r="AI52" s="1110">
        <f t="shared" si="26"/>
        <v>-64.738600981636864</v>
      </c>
      <c r="AJ52" s="1110">
        <f t="shared" si="26"/>
        <v>30.276248822428897</v>
      </c>
      <c r="AK52" s="1110">
        <f t="shared" si="26"/>
        <v>16.837619701536255</v>
      </c>
      <c r="AL52" s="1110">
        <f t="shared" si="26"/>
        <v>6.5031749803239336</v>
      </c>
      <c r="AM52" s="1110">
        <f t="shared" si="26"/>
        <v>33.874130284815465</v>
      </c>
      <c r="AN52" s="1110">
        <f t="shared" si="26"/>
        <v>-36.278833517606245</v>
      </c>
      <c r="AO52" s="1110">
        <f t="shared" si="26"/>
        <v>16.975250433311771</v>
      </c>
      <c r="AP52" s="1110">
        <f t="shared" si="26"/>
        <v>6.5003931631739533</v>
      </c>
      <c r="AQ52" s="1110">
        <f t="shared" si="26"/>
        <v>34.189321858017365</v>
      </c>
      <c r="AR52" s="1110">
        <f t="shared" si="26"/>
        <v>-36.786534849779173</v>
      </c>
      <c r="AS52" s="1110">
        <f t="shared" si="26"/>
        <v>17.088048391432153</v>
      </c>
    </row>
    <row r="53" spans="1:45" s="851" customFormat="1">
      <c r="A53" s="851" t="s">
        <v>437</v>
      </c>
      <c r="C53" s="133"/>
      <c r="D53" s="133"/>
      <c r="E53" s="133"/>
      <c r="F53" s="1113"/>
      <c r="G53" s="1113"/>
      <c r="H53" s="1113"/>
      <c r="I53" s="1113"/>
      <c r="J53" s="1113"/>
      <c r="K53" s="1113"/>
      <c r="L53" s="1113"/>
      <c r="M53" s="1113"/>
      <c r="N53" s="1113"/>
      <c r="O53" s="1113"/>
      <c r="P53" s="1113"/>
      <c r="Q53" s="1113"/>
      <c r="R53" s="1112">
        <f t="shared" ref="R53:AA53" si="27">(R16*R$14)-(Q16*Q$14)</f>
        <v>912</v>
      </c>
      <c r="S53" s="1112">
        <f t="shared" si="27"/>
        <v>-9.9999999999998863</v>
      </c>
      <c r="T53" s="1112">
        <f t="shared" si="27"/>
        <v>-4.0000000000001137</v>
      </c>
      <c r="U53" s="1112">
        <f t="shared" si="27"/>
        <v>60</v>
      </c>
      <c r="V53" s="1112">
        <f t="shared" si="27"/>
        <v>-117</v>
      </c>
      <c r="W53" s="1112">
        <f t="shared" si="27"/>
        <v>53</v>
      </c>
      <c r="X53" s="1112">
        <f t="shared" si="27"/>
        <v>-9</v>
      </c>
      <c r="Y53" s="1112">
        <f t="shared" si="27"/>
        <v>319</v>
      </c>
      <c r="Z53" s="1112">
        <f t="shared" si="27"/>
        <v>-329</v>
      </c>
      <c r="AA53" s="1112">
        <f t="shared" si="27"/>
        <v>9</v>
      </c>
      <c r="AB53" s="1112">
        <f t="shared" ref="AB53:AC58" si="28">(AB16*AB$14)-(AA16*AA$14)</f>
        <v>-47.999999999999886</v>
      </c>
      <c r="AC53" s="1112">
        <f t="shared" si="28"/>
        <v>126.55899999999986</v>
      </c>
      <c r="AD53" s="1112">
        <f t="shared" ref="AD53:AS53" si="29">(AD16*AD$14)-(AC16*AC$14)</f>
        <v>-34.598999999999933</v>
      </c>
      <c r="AE53" s="1112">
        <f t="shared" si="29"/>
        <v>-36.840000000000032</v>
      </c>
      <c r="AF53" s="1123">
        <f t="shared" si="29"/>
        <v>12.47199999999998</v>
      </c>
      <c r="AG53" s="1110">
        <f t="shared" si="29"/>
        <v>105.64419490024238</v>
      </c>
      <c r="AH53" s="1110">
        <f t="shared" si="29"/>
        <v>-59.849166944819103</v>
      </c>
      <c r="AI53" s="1110">
        <f t="shared" si="29"/>
        <v>57.063319752880147</v>
      </c>
      <c r="AJ53" s="1110">
        <f t="shared" si="29"/>
        <v>-75.670722440013606</v>
      </c>
      <c r="AK53" s="1110">
        <f t="shared" si="29"/>
        <v>101.06096781197368</v>
      </c>
      <c r="AL53" s="1110">
        <f t="shared" si="29"/>
        <v>-61.042135065261164</v>
      </c>
      <c r="AM53" s="1110">
        <f t="shared" si="29"/>
        <v>58.590500319791772</v>
      </c>
      <c r="AN53" s="1110">
        <f t="shared" si="29"/>
        <v>-77.460679124256899</v>
      </c>
      <c r="AO53" s="1110">
        <f t="shared" si="29"/>
        <v>103.24616725950602</v>
      </c>
      <c r="AP53" s="1110">
        <f t="shared" si="29"/>
        <v>-62.329570051668952</v>
      </c>
      <c r="AQ53" s="1110">
        <f t="shared" si="29"/>
        <v>60.099116621047415</v>
      </c>
      <c r="AR53" s="1110">
        <f t="shared" si="29"/>
        <v>-79.379254285465208</v>
      </c>
      <c r="AS53" s="1110">
        <f t="shared" si="29"/>
        <v>105.40496206376213</v>
      </c>
    </row>
    <row r="54" spans="1:45" s="851" customFormat="1">
      <c r="A54" s="851" t="s">
        <v>438</v>
      </c>
      <c r="C54" s="133"/>
      <c r="D54" s="133"/>
      <c r="E54" s="133"/>
      <c r="F54" s="1113"/>
      <c r="G54" s="1113"/>
      <c r="H54" s="1113"/>
      <c r="I54" s="1113"/>
      <c r="J54" s="1113"/>
      <c r="K54" s="1113"/>
      <c r="L54" s="1113"/>
      <c r="M54" s="1113"/>
      <c r="N54" s="1113"/>
      <c r="O54" s="1113"/>
      <c r="P54" s="1113"/>
      <c r="Q54" s="1113"/>
      <c r="R54" s="1112">
        <f t="shared" ref="R54:AA54" si="30">(R17*R$14)-(Q17*Q$14)</f>
        <v>577</v>
      </c>
      <c r="S54" s="1112">
        <f t="shared" si="30"/>
        <v>-8</v>
      </c>
      <c r="T54" s="1112">
        <f t="shared" si="30"/>
        <v>71</v>
      </c>
      <c r="U54" s="1112">
        <f t="shared" si="30"/>
        <v>-31</v>
      </c>
      <c r="V54" s="1112">
        <f t="shared" si="30"/>
        <v>17</v>
      </c>
      <c r="W54" s="1112">
        <f t="shared" si="30"/>
        <v>35.999999999999886</v>
      </c>
      <c r="X54" s="1112">
        <f t="shared" si="30"/>
        <v>37.000000000000114</v>
      </c>
      <c r="Y54" s="1112">
        <f t="shared" si="30"/>
        <v>741</v>
      </c>
      <c r="Z54" s="1112">
        <f t="shared" si="30"/>
        <v>-774.99999999999989</v>
      </c>
      <c r="AA54" s="1112">
        <f t="shared" si="30"/>
        <v>36.999999999999886</v>
      </c>
      <c r="AB54" s="1112">
        <f t="shared" si="28"/>
        <v>29</v>
      </c>
      <c r="AC54" s="1112">
        <f t="shared" si="28"/>
        <v>17</v>
      </c>
      <c r="AD54" s="1112">
        <f t="shared" ref="AD54:AS54" si="31">(AD17*AD$14)-(AC17*AC$14)</f>
        <v>-18</v>
      </c>
      <c r="AE54" s="1112">
        <f t="shared" si="31"/>
        <v>-69</v>
      </c>
      <c r="AF54" s="1123">
        <f t="shared" si="31"/>
        <v>6</v>
      </c>
      <c r="AG54" s="1110">
        <f t="shared" si="31"/>
        <v>23.392078250282225</v>
      </c>
      <c r="AH54" s="1110">
        <f t="shared" si="31"/>
        <v>41.187504562517461</v>
      </c>
      <c r="AI54" s="1110">
        <f t="shared" si="31"/>
        <v>11.352575665386553</v>
      </c>
      <c r="AJ54" s="1110">
        <f t="shared" si="31"/>
        <v>1.4134805935842678</v>
      </c>
      <c r="AK54" s="1110">
        <f t="shared" si="31"/>
        <v>-1.5276096487747282</v>
      </c>
      <c r="AL54" s="1110">
        <f t="shared" si="31"/>
        <v>45.883615790093131</v>
      </c>
      <c r="AM54" s="1110">
        <f t="shared" si="31"/>
        <v>13.687742077573375</v>
      </c>
      <c r="AN54" s="1110">
        <f t="shared" si="31"/>
        <v>3.0227859139025668</v>
      </c>
      <c r="AO54" s="1110">
        <f t="shared" si="31"/>
        <v>-6.5432934517957619E-2</v>
      </c>
      <c r="AP54" s="1110">
        <f t="shared" si="31"/>
        <v>51.133729478539294</v>
      </c>
      <c r="AQ54" s="1110">
        <f t="shared" si="31"/>
        <v>16.383802641192801</v>
      </c>
      <c r="AR54" s="1110">
        <f t="shared" si="31"/>
        <v>4.9333225321666987</v>
      </c>
      <c r="AS54" s="1110">
        <f t="shared" si="31"/>
        <v>1.6851572358750673</v>
      </c>
    </row>
    <row r="55" spans="1:45" s="851" customFormat="1">
      <c r="A55" s="851" t="s">
        <v>593</v>
      </c>
      <c r="C55" s="133"/>
      <c r="D55" s="133"/>
      <c r="E55" s="133"/>
      <c r="F55" s="1113"/>
      <c r="G55" s="1113"/>
      <c r="H55" s="1113"/>
      <c r="I55" s="1113"/>
      <c r="J55" s="1113"/>
      <c r="K55" s="1113"/>
      <c r="L55" s="1113"/>
      <c r="M55" s="1113"/>
      <c r="N55" s="1113"/>
      <c r="O55" s="1113"/>
      <c r="P55" s="1113"/>
      <c r="Q55" s="1113"/>
      <c r="R55" s="1112">
        <f t="shared" ref="R55:AA55" si="32">(R18*R$14)-(Q18*Q$14)</f>
        <v>1409</v>
      </c>
      <c r="S55" s="1112">
        <f t="shared" si="32"/>
        <v>-50</v>
      </c>
      <c r="T55" s="1112">
        <f t="shared" si="32"/>
        <v>-4</v>
      </c>
      <c r="U55" s="1112">
        <f t="shared" si="32"/>
        <v>-73</v>
      </c>
      <c r="V55" s="1112">
        <f t="shared" si="32"/>
        <v>138.00000000000023</v>
      </c>
      <c r="W55" s="1112">
        <f t="shared" si="32"/>
        <v>118.99999999999977</v>
      </c>
      <c r="X55" s="1112">
        <f t="shared" si="32"/>
        <v>-237</v>
      </c>
      <c r="Y55" s="1112">
        <f t="shared" si="32"/>
        <v>3184</v>
      </c>
      <c r="Z55" s="1112">
        <f t="shared" si="32"/>
        <v>-3066</v>
      </c>
      <c r="AA55" s="1112">
        <f t="shared" si="32"/>
        <v>73</v>
      </c>
      <c r="AB55" s="1112">
        <f t="shared" si="28"/>
        <v>-218</v>
      </c>
      <c r="AC55" s="1112">
        <f t="shared" si="28"/>
        <v>-11</v>
      </c>
      <c r="AD55" s="1112">
        <f t="shared" ref="AD55:AS55" si="33">(AD18*AD$14)-(AC18*AC$14)</f>
        <v>23</v>
      </c>
      <c r="AE55" s="1112">
        <f t="shared" si="33"/>
        <v>-39</v>
      </c>
      <c r="AF55" s="1123">
        <f t="shared" si="33"/>
        <v>-63.000000000000227</v>
      </c>
      <c r="AG55" s="1110">
        <f t="shared" si="33"/>
        <v>125.79938983686429</v>
      </c>
      <c r="AH55" s="1110">
        <f t="shared" si="33"/>
        <v>-113.36082492735522</v>
      </c>
      <c r="AI55" s="1110">
        <f t="shared" si="33"/>
        <v>-24.061447134934269</v>
      </c>
      <c r="AJ55" s="1110">
        <f t="shared" si="33"/>
        <v>-23.577954072999319</v>
      </c>
      <c r="AK55" s="1110">
        <f t="shared" si="33"/>
        <v>-23.104176367735363</v>
      </c>
      <c r="AL55" s="1110">
        <f t="shared" si="33"/>
        <v>-22.639918797819291</v>
      </c>
      <c r="AM55" s="1110">
        <f t="shared" si="33"/>
        <v>-22.184990064724616</v>
      </c>
      <c r="AN55" s="1110">
        <f t="shared" si="33"/>
        <v>-21.739202713895793</v>
      </c>
      <c r="AO55" s="1110">
        <f t="shared" si="33"/>
        <v>-21.302373057507111</v>
      </c>
      <c r="AP55" s="1110">
        <f t="shared" si="33"/>
        <v>-20.874321098774089</v>
      </c>
      <c r="AQ55" s="1110">
        <f t="shared" si="33"/>
        <v>-20.454870457785546</v>
      </c>
      <c r="AR55" s="1110">
        <f t="shared" si="33"/>
        <v>-20.043848298824855</v>
      </c>
      <c r="AS55" s="1110">
        <f t="shared" si="33"/>
        <v>-19.641085259153328</v>
      </c>
    </row>
    <row r="56" spans="1:45" s="851" customFormat="1">
      <c r="A56" s="851" t="s">
        <v>594</v>
      </c>
      <c r="C56" s="133"/>
      <c r="D56" s="133"/>
      <c r="E56" s="133"/>
      <c r="F56" s="1113"/>
      <c r="G56" s="1113"/>
      <c r="H56" s="1113"/>
      <c r="I56" s="1113"/>
      <c r="J56" s="1113"/>
      <c r="K56" s="1113"/>
      <c r="L56" s="1113"/>
      <c r="M56" s="1113"/>
      <c r="N56" s="1113"/>
      <c r="O56" s="1113"/>
      <c r="P56" s="1113"/>
      <c r="Q56" s="1113"/>
      <c r="R56" s="1112">
        <f t="shared" ref="R56:AA56" si="34">(R19*R$14)-(Q19*Q$14)</f>
        <v>403</v>
      </c>
      <c r="S56" s="1112">
        <f t="shared" si="34"/>
        <v>30.999999999999943</v>
      </c>
      <c r="T56" s="1112">
        <f t="shared" si="34"/>
        <v>-36.999999999999943</v>
      </c>
      <c r="U56" s="1112">
        <f t="shared" si="34"/>
        <v>-32.000000000000057</v>
      </c>
      <c r="V56" s="1112">
        <f t="shared" si="34"/>
        <v>81.000000000000057</v>
      </c>
      <c r="W56" s="1112">
        <f t="shared" si="34"/>
        <v>-23</v>
      </c>
      <c r="X56" s="1112">
        <f t="shared" si="34"/>
        <v>-88</v>
      </c>
      <c r="Y56" s="1112">
        <f t="shared" si="34"/>
        <v>562</v>
      </c>
      <c r="Z56" s="1112">
        <f t="shared" si="34"/>
        <v>-475.99999999999994</v>
      </c>
      <c r="AA56" s="1112">
        <f t="shared" si="34"/>
        <v>-13.000000000000057</v>
      </c>
      <c r="AB56" s="1112">
        <f t="shared" si="28"/>
        <v>29</v>
      </c>
      <c r="AC56" s="1112">
        <f t="shared" si="28"/>
        <v>-12</v>
      </c>
      <c r="AD56" s="1112">
        <f t="shared" ref="AD56:AS56" si="35">(AD19*AD$14)-(AC19*AC$14)</f>
        <v>26</v>
      </c>
      <c r="AE56" s="1112">
        <f t="shared" si="35"/>
        <v>-31</v>
      </c>
      <c r="AF56" s="1123">
        <f t="shared" si="35"/>
        <v>-10</v>
      </c>
      <c r="AG56" s="1110">
        <f t="shared" si="35"/>
        <v>34.424077891338186</v>
      </c>
      <c r="AH56" s="1110">
        <f t="shared" si="35"/>
        <v>-0.31909283801036281</v>
      </c>
      <c r="AI56" s="1110">
        <f t="shared" si="35"/>
        <v>-0.31886373197335161</v>
      </c>
      <c r="AJ56" s="1110">
        <f t="shared" si="35"/>
        <v>-0.31863479043249754</v>
      </c>
      <c r="AK56" s="1110">
        <f t="shared" si="35"/>
        <v>-0.31840601326979368</v>
      </c>
      <c r="AL56" s="1110">
        <f t="shared" si="35"/>
        <v>-0.31817740036717623</v>
      </c>
      <c r="AM56" s="1110">
        <f t="shared" si="35"/>
        <v>-0.31794895160680881</v>
      </c>
      <c r="AN56" s="1110">
        <f t="shared" si="35"/>
        <v>-0.31772066687079814</v>
      </c>
      <c r="AO56" s="1110">
        <f t="shared" si="35"/>
        <v>-0.31749254604136468</v>
      </c>
      <c r="AP56" s="1110">
        <f t="shared" si="35"/>
        <v>-0.317264589000672</v>
      </c>
      <c r="AQ56" s="1110">
        <f t="shared" si="35"/>
        <v>-0.31703679563145215</v>
      </c>
      <c r="AR56" s="1110">
        <f t="shared" si="35"/>
        <v>-0.31680916581592555</v>
      </c>
      <c r="AS56" s="1110">
        <f t="shared" si="35"/>
        <v>-0.31658169943665371</v>
      </c>
    </row>
    <row r="57" spans="1:45" s="851" customFormat="1">
      <c r="A57" s="851" t="s">
        <v>595</v>
      </c>
      <c r="C57" s="133"/>
      <c r="D57" s="133"/>
      <c r="E57" s="133"/>
      <c r="F57" s="1113"/>
      <c r="G57" s="1113"/>
      <c r="H57" s="1113"/>
      <c r="I57" s="1113"/>
      <c r="J57" s="1113"/>
      <c r="K57" s="1113"/>
      <c r="L57" s="1113"/>
      <c r="M57" s="1113"/>
      <c r="N57" s="1113"/>
      <c r="O57" s="1113"/>
      <c r="P57" s="1113"/>
      <c r="Q57" s="1113"/>
      <c r="R57" s="1112">
        <f t="shared" ref="R57:AA57" si="36">(R20*R$14)-(Q20*Q$14)</f>
        <v>655</v>
      </c>
      <c r="S57" s="1112">
        <f t="shared" si="36"/>
        <v>1710</v>
      </c>
      <c r="T57" s="1112">
        <f t="shared" si="36"/>
        <v>-1523</v>
      </c>
      <c r="U57" s="1112">
        <f t="shared" si="36"/>
        <v>208</v>
      </c>
      <c r="V57" s="1112">
        <f t="shared" si="36"/>
        <v>-434</v>
      </c>
      <c r="W57" s="1112">
        <f t="shared" si="36"/>
        <v>32</v>
      </c>
      <c r="X57" s="1112">
        <f t="shared" si="36"/>
        <v>18</v>
      </c>
      <c r="Y57" s="1112">
        <f t="shared" si="36"/>
        <v>430</v>
      </c>
      <c r="Z57" s="1112">
        <f t="shared" si="36"/>
        <v>-499</v>
      </c>
      <c r="AA57" s="1112">
        <f t="shared" si="36"/>
        <v>-164</v>
      </c>
      <c r="AB57" s="1112">
        <f t="shared" si="28"/>
        <v>249</v>
      </c>
      <c r="AC57" s="1112">
        <f t="shared" si="28"/>
        <v>1983</v>
      </c>
      <c r="AD57" s="1112">
        <f t="shared" ref="AD57:AS57" si="37">(AD20*AD$14)-(AC20*AC$14)</f>
        <v>-2356</v>
      </c>
      <c r="AE57" s="1112">
        <f t="shared" si="37"/>
        <v>-33.000000000000057</v>
      </c>
      <c r="AF57" s="1123">
        <f t="shared" si="37"/>
        <v>55</v>
      </c>
      <c r="AG57" s="1110">
        <f t="shared" si="37"/>
        <v>11.229977084880034</v>
      </c>
      <c r="AH57" s="1110">
        <f t="shared" si="37"/>
        <v>36.826009837882566</v>
      </c>
      <c r="AI57" s="1110">
        <f t="shared" si="37"/>
        <v>-29.158152840212551</v>
      </c>
      <c r="AJ57" s="1110">
        <f t="shared" si="37"/>
        <v>-174.94891704127502</v>
      </c>
      <c r="AK57" s="1110">
        <f t="shared" si="37"/>
        <v>-58.316305680425017</v>
      </c>
      <c r="AL57" s="1110">
        <f t="shared" si="37"/>
        <v>0</v>
      </c>
      <c r="AM57" s="1110">
        <f t="shared" si="37"/>
        <v>0</v>
      </c>
      <c r="AN57" s="1110">
        <f t="shared" si="37"/>
        <v>-29.158152840212495</v>
      </c>
      <c r="AO57" s="1110">
        <f t="shared" si="37"/>
        <v>-43.737229260318756</v>
      </c>
      <c r="AP57" s="1110">
        <f t="shared" si="37"/>
        <v>0</v>
      </c>
      <c r="AQ57" s="1110">
        <f t="shared" si="37"/>
        <v>0</v>
      </c>
      <c r="AR57" s="1110">
        <f t="shared" si="37"/>
        <v>0</v>
      </c>
      <c r="AS57" s="1110">
        <f t="shared" si="37"/>
        <v>0</v>
      </c>
    </row>
    <row r="58" spans="1:45" s="851" customFormat="1">
      <c r="A58" s="851" t="s">
        <v>596</v>
      </c>
      <c r="C58" s="133"/>
      <c r="D58" s="133"/>
      <c r="E58" s="133"/>
      <c r="F58" s="1113"/>
      <c r="G58" s="1113"/>
      <c r="H58" s="1113"/>
      <c r="I58" s="1113"/>
      <c r="J58" s="1113"/>
      <c r="K58" s="1113"/>
      <c r="L58" s="1113"/>
      <c r="M58" s="1113"/>
      <c r="N58" s="1113"/>
      <c r="O58" s="1113"/>
      <c r="P58" s="1113"/>
      <c r="Q58" s="1113"/>
      <c r="R58" s="1112">
        <f t="shared" ref="R58:AA58" si="38">(R21*R$14)-(Q21*Q$14)</f>
        <v>179</v>
      </c>
      <c r="S58" s="1112">
        <f t="shared" si="38"/>
        <v>36</v>
      </c>
      <c r="T58" s="1112">
        <f t="shared" si="38"/>
        <v>-84</v>
      </c>
      <c r="U58" s="1112">
        <f t="shared" si="38"/>
        <v>-2</v>
      </c>
      <c r="V58" s="1112">
        <f t="shared" si="38"/>
        <v>94</v>
      </c>
      <c r="W58" s="1112">
        <f t="shared" si="38"/>
        <v>-102</v>
      </c>
      <c r="X58" s="1112">
        <f t="shared" si="38"/>
        <v>90</v>
      </c>
      <c r="Y58" s="1112">
        <f t="shared" si="38"/>
        <v>96</v>
      </c>
      <c r="Z58" s="1112">
        <f t="shared" si="38"/>
        <v>-231</v>
      </c>
      <c r="AA58" s="1112">
        <f t="shared" si="38"/>
        <v>66</v>
      </c>
      <c r="AB58" s="1112">
        <f t="shared" si="28"/>
        <v>137</v>
      </c>
      <c r="AC58" s="1112">
        <f t="shared" si="28"/>
        <v>-17</v>
      </c>
      <c r="AD58" s="1112">
        <f t="shared" ref="AD58:AS58" si="39">(AD21*AD$14)-(AC21*AC$14)</f>
        <v>-96</v>
      </c>
      <c r="AE58" s="1112">
        <f t="shared" si="39"/>
        <v>12</v>
      </c>
      <c r="AF58" s="1123">
        <f t="shared" si="39"/>
        <v>-14</v>
      </c>
      <c r="AG58" s="1110">
        <f t="shared" si="39"/>
        <v>0</v>
      </c>
      <c r="AH58" s="1110">
        <f t="shared" si="39"/>
        <v>0</v>
      </c>
      <c r="AI58" s="1110">
        <f t="shared" si="39"/>
        <v>0</v>
      </c>
      <c r="AJ58" s="1110">
        <f t="shared" si="39"/>
        <v>0</v>
      </c>
      <c r="AK58" s="1110">
        <f t="shared" si="39"/>
        <v>0</v>
      </c>
      <c r="AL58" s="1110">
        <f t="shared" si="39"/>
        <v>0</v>
      </c>
      <c r="AM58" s="1110">
        <f t="shared" si="39"/>
        <v>0</v>
      </c>
      <c r="AN58" s="1110">
        <f t="shared" si="39"/>
        <v>0</v>
      </c>
      <c r="AO58" s="1110">
        <f t="shared" si="39"/>
        <v>0</v>
      </c>
      <c r="AP58" s="1110">
        <f t="shared" si="39"/>
        <v>0</v>
      </c>
      <c r="AQ58" s="1110">
        <f t="shared" si="39"/>
        <v>0</v>
      </c>
      <c r="AR58" s="1110">
        <f t="shared" si="39"/>
        <v>0</v>
      </c>
      <c r="AS58" s="1110">
        <f t="shared" si="39"/>
        <v>0</v>
      </c>
    </row>
    <row r="59" spans="1:45" s="2" customFormat="1" outlineLevel="1">
      <c r="A59" s="2" t="s">
        <v>598</v>
      </c>
      <c r="C59" s="1107"/>
      <c r="D59" s="1107"/>
      <c r="E59" s="1107"/>
      <c r="F59" s="1111"/>
      <c r="G59" s="1111"/>
      <c r="H59" s="1111"/>
      <c r="I59" s="1111"/>
      <c r="J59" s="1111"/>
      <c r="K59" s="1111"/>
      <c r="L59" s="1111"/>
      <c r="M59" s="1111"/>
      <c r="N59" s="1111"/>
      <c r="O59" s="1111"/>
      <c r="P59" s="1111"/>
      <c r="Q59" s="1111"/>
      <c r="R59" s="1111">
        <f t="shared" ref="R59:AA59" si="40">R22-Q22</f>
        <v>1743</v>
      </c>
      <c r="S59" s="1111">
        <f t="shared" si="40"/>
        <v>-2089</v>
      </c>
      <c r="T59" s="1111">
        <f t="shared" si="40"/>
        <v>1684</v>
      </c>
      <c r="U59" s="1111">
        <f t="shared" si="40"/>
        <v>-446</v>
      </c>
      <c r="V59" s="1111">
        <f t="shared" si="40"/>
        <v>619</v>
      </c>
      <c r="W59" s="1111">
        <f t="shared" si="40"/>
        <v>145</v>
      </c>
      <c r="X59" s="1111">
        <f t="shared" si="40"/>
        <v>-804</v>
      </c>
      <c r="Y59" s="1111">
        <f t="shared" si="40"/>
        <v>-7293</v>
      </c>
      <c r="Z59" s="1111">
        <f t="shared" si="40"/>
        <v>5957</v>
      </c>
      <c r="AA59" s="1111">
        <f t="shared" si="40"/>
        <v>683</v>
      </c>
      <c r="AB59" s="1111">
        <f>AB22-AA22</f>
        <v>23</v>
      </c>
      <c r="AC59" s="1111">
        <f>AC22-AB22</f>
        <v>-2425</v>
      </c>
      <c r="AD59" s="1111">
        <f t="shared" ref="AD59:AS59" si="41">AD22-AC22</f>
        <v>2873</v>
      </c>
      <c r="AE59" s="1111">
        <f t="shared" si="41"/>
        <v>-88</v>
      </c>
      <c r="AF59" s="1122">
        <f t="shared" si="41"/>
        <v>-182</v>
      </c>
      <c r="AG59" s="1109">
        <f t="shared" si="41"/>
        <v>162.80464405497901</v>
      </c>
      <c r="AH59" s="1109">
        <f t="shared" si="41"/>
        <v>17.864644494478853</v>
      </c>
      <c r="AI59" s="1109">
        <f t="shared" si="41"/>
        <v>215.30306457980146</v>
      </c>
      <c r="AJ59" s="1109">
        <f t="shared" si="41"/>
        <v>197.17406678534644</v>
      </c>
      <c r="AK59" s="1109">
        <f t="shared" si="41"/>
        <v>172.42888899765808</v>
      </c>
      <c r="AL59" s="1109">
        <f t="shared" si="41"/>
        <v>8.6091155524641181</v>
      </c>
      <c r="AM59" s="1109">
        <f t="shared" si="41"/>
        <v>71.394846865266572</v>
      </c>
      <c r="AN59" s="1109">
        <f t="shared" si="41"/>
        <v>8.9701650467870877</v>
      </c>
      <c r="AO59" s="1109">
        <f t="shared" si="41"/>
        <v>153.55229642192489</v>
      </c>
      <c r="AP59" s="1109">
        <f t="shared" si="41"/>
        <v>6.9659787520408827</v>
      </c>
      <c r="AQ59" s="1109">
        <f t="shared" si="41"/>
        <v>76.159771161284425</v>
      </c>
      <c r="AR59" s="1109">
        <f t="shared" si="41"/>
        <v>-45.479585734618922</v>
      </c>
      <c r="AS59" s="1109">
        <f t="shared" si="41"/>
        <v>85.154051990694825</v>
      </c>
    </row>
    <row r="60" spans="1:45" s="851" customFormat="1" outlineLevel="1">
      <c r="A60" s="851" t="s">
        <v>433</v>
      </c>
      <c r="C60" s="133"/>
      <c r="D60" s="133"/>
      <c r="E60" s="133"/>
      <c r="F60" s="1112"/>
      <c r="G60" s="1112"/>
      <c r="H60" s="1112"/>
      <c r="I60" s="1112"/>
      <c r="J60" s="1112"/>
      <c r="K60" s="1112"/>
      <c r="L60" s="1112"/>
      <c r="M60" s="1112"/>
      <c r="N60" s="1112"/>
      <c r="O60" s="1112"/>
      <c r="P60" s="1112"/>
      <c r="Q60" s="1112"/>
      <c r="R60" s="1112">
        <f t="shared" ref="R60:AA60" si="42">(R23*R$22)-(Q23*Q$22)</f>
        <v>465</v>
      </c>
      <c r="S60" s="1112">
        <f t="shared" si="42"/>
        <v>-106</v>
      </c>
      <c r="T60" s="1112">
        <f t="shared" si="42"/>
        <v>87</v>
      </c>
      <c r="U60" s="1112">
        <f t="shared" si="42"/>
        <v>308</v>
      </c>
      <c r="V60" s="1112">
        <f t="shared" si="42"/>
        <v>-311</v>
      </c>
      <c r="W60" s="1112">
        <f t="shared" si="42"/>
        <v>24.999999999999943</v>
      </c>
      <c r="X60" s="1112">
        <f t="shared" si="42"/>
        <v>-67.999999999999943</v>
      </c>
      <c r="Y60" s="1112">
        <f t="shared" si="42"/>
        <v>-36</v>
      </c>
      <c r="Z60" s="1112">
        <f t="shared" si="42"/>
        <v>68</v>
      </c>
      <c r="AA60" s="1112">
        <f t="shared" si="42"/>
        <v>21</v>
      </c>
      <c r="AB60" s="1112">
        <f>(AB23*AB$22)-(AA23*AA$22)</f>
        <v>305</v>
      </c>
      <c r="AC60" s="1112">
        <f>(AC23*AC$22)-(AB23*AB$22)</f>
        <v>-376</v>
      </c>
      <c r="AD60" s="1112">
        <f t="shared" ref="AD60:AS60" si="43">(AD23*AD$22)-(AC23*AC$22)</f>
        <v>22</v>
      </c>
      <c r="AE60" s="1112">
        <f t="shared" si="43"/>
        <v>98</v>
      </c>
      <c r="AF60" s="1123">
        <f t="shared" si="43"/>
        <v>-76</v>
      </c>
      <c r="AG60" s="1110">
        <f t="shared" si="43"/>
        <v>60.294159234068161</v>
      </c>
      <c r="AH60" s="1110">
        <f t="shared" si="43"/>
        <v>15.375567838510278</v>
      </c>
      <c r="AI60" s="1110">
        <f t="shared" si="43"/>
        <v>122.88646842744697</v>
      </c>
      <c r="AJ60" s="1110">
        <f t="shared" si="43"/>
        <v>-87.539601730041909</v>
      </c>
      <c r="AK60" s="1110">
        <f t="shared" si="43"/>
        <v>13.617727409881581</v>
      </c>
      <c r="AL60" s="1110">
        <f t="shared" si="43"/>
        <v>6.7658126342515743</v>
      </c>
      <c r="AM60" s="1110">
        <f t="shared" si="43"/>
        <v>25.304296448130572</v>
      </c>
      <c r="AN60" s="1110">
        <f t="shared" si="43"/>
        <v>-22.095329853176509</v>
      </c>
      <c r="AO60" s="1110">
        <f t="shared" si="43"/>
        <v>13.991184010181428</v>
      </c>
      <c r="AP60" s="1110">
        <f t="shared" si="43"/>
        <v>6.9291505733227723</v>
      </c>
      <c r="AQ60" s="1110">
        <f t="shared" si="43"/>
        <v>25.996414536406292</v>
      </c>
      <c r="AR60" s="1110">
        <f t="shared" si="43"/>
        <v>-22.762050059516014</v>
      </c>
      <c r="AS60" s="1110">
        <f t="shared" si="43"/>
        <v>14.355213933098526</v>
      </c>
    </row>
    <row r="61" spans="1:45" s="851" customFormat="1" outlineLevel="1">
      <c r="A61" s="851" t="s">
        <v>437</v>
      </c>
      <c r="C61" s="133"/>
      <c r="D61" s="133"/>
      <c r="E61" s="133"/>
      <c r="F61" s="1112"/>
      <c r="G61" s="1112"/>
      <c r="H61" s="1112"/>
      <c r="I61" s="1112"/>
      <c r="J61" s="1112"/>
      <c r="K61" s="1112"/>
      <c r="L61" s="1112"/>
      <c r="M61" s="1112"/>
      <c r="N61" s="1112"/>
      <c r="O61" s="1112"/>
      <c r="P61" s="1112"/>
      <c r="Q61" s="1112"/>
      <c r="R61" s="1112">
        <f t="shared" ref="R61:AA61" si="44">(R24*R$22)-(Q24*Q$22)</f>
        <v>263</v>
      </c>
      <c r="S61" s="1112">
        <f t="shared" si="44"/>
        <v>-2</v>
      </c>
      <c r="T61" s="1112">
        <f t="shared" si="44"/>
        <v>3</v>
      </c>
      <c r="U61" s="1112">
        <f t="shared" si="44"/>
        <v>208</v>
      </c>
      <c r="V61" s="1112">
        <f t="shared" si="44"/>
        <v>-194</v>
      </c>
      <c r="W61" s="1112">
        <f t="shared" si="44"/>
        <v>-6</v>
      </c>
      <c r="X61" s="1112">
        <f t="shared" si="44"/>
        <v>-75</v>
      </c>
      <c r="Y61" s="1112">
        <f t="shared" si="44"/>
        <v>-221</v>
      </c>
      <c r="Z61" s="1112">
        <f t="shared" si="44"/>
        <v>324</v>
      </c>
      <c r="AA61" s="1112">
        <f t="shared" si="44"/>
        <v>-55.000000000000028</v>
      </c>
      <c r="AB61" s="1112">
        <f t="shared" ref="AB61:AC66" si="45">(AB24*AB$22)-(AA24*AA$22)</f>
        <v>0</v>
      </c>
      <c r="AC61" s="1112">
        <f t="shared" si="45"/>
        <v>85.441000000000031</v>
      </c>
      <c r="AD61" s="1112">
        <f t="shared" ref="AD61:AS61" si="46">(AD24*AD$22)-(AC24*AC$22)</f>
        <v>-39.401000000000067</v>
      </c>
      <c r="AE61" s="1112">
        <f t="shared" si="46"/>
        <v>73.840000000000032</v>
      </c>
      <c r="AF61" s="1123">
        <f t="shared" si="46"/>
        <v>-9.47199999999998</v>
      </c>
      <c r="AG61" s="1110">
        <f t="shared" si="46"/>
        <v>35.304193371719521</v>
      </c>
      <c r="AH61" s="1110">
        <f t="shared" si="46"/>
        <v>-13.618647966707499</v>
      </c>
      <c r="AI61" s="1110">
        <f t="shared" si="46"/>
        <v>33.406022265367881</v>
      </c>
      <c r="AJ61" s="1110">
        <f t="shared" si="46"/>
        <v>-21.430976395867958</v>
      </c>
      <c r="AK61" s="1110">
        <f t="shared" si="46"/>
        <v>53.621030007877494</v>
      </c>
      <c r="AL61" s="1110">
        <f t="shared" si="46"/>
        <v>-16.114472447485468</v>
      </c>
      <c r="AM61" s="1110">
        <f t="shared" si="46"/>
        <v>37.047484553671893</v>
      </c>
      <c r="AN61" s="1110">
        <f t="shared" si="46"/>
        <v>-24.933068973660454</v>
      </c>
      <c r="AO61" s="1110">
        <f t="shared" si="46"/>
        <v>59.538445902622129</v>
      </c>
      <c r="AP61" s="1110">
        <f t="shared" si="46"/>
        <v>-18.803652122292021</v>
      </c>
      <c r="AQ61" s="1110">
        <f t="shared" si="46"/>
        <v>40.915593586657678</v>
      </c>
      <c r="AR61" s="1110">
        <f t="shared" si="46"/>
        <v>-28.724142163559804</v>
      </c>
      <c r="AS61" s="1110">
        <f t="shared" si="46"/>
        <v>65.794790423379595</v>
      </c>
    </row>
    <row r="62" spans="1:45" s="851" customFormat="1" outlineLevel="1">
      <c r="A62" s="851" t="s">
        <v>438</v>
      </c>
      <c r="C62" s="133"/>
      <c r="D62" s="133"/>
      <c r="E62" s="133"/>
      <c r="F62" s="1112"/>
      <c r="G62" s="1112"/>
      <c r="H62" s="1112"/>
      <c r="I62" s="1112"/>
      <c r="J62" s="1112"/>
      <c r="K62" s="1112"/>
      <c r="L62" s="1112"/>
      <c r="M62" s="1112"/>
      <c r="N62" s="1112"/>
      <c r="O62" s="1112"/>
      <c r="P62" s="1112"/>
      <c r="Q62" s="1112"/>
      <c r="R62" s="1112">
        <f t="shared" ref="R62:AA62" si="47">(R25*R$22)-(Q25*Q$22)</f>
        <v>264</v>
      </c>
      <c r="S62" s="1112">
        <f t="shared" si="47"/>
        <v>-95</v>
      </c>
      <c r="T62" s="1112">
        <f t="shared" si="47"/>
        <v>176.00000000000006</v>
      </c>
      <c r="U62" s="1112">
        <f t="shared" si="47"/>
        <v>-223.00000000000006</v>
      </c>
      <c r="V62" s="1112">
        <f t="shared" si="47"/>
        <v>343</v>
      </c>
      <c r="W62" s="1112">
        <f t="shared" si="47"/>
        <v>-98</v>
      </c>
      <c r="X62" s="1112">
        <f t="shared" si="47"/>
        <v>-205</v>
      </c>
      <c r="Y62" s="1112">
        <f t="shared" si="47"/>
        <v>-779</v>
      </c>
      <c r="Z62" s="1112">
        <f t="shared" si="47"/>
        <v>881</v>
      </c>
      <c r="AA62" s="1112">
        <f t="shared" si="47"/>
        <v>-58</v>
      </c>
      <c r="AB62" s="1112">
        <f t="shared" si="45"/>
        <v>-54</v>
      </c>
      <c r="AC62" s="1112">
        <f t="shared" si="45"/>
        <v>-49</v>
      </c>
      <c r="AD62" s="1112">
        <f t="shared" ref="AD62:AS62" si="48">(AD25*AD$22)-(AC25*AC$22)</f>
        <v>44</v>
      </c>
      <c r="AE62" s="1112">
        <f t="shared" si="48"/>
        <v>41</v>
      </c>
      <c r="AF62" s="1123">
        <f t="shared" si="48"/>
        <v>30.000000000000028</v>
      </c>
      <c r="AG62" s="1110">
        <f t="shared" si="48"/>
        <v>-36.350306432594152</v>
      </c>
      <c r="AH62" s="1110">
        <f t="shared" si="48"/>
        <v>11.220568427070901</v>
      </c>
      <c r="AI62" s="1110">
        <f t="shared" si="48"/>
        <v>3.0927426516849437</v>
      </c>
      <c r="AJ62" s="1110">
        <f t="shared" si="48"/>
        <v>0.3850695954783987</v>
      </c>
      <c r="AK62" s="1110">
        <f t="shared" si="48"/>
        <v>-0.41616137651442386</v>
      </c>
      <c r="AL62" s="1110">
        <f t="shared" si="48"/>
        <v>12.499913653975</v>
      </c>
      <c r="AM62" s="1110">
        <f t="shared" si="48"/>
        <v>3.7289039048332597</v>
      </c>
      <c r="AN62" s="1110">
        <f t="shared" si="48"/>
        <v>0.82348703927539191</v>
      </c>
      <c r="AO62" s="1110">
        <f t="shared" si="48"/>
        <v>-1.7825666471935619E-2</v>
      </c>
      <c r="AP62" s="1110">
        <f t="shared" si="48"/>
        <v>13.930183841907819</v>
      </c>
      <c r="AQ62" s="1110">
        <f t="shared" si="48"/>
        <v>4.4633822947949966</v>
      </c>
      <c r="AR62" s="1110">
        <f t="shared" si="48"/>
        <v>1.3439678764942755</v>
      </c>
      <c r="AS62" s="1110">
        <f t="shared" si="48"/>
        <v>0.45908151698790789</v>
      </c>
    </row>
    <row r="63" spans="1:45" s="851" customFormat="1" outlineLevel="1">
      <c r="A63" s="851" t="s">
        <v>593</v>
      </c>
      <c r="C63" s="133"/>
      <c r="D63" s="133"/>
      <c r="E63" s="133"/>
      <c r="F63" s="1112"/>
      <c r="G63" s="1112"/>
      <c r="H63" s="1112"/>
      <c r="I63" s="1112"/>
      <c r="J63" s="1112"/>
      <c r="K63" s="1112"/>
      <c r="L63" s="1112"/>
      <c r="M63" s="1112"/>
      <c r="N63" s="1112"/>
      <c r="O63" s="1112"/>
      <c r="P63" s="1112"/>
      <c r="Q63" s="1112"/>
      <c r="R63" s="1112">
        <f t="shared" ref="R63:AA63" si="49">(R26*R$22)-(Q26*Q$22)</f>
        <v>578</v>
      </c>
      <c r="S63" s="1112">
        <f t="shared" si="49"/>
        <v>24</v>
      </c>
      <c r="T63" s="1112">
        <f t="shared" si="49"/>
        <v>-35</v>
      </c>
      <c r="U63" s="1112">
        <f t="shared" si="49"/>
        <v>-300</v>
      </c>
      <c r="V63" s="1112">
        <f t="shared" si="49"/>
        <v>460</v>
      </c>
      <c r="W63" s="1112">
        <f t="shared" si="49"/>
        <v>-336</v>
      </c>
      <c r="X63" s="1112">
        <f t="shared" si="49"/>
        <v>-128</v>
      </c>
      <c r="Y63" s="1112">
        <f t="shared" si="49"/>
        <v>-3575</v>
      </c>
      <c r="Z63" s="1112">
        <f t="shared" si="49"/>
        <v>3114</v>
      </c>
      <c r="AA63" s="1112">
        <f t="shared" si="49"/>
        <v>352</v>
      </c>
      <c r="AB63" s="1112">
        <f t="shared" si="45"/>
        <v>-67</v>
      </c>
      <c r="AC63" s="1112">
        <f t="shared" si="45"/>
        <v>-82</v>
      </c>
      <c r="AD63" s="1112">
        <f t="shared" ref="AD63:AS63" si="50">(AD26*AD$22)-(AC26*AC$22)</f>
        <v>312</v>
      </c>
      <c r="AE63" s="1112">
        <f t="shared" si="50"/>
        <v>-60</v>
      </c>
      <c r="AF63" s="1123">
        <f t="shared" si="50"/>
        <v>-186</v>
      </c>
      <c r="AG63" s="1110">
        <f t="shared" si="50"/>
        <v>5.2616823960254351</v>
      </c>
      <c r="AH63" s="1110">
        <f t="shared" si="50"/>
        <v>92.247124560777849</v>
      </c>
      <c r="AI63" s="1110">
        <f t="shared" si="50"/>
        <v>3.2680404864219952</v>
      </c>
      <c r="AJ63" s="1110">
        <f t="shared" si="50"/>
        <v>3.0999823037861916</v>
      </c>
      <c r="AK63" s="1110">
        <f t="shared" si="50"/>
        <v>2.936854347382905</v>
      </c>
      <c r="AL63" s="1110">
        <f t="shared" si="50"/>
        <v>2.7785339860643035</v>
      </c>
      <c r="AM63" s="1110">
        <f t="shared" si="50"/>
        <v>2.624901410290704</v>
      </c>
      <c r="AN63" s="1110">
        <f t="shared" si="50"/>
        <v>2.4758395700089295</v>
      </c>
      <c r="AO63" s="1110">
        <f t="shared" si="50"/>
        <v>2.3312341138632746</v>
      </c>
      <c r="AP63" s="1110">
        <f t="shared" si="50"/>
        <v>2.1909733297084131</v>
      </c>
      <c r="AQ63" s="1110">
        <f t="shared" si="50"/>
        <v>2.0549480863980989</v>
      </c>
      <c r="AR63" s="1110">
        <f t="shared" si="50"/>
        <v>1.9230517768204436</v>
      </c>
      <c r="AS63" s="1110">
        <f t="shared" si="50"/>
        <v>1.7951802621570323</v>
      </c>
    </row>
    <row r="64" spans="1:45" s="851" customFormat="1" outlineLevel="1">
      <c r="A64" s="851" t="s">
        <v>594</v>
      </c>
      <c r="C64" s="133"/>
      <c r="D64" s="133"/>
      <c r="E64" s="133"/>
      <c r="F64" s="1112"/>
      <c r="G64" s="1112"/>
      <c r="H64" s="1112"/>
      <c r="I64" s="1112"/>
      <c r="J64" s="1112"/>
      <c r="K64" s="1112"/>
      <c r="L64" s="1112"/>
      <c r="M64" s="1112"/>
      <c r="N64" s="1112"/>
      <c r="O64" s="1112"/>
      <c r="P64" s="1112"/>
      <c r="Q64" s="1112"/>
      <c r="R64" s="1112">
        <f t="shared" ref="R64:AA64" si="51">(R27*R$22)-(Q27*Q$22)</f>
        <v>122</v>
      </c>
      <c r="S64" s="1112">
        <f t="shared" si="51"/>
        <v>42</v>
      </c>
      <c r="T64" s="1112">
        <f t="shared" si="51"/>
        <v>-84</v>
      </c>
      <c r="U64" s="1112">
        <f t="shared" si="51"/>
        <v>65</v>
      </c>
      <c r="V64" s="1112">
        <f t="shared" si="51"/>
        <v>-192</v>
      </c>
      <c r="W64" s="1112">
        <f t="shared" si="51"/>
        <v>192</v>
      </c>
      <c r="X64" s="1112">
        <f t="shared" si="51"/>
        <v>-80</v>
      </c>
      <c r="Y64" s="1112">
        <f t="shared" si="51"/>
        <v>-542</v>
      </c>
      <c r="Z64" s="1112">
        <f t="shared" si="51"/>
        <v>415</v>
      </c>
      <c r="AA64" s="1112">
        <f t="shared" si="51"/>
        <v>197</v>
      </c>
      <c r="AB64" s="1112">
        <f t="shared" si="45"/>
        <v>-96</v>
      </c>
      <c r="AC64" s="1112">
        <f t="shared" si="45"/>
        <v>110</v>
      </c>
      <c r="AD64" s="1112">
        <f t="shared" ref="AD64:AS64" si="52">(AD27*AD$22)-(AC27*AC$22)</f>
        <v>0</v>
      </c>
      <c r="AE64" s="1112">
        <f t="shared" si="52"/>
        <v>-71</v>
      </c>
      <c r="AF64" s="1123">
        <f t="shared" si="52"/>
        <v>-43</v>
      </c>
      <c r="AG64" s="1110">
        <f t="shared" si="52"/>
        <v>47.886915485759971</v>
      </c>
      <c r="AH64" s="1110">
        <f t="shared" si="52"/>
        <v>2.6400316348272668</v>
      </c>
      <c r="AI64" s="1110">
        <f t="shared" si="52"/>
        <v>2.6497907488798091</v>
      </c>
      <c r="AJ64" s="1110">
        <f t="shared" si="52"/>
        <v>2.6595930119917739</v>
      </c>
      <c r="AK64" s="1110">
        <f t="shared" si="52"/>
        <v>2.669438609030351</v>
      </c>
      <c r="AL64" s="1110">
        <f t="shared" si="52"/>
        <v>2.6793277256588226</v>
      </c>
      <c r="AM64" s="1110">
        <f t="shared" si="52"/>
        <v>2.6892605483399166</v>
      </c>
      <c r="AN64" s="1110">
        <f t="shared" si="52"/>
        <v>2.6992372643396294</v>
      </c>
      <c r="AO64" s="1110">
        <f t="shared" si="52"/>
        <v>2.7092580617302104</v>
      </c>
      <c r="AP64" s="1110">
        <f t="shared" si="52"/>
        <v>2.7193231293941835</v>
      </c>
      <c r="AQ64" s="1110">
        <f t="shared" si="52"/>
        <v>2.729432657027246</v>
      </c>
      <c r="AR64" s="1110">
        <f t="shared" si="52"/>
        <v>2.7395868351420489</v>
      </c>
      <c r="AS64" s="1110">
        <f t="shared" si="52"/>
        <v>2.7497858550719485</v>
      </c>
    </row>
    <row r="65" spans="1:45" s="851" customFormat="1" outlineLevel="1">
      <c r="A65" s="851" t="s">
        <v>595</v>
      </c>
      <c r="C65" s="133"/>
      <c r="D65" s="133"/>
      <c r="E65" s="133"/>
      <c r="F65" s="1112"/>
      <c r="G65" s="1112"/>
      <c r="H65" s="1112"/>
      <c r="I65" s="1112"/>
      <c r="J65" s="1112"/>
      <c r="K65" s="1112"/>
      <c r="L65" s="1112"/>
      <c r="M65" s="1112"/>
      <c r="N65" s="1112"/>
      <c r="O65" s="1112"/>
      <c r="P65" s="1112"/>
      <c r="Q65" s="1112"/>
      <c r="R65" s="1112">
        <f t="shared" ref="R65:AA65" si="53">(R28*R$22)-(Q28*Q$22)</f>
        <v>317</v>
      </c>
      <c r="S65" s="1112">
        <f t="shared" si="53"/>
        <v>-2104</v>
      </c>
      <c r="T65" s="1112">
        <f t="shared" si="53"/>
        <v>1276</v>
      </c>
      <c r="U65" s="1112">
        <f t="shared" si="53"/>
        <v>-615</v>
      </c>
      <c r="V65" s="1112">
        <f t="shared" si="53"/>
        <v>821</v>
      </c>
      <c r="W65" s="1112">
        <f t="shared" si="53"/>
        <v>55</v>
      </c>
      <c r="X65" s="1112">
        <f t="shared" si="53"/>
        <v>-525</v>
      </c>
      <c r="Y65" s="1112">
        <f t="shared" si="53"/>
        <v>-547</v>
      </c>
      <c r="Z65" s="1112">
        <f t="shared" si="53"/>
        <v>69</v>
      </c>
      <c r="AA65" s="1112">
        <f t="shared" si="53"/>
        <v>494</v>
      </c>
      <c r="AB65" s="1112">
        <f t="shared" si="45"/>
        <v>-93</v>
      </c>
      <c r="AC65" s="1112">
        <f t="shared" si="45"/>
        <v>-2042.9999999999995</v>
      </c>
      <c r="AD65" s="1112">
        <f t="shared" ref="AD65:AS65" si="54">(AD28*AD$22)-(AC28*AC$22)</f>
        <v>2355.9999999999995</v>
      </c>
      <c r="AE65" s="1112">
        <f t="shared" si="54"/>
        <v>-24</v>
      </c>
      <c r="AF65" s="1123">
        <f t="shared" si="54"/>
        <v>-15</v>
      </c>
      <c r="AG65" s="1110">
        <f t="shared" si="54"/>
        <v>18</v>
      </c>
      <c r="AH65" s="1110">
        <f t="shared" si="54"/>
        <v>-90</v>
      </c>
      <c r="AI65" s="1110">
        <f t="shared" si="54"/>
        <v>50</v>
      </c>
      <c r="AJ65" s="1110">
        <f t="shared" si="54"/>
        <v>300</v>
      </c>
      <c r="AK65" s="1110">
        <f t="shared" si="54"/>
        <v>100</v>
      </c>
      <c r="AL65" s="1110">
        <f t="shared" si="54"/>
        <v>0</v>
      </c>
      <c r="AM65" s="1110">
        <f t="shared" si="54"/>
        <v>0</v>
      </c>
      <c r="AN65" s="1110">
        <f t="shared" si="54"/>
        <v>50</v>
      </c>
      <c r="AO65" s="1110">
        <f t="shared" si="54"/>
        <v>75</v>
      </c>
      <c r="AP65" s="1110">
        <f t="shared" si="54"/>
        <v>0</v>
      </c>
      <c r="AQ65" s="1110">
        <f t="shared" si="54"/>
        <v>0</v>
      </c>
      <c r="AR65" s="1110">
        <f t="shared" si="54"/>
        <v>0</v>
      </c>
      <c r="AS65" s="1110">
        <f t="shared" si="54"/>
        <v>0</v>
      </c>
    </row>
    <row r="66" spans="1:45" s="851" customFormat="1" outlineLevel="1">
      <c r="A66" s="851" t="s">
        <v>596</v>
      </c>
      <c r="C66" s="133"/>
      <c r="D66" s="133"/>
      <c r="E66" s="133"/>
      <c r="F66" s="1112"/>
      <c r="G66" s="1112"/>
      <c r="H66" s="1112"/>
      <c r="I66" s="1112"/>
      <c r="J66" s="1112"/>
      <c r="K66" s="1112"/>
      <c r="L66" s="1112"/>
      <c r="M66" s="1112"/>
      <c r="N66" s="1112"/>
      <c r="O66" s="1112"/>
      <c r="P66" s="1112"/>
      <c r="Q66" s="1112"/>
      <c r="R66" s="1112">
        <f t="shared" ref="R66:AA66" si="55">(R29*R$22)-(Q29*Q$22)</f>
        <v>-266</v>
      </c>
      <c r="S66" s="1112">
        <f t="shared" si="55"/>
        <v>152</v>
      </c>
      <c r="T66" s="1112">
        <f t="shared" si="55"/>
        <v>261</v>
      </c>
      <c r="U66" s="1112">
        <f t="shared" si="55"/>
        <v>111</v>
      </c>
      <c r="V66" s="1112">
        <f t="shared" si="55"/>
        <v>-308</v>
      </c>
      <c r="W66" s="1112">
        <f t="shared" si="55"/>
        <v>313</v>
      </c>
      <c r="X66" s="1112">
        <f t="shared" si="55"/>
        <v>277</v>
      </c>
      <c r="Y66" s="1112">
        <f t="shared" si="55"/>
        <v>-1593</v>
      </c>
      <c r="Z66" s="1112">
        <f t="shared" si="55"/>
        <v>1086</v>
      </c>
      <c r="AA66" s="1112">
        <f t="shared" si="55"/>
        <v>-268</v>
      </c>
      <c r="AB66" s="1112">
        <f t="shared" si="45"/>
        <v>27.999999999999972</v>
      </c>
      <c r="AC66" s="1112">
        <f t="shared" si="45"/>
        <v>-71.000000000000057</v>
      </c>
      <c r="AD66" s="1112">
        <f t="shared" ref="AD66:AS66" si="56">(AD29*AD$22)-(AC29*AC$22)</f>
        <v>179.00000000000006</v>
      </c>
      <c r="AE66" s="1112">
        <f t="shared" si="56"/>
        <v>-146</v>
      </c>
      <c r="AF66" s="1123">
        <f t="shared" si="56"/>
        <v>118</v>
      </c>
      <c r="AG66" s="1110">
        <f t="shared" si="56"/>
        <v>32</v>
      </c>
      <c r="AH66" s="1110">
        <f t="shared" si="56"/>
        <v>0</v>
      </c>
      <c r="AI66" s="1110">
        <f t="shared" si="56"/>
        <v>0</v>
      </c>
      <c r="AJ66" s="1110">
        <f t="shared" si="56"/>
        <v>0</v>
      </c>
      <c r="AK66" s="1110">
        <f t="shared" si="56"/>
        <v>0</v>
      </c>
      <c r="AL66" s="1110">
        <f t="shared" si="56"/>
        <v>0</v>
      </c>
      <c r="AM66" s="1110">
        <f t="shared" si="56"/>
        <v>0</v>
      </c>
      <c r="AN66" s="1110">
        <f t="shared" si="56"/>
        <v>0</v>
      </c>
      <c r="AO66" s="1110">
        <f t="shared" si="56"/>
        <v>0</v>
      </c>
      <c r="AP66" s="1110">
        <f t="shared" si="56"/>
        <v>0</v>
      </c>
      <c r="AQ66" s="1110">
        <f t="shared" si="56"/>
        <v>0</v>
      </c>
      <c r="AR66" s="1110">
        <f t="shared" si="56"/>
        <v>0</v>
      </c>
      <c r="AS66" s="1110">
        <f t="shared" si="56"/>
        <v>0</v>
      </c>
    </row>
    <row r="68" spans="1:45" s="2" customFormat="1">
      <c r="A68" s="2" t="s">
        <v>601</v>
      </c>
      <c r="C68" s="1106"/>
      <c r="D68" s="1106"/>
      <c r="E68" s="1106"/>
      <c r="F68" s="1106"/>
      <c r="G68" s="1106"/>
      <c r="H68" s="1106"/>
      <c r="I68" s="1106"/>
      <c r="J68" s="1106"/>
      <c r="K68" s="1106"/>
      <c r="L68" s="1106"/>
      <c r="M68" s="1106"/>
      <c r="N68" s="1106"/>
      <c r="O68" s="1106"/>
      <c r="P68" s="1106"/>
      <c r="Q68" s="1106"/>
      <c r="R68" s="1106">
        <f>Model!R179</f>
        <v>279694</v>
      </c>
      <c r="S68" s="1106">
        <f>Model!S179</f>
        <v>279169</v>
      </c>
      <c r="T68" s="1106">
        <f>Model!T179</f>
        <v>286320</v>
      </c>
      <c r="U68" s="1106">
        <f>Model!U179</f>
        <v>284248</v>
      </c>
      <c r="V68" s="1106">
        <f>Model!V179</f>
        <v>283095</v>
      </c>
      <c r="W68" s="1106">
        <f>Model!W179</f>
        <v>276631</v>
      </c>
      <c r="X68" s="1106">
        <f>Model!X179</f>
        <v>284622</v>
      </c>
      <c r="Y68" s="1106">
        <f>Model!Y179</f>
        <v>289946</v>
      </c>
      <c r="Z68" s="1106">
        <f>Model!Z179</f>
        <v>280382</v>
      </c>
      <c r="AA68" s="1106">
        <f>Model!AA179</f>
        <v>271455</v>
      </c>
      <c r="AB68" s="1106">
        <f>Model!AB179</f>
        <v>270462</v>
      </c>
      <c r="AC68" s="1106">
        <f>Model!AC179</f>
        <v>268045</v>
      </c>
      <c r="AD68" s="1106">
        <f>Model!AD179</f>
        <v>263737</v>
      </c>
      <c r="AE68" s="1106">
        <f>Model!AE179</f>
        <v>259337</v>
      </c>
      <c r="AF68" s="1117">
        <f>Model!AF179</f>
        <v>265012</v>
      </c>
      <c r="AG68" s="92">
        <f>Model!AG179</f>
        <v>260013.61763307985</v>
      </c>
      <c r="AH68" s="92">
        <f>Model!AH179</f>
        <v>260892.58208502139</v>
      </c>
      <c r="AI68" s="92">
        <f>Model!AI179</f>
        <v>261191.62565421592</v>
      </c>
      <c r="AJ68" s="92">
        <f>Model!AJ179</f>
        <v>262569.77298467112</v>
      </c>
      <c r="AK68" s="92">
        <f>Model!AK179</f>
        <v>264178.64384532213</v>
      </c>
      <c r="AL68" s="92">
        <f>Model!AL179</f>
        <v>265956.61667104263</v>
      </c>
      <c r="AM68" s="92">
        <f>Model!AM179</f>
        <v>266763.99490701366</v>
      </c>
      <c r="AN68" s="92">
        <f>Model!AN179</f>
        <v>268916.35785719263</v>
      </c>
      <c r="AO68" s="92">
        <f>Model!AO179</f>
        <v>271291.62787327176</v>
      </c>
      <c r="AP68" s="92">
        <f>Model!AP179</f>
        <v>273786.97004627751</v>
      </c>
      <c r="AQ68" s="92">
        <f>Model!AQ179</f>
        <v>275336.88197039295</v>
      </c>
      <c r="AR68" s="92">
        <f>Model!AR179</f>
        <v>278193.42745466222</v>
      </c>
      <c r="AS68" s="92">
        <f>Model!AS179</f>
        <v>281254.65347025014</v>
      </c>
    </row>
    <row r="69" spans="1:45" s="851" customFormat="1">
      <c r="A69" s="851" t="s">
        <v>433</v>
      </c>
      <c r="C69" s="133"/>
      <c r="D69" s="133"/>
      <c r="E69" s="133"/>
      <c r="F69" s="133"/>
      <c r="G69" s="1108"/>
      <c r="H69" s="1108"/>
      <c r="I69" s="1108"/>
      <c r="J69" s="1108"/>
      <c r="K69" s="1108"/>
      <c r="L69" s="1108"/>
      <c r="M69" s="1108"/>
      <c r="N69" s="1108"/>
      <c r="O69" s="1108"/>
      <c r="P69" s="1108"/>
      <c r="Q69" s="1108"/>
      <c r="R69" s="1272">
        <f>Model!R217</f>
        <v>55425</v>
      </c>
      <c r="S69" s="1272">
        <f>Model!S217</f>
        <v>57491</v>
      </c>
      <c r="T69" s="1272">
        <f>Model!T217</f>
        <v>58469</v>
      </c>
      <c r="U69" s="1272">
        <f>Model!U217</f>
        <v>58403</v>
      </c>
      <c r="V69" s="1272">
        <f>Model!V217</f>
        <v>60683</v>
      </c>
      <c r="W69" s="1272">
        <f>Model!W217</f>
        <v>58349</v>
      </c>
      <c r="X69" s="1272">
        <f>Model!X217</f>
        <v>59441</v>
      </c>
      <c r="Y69" s="1272">
        <f>Model!Y217</f>
        <v>60352</v>
      </c>
      <c r="Z69" s="1272">
        <f>Model!Z217</f>
        <v>64437</v>
      </c>
      <c r="AA69" s="1272">
        <f>Model!AA217</f>
        <v>64604</v>
      </c>
      <c r="AB69" s="1272">
        <f>Model!AB217</f>
        <v>65571</v>
      </c>
      <c r="AC69" s="1272">
        <f>Model!AC217</f>
        <v>65669</v>
      </c>
      <c r="AD69" s="1272">
        <f>Model!AD217</f>
        <v>65639</v>
      </c>
      <c r="AE69" s="1272">
        <f>Model!AE217</f>
        <v>64426</v>
      </c>
      <c r="AF69" s="1273">
        <f>Model!AF217</f>
        <v>64519</v>
      </c>
      <c r="AG69" s="1274">
        <f>Model!AG217</f>
        <v>65705.975589697133</v>
      </c>
      <c r="AH69" s="1274">
        <f>Model!AH217</f>
        <v>66424.601046087992</v>
      </c>
      <c r="AI69" s="1274">
        <f>Model!AI217</f>
        <v>67151.086100360742</v>
      </c>
      <c r="AJ69" s="1274">
        <f>Model!AJ217</f>
        <v>67885.516712841913</v>
      </c>
      <c r="AK69" s="1274">
        <f>Model!AK217</f>
        <v>68627.979784005016</v>
      </c>
      <c r="AL69" s="1274">
        <f>Model!AL217</f>
        <v>69355.956943964353</v>
      </c>
      <c r="AM69" s="1274">
        <f>Model!AM217</f>
        <v>70091.65618385507</v>
      </c>
      <c r="AN69" s="1274">
        <f>Model!AN217</f>
        <v>70835.159416299924</v>
      </c>
      <c r="AO69" s="1274">
        <f>Model!AO217</f>
        <v>71586.54942281681</v>
      </c>
      <c r="AP69" s="1274">
        <f>Model!AP217</f>
        <v>72320.266782854495</v>
      </c>
      <c r="AQ69" s="1274">
        <f>Model!AQ217</f>
        <v>73061.504286952229</v>
      </c>
      <c r="AR69" s="1274">
        <f>Model!AR217</f>
        <v>73810.339011883349</v>
      </c>
      <c r="AS69" s="1274">
        <f>Model!AS217</f>
        <v>74566.848824410001</v>
      </c>
    </row>
    <row r="70" spans="1:45" s="851" customFormat="1">
      <c r="A70" s="851" t="s">
        <v>437</v>
      </c>
      <c r="C70" s="133"/>
      <c r="D70" s="133"/>
      <c r="E70" s="133"/>
      <c r="F70" s="133"/>
      <c r="G70" s="1108"/>
      <c r="H70" s="1108"/>
      <c r="I70" s="1108"/>
      <c r="J70" s="1108"/>
      <c r="K70" s="1108"/>
      <c r="L70" s="1108"/>
      <c r="M70" s="1108"/>
      <c r="N70" s="1108"/>
      <c r="O70" s="1108"/>
      <c r="P70" s="1108"/>
      <c r="Q70" s="1108"/>
      <c r="R70" s="1272">
        <f>Model!R304</f>
        <v>28519</v>
      </c>
      <c r="S70" s="1272">
        <f>Model!S304</f>
        <v>29634</v>
      </c>
      <c r="T70" s="1272">
        <f>Model!T304</f>
        <v>31090</v>
      </c>
      <c r="U70" s="1272">
        <f>Model!U304</f>
        <v>32629</v>
      </c>
      <c r="V70" s="1272">
        <f>Model!V304</f>
        <v>31464</v>
      </c>
      <c r="W70" s="1272">
        <f>Model!W304</f>
        <v>31532</v>
      </c>
      <c r="X70" s="1272">
        <f>Model!X304</f>
        <v>32271</v>
      </c>
      <c r="Y70" s="1272">
        <f>Model!Y304</f>
        <v>32880</v>
      </c>
      <c r="Z70" s="1272">
        <f>Model!Z304</f>
        <v>33028</v>
      </c>
      <c r="AA70" s="1272">
        <f>Model!AA304</f>
        <v>33613</v>
      </c>
      <c r="AB70" s="1272">
        <f>Model!AB304</f>
        <v>33457</v>
      </c>
      <c r="AC70" s="1272">
        <f>Model!AC304</f>
        <v>35252</v>
      </c>
      <c r="AD70" s="1272">
        <f>Model!AD304</f>
        <v>35794</v>
      </c>
      <c r="AE70" s="1272">
        <f>Model!AE304</f>
        <v>36515</v>
      </c>
      <c r="AF70" s="1273">
        <f>Model!AF304</f>
        <v>37217</v>
      </c>
      <c r="AG70" s="1274">
        <f>Model!AG304</f>
        <v>37721.274832426774</v>
      </c>
      <c r="AH70" s="1274">
        <f>Model!AH304</f>
        <v>38247.999052764499</v>
      </c>
      <c r="AI70" s="1274">
        <f>Model!AI304</f>
        <v>38782.078231425417</v>
      </c>
      <c r="AJ70" s="1274">
        <f>Model!AJ304</f>
        <v>39323.615069993873</v>
      </c>
      <c r="AK70" s="1274">
        <f>Model!AK304</f>
        <v>39872.713704136477</v>
      </c>
      <c r="AL70" s="1274">
        <f>Model!AL304</f>
        <v>40437.114931754004</v>
      </c>
      <c r="AM70" s="1274">
        <f>Model!AM304</f>
        <v>41009.505300720164</v>
      </c>
      <c r="AN70" s="1274">
        <f>Model!AN304</f>
        <v>41589.99789792487</v>
      </c>
      <c r="AO70" s="1274">
        <f>Model!AO304</f>
        <v>42178.707411011354</v>
      </c>
      <c r="AP70" s="1274">
        <f>Model!AP304</f>
        <v>42773.090706645366</v>
      </c>
      <c r="AQ70" s="1274">
        <f>Model!AQ304</f>
        <v>43375.850065080114</v>
      </c>
      <c r="AR70" s="1274">
        <f>Model!AR304</f>
        <v>43987.1035219814</v>
      </c>
      <c r="AS70" s="1274">
        <f>Model!AS304</f>
        <v>44606.970776376307</v>
      </c>
    </row>
    <row r="71" spans="1:45" s="851" customFormat="1">
      <c r="A71" s="851" t="s">
        <v>438</v>
      </c>
      <c r="C71" s="133"/>
      <c r="D71" s="133"/>
      <c r="E71" s="133"/>
      <c r="F71" s="133"/>
      <c r="G71" s="1108"/>
      <c r="H71" s="1108"/>
      <c r="I71" s="1108"/>
      <c r="J71" s="1108"/>
      <c r="K71" s="1108"/>
      <c r="L71" s="1108"/>
      <c r="M71" s="1108"/>
      <c r="N71" s="1108"/>
      <c r="O71" s="1108"/>
      <c r="P71" s="1108"/>
      <c r="Q71" s="1108"/>
      <c r="R71" s="1272">
        <f>Model!R414</f>
        <v>25287</v>
      </c>
      <c r="S71" s="1272">
        <f>Model!S414</f>
        <v>24613</v>
      </c>
      <c r="T71" s="1272">
        <f>Model!T414</f>
        <v>26706</v>
      </c>
      <c r="U71" s="1272">
        <f>Model!U414</f>
        <v>25896</v>
      </c>
      <c r="V71" s="1272">
        <f>Model!V414</f>
        <v>27260</v>
      </c>
      <c r="W71" s="1272">
        <f>Model!W414</f>
        <v>25467</v>
      </c>
      <c r="X71" s="1272">
        <f>Model!X414</f>
        <v>26606</v>
      </c>
      <c r="Y71" s="1272">
        <f>Model!Y414</f>
        <v>26835</v>
      </c>
      <c r="Z71" s="1272">
        <f>Model!Z414</f>
        <v>27649</v>
      </c>
      <c r="AA71" s="1272">
        <f>Model!AA414</f>
        <v>31644</v>
      </c>
      <c r="AB71" s="1272">
        <f>Model!AB414</f>
        <v>32264</v>
      </c>
      <c r="AC71" s="1272">
        <f>Model!AC414</f>
        <v>34605</v>
      </c>
      <c r="AD71" s="1272">
        <f>Model!AD414</f>
        <v>33077</v>
      </c>
      <c r="AE71" s="1272">
        <f>Model!AE414</f>
        <v>32293</v>
      </c>
      <c r="AF71" s="1273">
        <f>Model!AF414</f>
        <v>31237</v>
      </c>
      <c r="AG71" s="1274">
        <f>Model!AG414</f>
        <v>0</v>
      </c>
      <c r="AH71" s="1274">
        <f>Model!AH414</f>
        <v>0</v>
      </c>
      <c r="AI71" s="1274">
        <f>Model!AI414</f>
        <v>0</v>
      </c>
      <c r="AJ71" s="1274">
        <f>Model!AJ414</f>
        <v>0</v>
      </c>
      <c r="AK71" s="1274">
        <f>Model!AK414</f>
        <v>0</v>
      </c>
      <c r="AL71" s="1274">
        <f>Model!AL414</f>
        <v>0</v>
      </c>
      <c r="AM71" s="1274">
        <f>Model!AM414</f>
        <v>0</v>
      </c>
      <c r="AN71" s="1274">
        <f>Model!AN414</f>
        <v>0</v>
      </c>
      <c r="AO71" s="1274">
        <f>Model!AO414</f>
        <v>0</v>
      </c>
      <c r="AP71" s="1274">
        <f>Model!AP414</f>
        <v>0</v>
      </c>
      <c r="AQ71" s="1274">
        <f>Model!AQ414</f>
        <v>0</v>
      </c>
      <c r="AR71" s="1274">
        <f>Model!AR414</f>
        <v>0</v>
      </c>
      <c r="AS71" s="1274">
        <f>Model!AS414</f>
        <v>0</v>
      </c>
    </row>
    <row r="72" spans="1:45" s="851" customFormat="1">
      <c r="A72" s="851" t="s">
        <v>593</v>
      </c>
      <c r="C72" s="133"/>
      <c r="D72" s="133"/>
      <c r="E72" s="133"/>
      <c r="F72" s="133"/>
      <c r="G72" s="1108"/>
      <c r="H72" s="1108"/>
      <c r="I72" s="1108"/>
      <c r="J72" s="1108"/>
      <c r="K72" s="1108"/>
      <c r="L72" s="1108"/>
      <c r="M72" s="1108"/>
      <c r="N72" s="1108"/>
      <c r="O72" s="1108"/>
      <c r="P72" s="1108"/>
      <c r="Q72" s="1108"/>
      <c r="R72" s="1272">
        <f>Model!R490</f>
        <v>58557</v>
      </c>
      <c r="S72" s="1272">
        <f>Model!S490</f>
        <v>58979</v>
      </c>
      <c r="T72" s="1272">
        <f>Model!T490</f>
        <v>60241</v>
      </c>
      <c r="U72" s="1272">
        <f>Model!U490</f>
        <v>60290</v>
      </c>
      <c r="V72" s="1272">
        <f>Model!V490</f>
        <v>61225</v>
      </c>
      <c r="W72" s="1272">
        <f>Model!W490</f>
        <v>60727</v>
      </c>
      <c r="X72" s="1272">
        <f>Model!X490</f>
        <v>61555</v>
      </c>
      <c r="Y72" s="1272">
        <f>Model!Y490</f>
        <v>62838</v>
      </c>
      <c r="Z72" s="1272">
        <f>Model!Z490</f>
        <v>56698</v>
      </c>
      <c r="AA72" s="1272">
        <f>Model!AA490</f>
        <v>50750</v>
      </c>
      <c r="AB72" s="1272">
        <f>Model!AB490</f>
        <v>51127</v>
      </c>
      <c r="AC72" s="1272">
        <f>Model!AC490</f>
        <v>51713</v>
      </c>
      <c r="AD72" s="1272">
        <f>Model!AD490</f>
        <v>52061</v>
      </c>
      <c r="AE72" s="1272">
        <f>Model!AE490</f>
        <v>51333</v>
      </c>
      <c r="AF72" s="1273">
        <f>Model!AF490</f>
        <v>55993</v>
      </c>
      <c r="AG72" s="1274">
        <f>Model!AG490</f>
        <v>0</v>
      </c>
      <c r="AH72" s="1274">
        <f>Model!AH490</f>
        <v>0</v>
      </c>
      <c r="AI72" s="1274">
        <f>Model!AI490</f>
        <v>0</v>
      </c>
      <c r="AJ72" s="1274">
        <f>Model!AJ490</f>
        <v>0</v>
      </c>
      <c r="AK72" s="1274">
        <f>Model!AK490</f>
        <v>0</v>
      </c>
      <c r="AL72" s="1274">
        <f>Model!AL490</f>
        <v>0</v>
      </c>
      <c r="AM72" s="1274">
        <f>Model!AM490</f>
        <v>0</v>
      </c>
      <c r="AN72" s="1274">
        <f>Model!AN490</f>
        <v>0</v>
      </c>
      <c r="AO72" s="1274">
        <f>Model!AO490</f>
        <v>0</v>
      </c>
      <c r="AP72" s="1274">
        <f>Model!AP490</f>
        <v>0</v>
      </c>
      <c r="AQ72" s="1274">
        <f>Model!AQ490</f>
        <v>0</v>
      </c>
      <c r="AR72" s="1274">
        <f>Model!AR490</f>
        <v>0</v>
      </c>
      <c r="AS72" s="1274">
        <f>Model!AS490</f>
        <v>0</v>
      </c>
    </row>
    <row r="73" spans="1:45" s="851" customFormat="1">
      <c r="A73" s="851" t="s">
        <v>594</v>
      </c>
      <c r="C73" s="133"/>
      <c r="D73" s="133"/>
      <c r="E73" s="133"/>
      <c r="F73" s="133"/>
      <c r="G73" s="1108"/>
      <c r="H73" s="1108"/>
      <c r="I73" s="1108"/>
      <c r="J73" s="1108"/>
      <c r="K73" s="1108"/>
      <c r="L73" s="1108"/>
      <c r="M73" s="1108"/>
      <c r="N73" s="1108"/>
      <c r="O73" s="1108"/>
      <c r="P73" s="1108"/>
      <c r="Q73" s="1108"/>
      <c r="R73" s="1272">
        <f>Model!R530</f>
        <v>11439</v>
      </c>
      <c r="S73" s="1272">
        <f>Model!S530</f>
        <v>11097</v>
      </c>
      <c r="T73" s="1272">
        <f>Model!T530</f>
        <v>12134</v>
      </c>
      <c r="U73" s="1272">
        <f>Model!U530</f>
        <v>12167</v>
      </c>
      <c r="V73" s="1272">
        <f>Model!V530</f>
        <v>12305</v>
      </c>
      <c r="W73" s="1272">
        <f>Model!W530</f>
        <v>13568</v>
      </c>
      <c r="X73" s="1272">
        <f>Model!X530</f>
        <v>15060</v>
      </c>
      <c r="Y73" s="1272">
        <f>Model!Y530</f>
        <v>16150</v>
      </c>
      <c r="Z73" s="1272">
        <f>Model!Z530</f>
        <v>16990</v>
      </c>
      <c r="AA73" s="1272">
        <f>Model!AA530</f>
        <v>16513</v>
      </c>
      <c r="AB73" s="1272">
        <f>Model!AB530</f>
        <v>18019</v>
      </c>
      <c r="AC73" s="1272">
        <f>Model!AC530</f>
        <v>18027</v>
      </c>
      <c r="AD73" s="1272">
        <f>Model!AD530</f>
        <v>18602</v>
      </c>
      <c r="AE73" s="1272">
        <f>Model!AE530</f>
        <v>18648</v>
      </c>
      <c r="AF73" s="1273">
        <f>Model!AF530</f>
        <v>19486</v>
      </c>
      <c r="AG73" s="1274">
        <f>Model!AG530</f>
        <v>0</v>
      </c>
      <c r="AH73" s="1274">
        <f>Model!AH530</f>
        <v>0</v>
      </c>
      <c r="AI73" s="1274">
        <f>Model!AI530</f>
        <v>0</v>
      </c>
      <c r="AJ73" s="1274">
        <f>Model!AJ530</f>
        <v>0</v>
      </c>
      <c r="AK73" s="1274">
        <f>Model!AK530</f>
        <v>0</v>
      </c>
      <c r="AL73" s="1274">
        <f>Model!AL530</f>
        <v>0</v>
      </c>
      <c r="AM73" s="1274">
        <f>Model!AM530</f>
        <v>0</v>
      </c>
      <c r="AN73" s="1274">
        <f>Model!AN530</f>
        <v>0</v>
      </c>
      <c r="AO73" s="1274">
        <f>Model!AO530</f>
        <v>0</v>
      </c>
      <c r="AP73" s="1274">
        <f>Model!AP530</f>
        <v>0</v>
      </c>
      <c r="AQ73" s="1274">
        <f>Model!AQ530</f>
        <v>0</v>
      </c>
      <c r="AR73" s="1274">
        <f>Model!AR530</f>
        <v>0</v>
      </c>
      <c r="AS73" s="1274">
        <f>Model!AS530</f>
        <v>0</v>
      </c>
    </row>
    <row r="74" spans="1:45" s="851" customFormat="1">
      <c r="A74" s="851" t="s">
        <v>595</v>
      </c>
      <c r="C74" s="133"/>
      <c r="D74" s="133"/>
      <c r="E74" s="133"/>
      <c r="F74" s="133"/>
      <c r="G74" s="1108"/>
      <c r="H74" s="1108"/>
      <c r="I74" s="1108"/>
      <c r="J74" s="1108"/>
      <c r="K74" s="1108"/>
      <c r="L74" s="1108"/>
      <c r="M74" s="1108"/>
      <c r="N74" s="1108"/>
      <c r="O74" s="1108"/>
      <c r="P74" s="1108"/>
      <c r="Q74" s="1108"/>
      <c r="R74" s="1272">
        <f>Model!R574</f>
        <v>84381</v>
      </c>
      <c r="S74" s="1272">
        <f>Model!S574</f>
        <v>81867</v>
      </c>
      <c r="T74" s="1272">
        <f>Model!T574</f>
        <v>81297</v>
      </c>
      <c r="U74" s="1272">
        <f>Model!U574</f>
        <v>78509</v>
      </c>
      <c r="V74" s="1272">
        <f>Model!V574</f>
        <v>73827</v>
      </c>
      <c r="W74" s="1272">
        <f>Model!W574</f>
        <v>71927</v>
      </c>
      <c r="X74" s="1272">
        <f>Model!X574</f>
        <v>73511</v>
      </c>
      <c r="Y74" s="1272">
        <f>Model!Y574</f>
        <v>72424</v>
      </c>
      <c r="Z74" s="1272">
        <f>Model!Z574</f>
        <v>64125</v>
      </c>
      <c r="AA74" s="1272">
        <f>Model!AA574</f>
        <v>56481</v>
      </c>
      <c r="AB74" s="1272">
        <f>Model!AB574</f>
        <v>53268</v>
      </c>
      <c r="AC74" s="1272">
        <f>Model!AC574</f>
        <v>45441</v>
      </c>
      <c r="AD74" s="1272">
        <f>Model!AD574</f>
        <v>41384</v>
      </c>
      <c r="AE74" s="1272">
        <f>Model!AE574</f>
        <v>38101</v>
      </c>
      <c r="AF74" s="1273">
        <f>Model!AF574</f>
        <v>35842</v>
      </c>
      <c r="AG74" s="1274">
        <f>Model!AG574</f>
        <v>0</v>
      </c>
      <c r="AH74" s="1274">
        <f>Model!AH574</f>
        <v>0</v>
      </c>
      <c r="AI74" s="1274">
        <f>Model!AI574</f>
        <v>0</v>
      </c>
      <c r="AJ74" s="1274">
        <f>Model!AJ574</f>
        <v>0</v>
      </c>
      <c r="AK74" s="1274">
        <f>Model!AK574</f>
        <v>0</v>
      </c>
      <c r="AL74" s="1274">
        <f>Model!AL574</f>
        <v>0</v>
      </c>
      <c r="AM74" s="1274">
        <f>Model!AM574</f>
        <v>0</v>
      </c>
      <c r="AN74" s="1274">
        <f>Model!AN574</f>
        <v>0</v>
      </c>
      <c r="AO74" s="1274">
        <f>Model!AO574</f>
        <v>0</v>
      </c>
      <c r="AP74" s="1274">
        <f>Model!AP574</f>
        <v>0</v>
      </c>
      <c r="AQ74" s="1274">
        <f>Model!AQ574</f>
        <v>0</v>
      </c>
      <c r="AR74" s="1274">
        <f>Model!AR574</f>
        <v>0</v>
      </c>
      <c r="AS74" s="1274">
        <f>Model!AS574</f>
        <v>0</v>
      </c>
    </row>
    <row r="75" spans="1:45" s="851" customFormat="1">
      <c r="A75" s="851" t="s">
        <v>596</v>
      </c>
      <c r="C75" s="133"/>
      <c r="D75" s="133"/>
      <c r="E75" s="133"/>
      <c r="F75" s="133"/>
      <c r="G75" s="1108"/>
      <c r="H75" s="1108"/>
      <c r="I75" s="1108"/>
      <c r="J75" s="1108"/>
      <c r="K75" s="1108"/>
      <c r="L75" s="1108"/>
      <c r="M75" s="1108"/>
      <c r="N75" s="1108"/>
      <c r="O75" s="1108"/>
      <c r="P75" s="1108"/>
      <c r="Q75" s="1108"/>
      <c r="R75" s="1272">
        <f>Model!R619</f>
        <v>16086</v>
      </c>
      <c r="S75" s="1272">
        <f>Model!S619</f>
        <v>15488</v>
      </c>
      <c r="T75" s="1272">
        <f>Model!T619</f>
        <v>16383</v>
      </c>
      <c r="U75" s="1272">
        <f>Model!U619</f>
        <v>16354</v>
      </c>
      <c r="V75" s="1272">
        <f>Model!V619</f>
        <v>16331</v>
      </c>
      <c r="W75" s="1272">
        <f>Model!W619</f>
        <v>15061</v>
      </c>
      <c r="X75" s="1272">
        <f>Model!X619</f>
        <v>16178</v>
      </c>
      <c r="Y75" s="1272">
        <f>Model!Y619</f>
        <v>18467</v>
      </c>
      <c r="Z75" s="1272">
        <f>Model!Z619</f>
        <v>17455</v>
      </c>
      <c r="AA75" s="1272">
        <f>Model!AA619</f>
        <v>17850</v>
      </c>
      <c r="AB75" s="1272">
        <f>Model!AB619</f>
        <v>16756</v>
      </c>
      <c r="AC75" s="1272">
        <f>Model!AC619</f>
        <v>17338</v>
      </c>
      <c r="AD75" s="1272">
        <f>Model!AD619</f>
        <v>17180</v>
      </c>
      <c r="AE75" s="1272">
        <f>Model!AE619</f>
        <v>18021</v>
      </c>
      <c r="AF75" s="1273">
        <f>Model!AF619</f>
        <v>20718</v>
      </c>
      <c r="AG75" s="1274">
        <f>Model!AG619</f>
        <v>0</v>
      </c>
      <c r="AH75" s="1274">
        <f>Model!AH619</f>
        <v>0</v>
      </c>
      <c r="AI75" s="1274">
        <f>Model!AI619</f>
        <v>0</v>
      </c>
      <c r="AJ75" s="1274">
        <f>Model!AJ619</f>
        <v>0</v>
      </c>
      <c r="AK75" s="1274">
        <f>Model!AK619</f>
        <v>0</v>
      </c>
      <c r="AL75" s="1274">
        <f>Model!AL619</f>
        <v>0</v>
      </c>
      <c r="AM75" s="1274">
        <f>Model!AM619</f>
        <v>0</v>
      </c>
      <c r="AN75" s="1274">
        <f>Model!AN619</f>
        <v>0</v>
      </c>
      <c r="AO75" s="1274">
        <f>Model!AO619</f>
        <v>0</v>
      </c>
      <c r="AP75" s="1274">
        <f>Model!AP619</f>
        <v>0</v>
      </c>
      <c r="AQ75" s="1274">
        <f>Model!AQ619</f>
        <v>0</v>
      </c>
      <c r="AR75" s="1274">
        <f>Model!AR619</f>
        <v>0</v>
      </c>
      <c r="AS75" s="1274">
        <f>Model!AS619</f>
        <v>0</v>
      </c>
    </row>
    <row r="77" spans="1:45">
      <c r="A77" s="2" t="s">
        <v>602</v>
      </c>
      <c r="R77" s="883">
        <f>R68/R$68</f>
        <v>1</v>
      </c>
      <c r="S77" s="883">
        <f t="shared" ref="S77:AA77" si="57">S68/S$68</f>
        <v>1</v>
      </c>
      <c r="T77" s="883">
        <f t="shared" si="57"/>
        <v>1</v>
      </c>
      <c r="U77" s="883">
        <f t="shared" si="57"/>
        <v>1</v>
      </c>
      <c r="V77" s="883">
        <f t="shared" si="57"/>
        <v>1</v>
      </c>
      <c r="W77" s="883">
        <f t="shared" si="57"/>
        <v>1</v>
      </c>
      <c r="X77" s="883">
        <f t="shared" si="57"/>
        <v>1</v>
      </c>
      <c r="Y77" s="883">
        <f t="shared" si="57"/>
        <v>1</v>
      </c>
      <c r="Z77" s="883">
        <f t="shared" si="57"/>
        <v>1</v>
      </c>
      <c r="AA77" s="883">
        <f t="shared" si="57"/>
        <v>1</v>
      </c>
      <c r="AB77" s="883">
        <f t="shared" ref="AB77:AC77" si="58">AB68/AB$68</f>
        <v>1</v>
      </c>
      <c r="AC77" s="883">
        <f t="shared" si="58"/>
        <v>1</v>
      </c>
      <c r="AD77" s="883">
        <f t="shared" ref="AD77:AS77" si="59">AD68/AD$68</f>
        <v>1</v>
      </c>
      <c r="AE77" s="883">
        <f t="shared" si="59"/>
        <v>1</v>
      </c>
      <c r="AF77" s="1120">
        <f t="shared" si="59"/>
        <v>1</v>
      </c>
      <c r="AG77" s="920">
        <f t="shared" si="59"/>
        <v>1</v>
      </c>
      <c r="AH77" s="920">
        <f t="shared" si="59"/>
        <v>1</v>
      </c>
      <c r="AI77" s="920">
        <f t="shared" si="59"/>
        <v>1</v>
      </c>
      <c r="AJ77" s="920">
        <f t="shared" si="59"/>
        <v>1</v>
      </c>
      <c r="AK77" s="920">
        <f t="shared" si="59"/>
        <v>1</v>
      </c>
      <c r="AL77" s="920">
        <f t="shared" si="59"/>
        <v>1</v>
      </c>
      <c r="AM77" s="920">
        <f t="shared" si="59"/>
        <v>1</v>
      </c>
      <c r="AN77" s="920">
        <f t="shared" si="59"/>
        <v>1</v>
      </c>
      <c r="AO77" s="920">
        <f t="shared" si="59"/>
        <v>1</v>
      </c>
      <c r="AP77" s="920">
        <f t="shared" si="59"/>
        <v>1</v>
      </c>
      <c r="AQ77" s="920">
        <f t="shared" si="59"/>
        <v>1</v>
      </c>
      <c r="AR77" s="920">
        <f t="shared" si="59"/>
        <v>1</v>
      </c>
      <c r="AS77" s="920">
        <f t="shared" si="59"/>
        <v>1</v>
      </c>
    </row>
    <row r="78" spans="1:45">
      <c r="A78" s="851" t="s">
        <v>433</v>
      </c>
      <c r="R78" s="133">
        <f t="shared" ref="R78:AA84" si="60">R69/R$68</f>
        <v>0.1981629924131372</v>
      </c>
      <c r="S78" s="133">
        <f t="shared" si="60"/>
        <v>0.20593618919006051</v>
      </c>
      <c r="T78" s="133">
        <f t="shared" si="60"/>
        <v>0.20420857781503213</v>
      </c>
      <c r="U78" s="133">
        <f t="shared" si="60"/>
        <v>0.20546494610340266</v>
      </c>
      <c r="V78" s="133">
        <f t="shared" si="60"/>
        <v>0.21435560500891926</v>
      </c>
      <c r="W78" s="133">
        <f t="shared" si="60"/>
        <v>0.21092719181870434</v>
      </c>
      <c r="X78" s="133">
        <f t="shared" si="60"/>
        <v>0.2088419025936154</v>
      </c>
      <c r="Y78" s="133">
        <f t="shared" si="60"/>
        <v>0.20814910362619246</v>
      </c>
      <c r="Z78" s="133">
        <f t="shared" si="60"/>
        <v>0.22981860461798545</v>
      </c>
      <c r="AA78" s="133">
        <f t="shared" si="60"/>
        <v>0.23799156397929674</v>
      </c>
      <c r="AB78" s="133">
        <f t="shared" ref="AB78:AC78" si="61">AB69/AB$68</f>
        <v>0.24244071255851099</v>
      </c>
      <c r="AC78" s="133">
        <f t="shared" si="61"/>
        <v>0.24499244529836409</v>
      </c>
      <c r="AD78" s="133">
        <f t="shared" ref="AD78:AS78" si="62">AD69/AD$68</f>
        <v>0.24888051354189969</v>
      </c>
      <c r="AE78" s="133">
        <f t="shared" si="62"/>
        <v>0.24842579346564508</v>
      </c>
      <c r="AF78" s="1124">
        <f t="shared" si="62"/>
        <v>0.24345690006490273</v>
      </c>
      <c r="AG78" s="120">
        <f t="shared" si="62"/>
        <v>0.25270205533011203</v>
      </c>
      <c r="AH78" s="120">
        <f t="shared" si="62"/>
        <v>0.2546051731913217</v>
      </c>
      <c r="AI78" s="120">
        <f t="shared" si="62"/>
        <v>0.25709509610870962</v>
      </c>
      <c r="AJ78" s="120">
        <f t="shared" si="62"/>
        <v>0.25854277109347651</v>
      </c>
      <c r="AK78" s="120">
        <f t="shared" si="62"/>
        <v>0.25977868152047534</v>
      </c>
      <c r="AL78" s="120">
        <f t="shared" si="62"/>
        <v>0.26077921208386251</v>
      </c>
      <c r="AM78" s="120">
        <f t="shared" si="62"/>
        <v>0.26274781275594195</v>
      </c>
      <c r="AN78" s="120">
        <f t="shared" si="62"/>
        <v>0.26340963406144585</v>
      </c>
      <c r="AO78" s="120">
        <f t="shared" si="62"/>
        <v>0.26387305050289639</v>
      </c>
      <c r="AP78" s="120">
        <f t="shared" si="62"/>
        <v>0.26414794966550231</v>
      </c>
      <c r="AQ78" s="120">
        <f t="shared" si="62"/>
        <v>0.26535313309318492</v>
      </c>
      <c r="AR78" s="120">
        <f t="shared" si="62"/>
        <v>0.26532021150611973</v>
      </c>
      <c r="AS78" s="120">
        <f t="shared" si="62"/>
        <v>0.26512218697315654</v>
      </c>
    </row>
    <row r="79" spans="1:45">
      <c r="A79" s="851" t="s">
        <v>437</v>
      </c>
      <c r="R79" s="133">
        <f t="shared" si="60"/>
        <v>0.10196500461218332</v>
      </c>
      <c r="S79" s="133">
        <f t="shared" si="60"/>
        <v>0.1061507545608574</v>
      </c>
      <c r="T79" s="133">
        <f t="shared" si="60"/>
        <v>0.10858480022352612</v>
      </c>
      <c r="U79" s="133">
        <f t="shared" si="60"/>
        <v>0.1147906053868453</v>
      </c>
      <c r="V79" s="133">
        <f t="shared" si="60"/>
        <v>0.11114290255921157</v>
      </c>
      <c r="W79" s="133">
        <f t="shared" si="60"/>
        <v>0.11398577888956769</v>
      </c>
      <c r="X79" s="133">
        <f t="shared" si="60"/>
        <v>0.11338195923013682</v>
      </c>
      <c r="Y79" s="133">
        <f t="shared" si="60"/>
        <v>0.11340042628627399</v>
      </c>
      <c r="Z79" s="133">
        <f t="shared" si="60"/>
        <v>0.1177964348638643</v>
      </c>
      <c r="AA79" s="133">
        <f t="shared" si="60"/>
        <v>0.12382531174596158</v>
      </c>
      <c r="AB79" s="133">
        <f t="shared" ref="AB79:AC79" si="63">AB70/AB$68</f>
        <v>0.12370314498894484</v>
      </c>
      <c r="AC79" s="133">
        <f t="shared" si="63"/>
        <v>0.1315152306515697</v>
      </c>
      <c r="AD79" s="133">
        <f t="shared" ref="AD79:AS79" si="64">AD70/AD$68</f>
        <v>0.13571853778574869</v>
      </c>
      <c r="AE79" s="133">
        <f t="shared" si="64"/>
        <v>0.14080135113770886</v>
      </c>
      <c r="AF79" s="1118">
        <f t="shared" si="64"/>
        <v>0.14043515010641028</v>
      </c>
      <c r="AG79" s="120">
        <f t="shared" si="64"/>
        <v>0.14507422794162048</v>
      </c>
      <c r="AH79" s="120">
        <f t="shared" si="64"/>
        <v>0.14660439460214314</v>
      </c>
      <c r="AI79" s="120">
        <f t="shared" si="64"/>
        <v>0.14848132337431022</v>
      </c>
      <c r="AJ79" s="120">
        <f t="shared" si="64"/>
        <v>0.14976444022096022</v>
      </c>
      <c r="AK79" s="120">
        <f t="shared" si="64"/>
        <v>0.15093087436500788</v>
      </c>
      <c r="AL79" s="120">
        <f t="shared" si="64"/>
        <v>0.15204402672098211</v>
      </c>
      <c r="AM79" s="120">
        <f t="shared" si="64"/>
        <v>0.15372953653290022</v>
      </c>
      <c r="AN79" s="120">
        <f t="shared" si="64"/>
        <v>0.15465774648045447</v>
      </c>
      <c r="AO79" s="120">
        <f t="shared" si="64"/>
        <v>0.15547367879230781</v>
      </c>
      <c r="AP79" s="120">
        <f t="shared" si="64"/>
        <v>0.15622763457083272</v>
      </c>
      <c r="AQ79" s="120">
        <f t="shared" si="64"/>
        <v>0.15753737659360989</v>
      </c>
      <c r="AR79" s="120">
        <f t="shared" si="64"/>
        <v>0.15811697610702924</v>
      </c>
      <c r="AS79" s="120">
        <f t="shared" si="64"/>
        <v>0.15859993861788543</v>
      </c>
    </row>
    <row r="80" spans="1:45">
      <c r="A80" s="851" t="s">
        <v>438</v>
      </c>
      <c r="R80" s="133">
        <f t="shared" si="60"/>
        <v>9.0409518974307643E-2</v>
      </c>
      <c r="S80" s="133">
        <f t="shared" si="60"/>
        <v>8.8165233245811672E-2</v>
      </c>
      <c r="T80" s="133">
        <f t="shared" si="60"/>
        <v>9.3273260687342832E-2</v>
      </c>
      <c r="U80" s="133">
        <f t="shared" si="60"/>
        <v>9.1103543384650029E-2</v>
      </c>
      <c r="V80" s="133">
        <f t="shared" si="60"/>
        <v>9.6292763913174026E-2</v>
      </c>
      <c r="W80" s="133">
        <f t="shared" si="60"/>
        <v>9.2061265729437403E-2</v>
      </c>
      <c r="X80" s="133">
        <f t="shared" si="60"/>
        <v>9.3478367800099785E-2</v>
      </c>
      <c r="Y80" s="133">
        <f t="shared" si="60"/>
        <v>9.2551716526525635E-2</v>
      </c>
      <c r="Z80" s="133">
        <f t="shared" si="60"/>
        <v>9.8611893773494733E-2</v>
      </c>
      <c r="AA80" s="133">
        <f t="shared" si="60"/>
        <v>0.11657180748190307</v>
      </c>
      <c r="AB80" s="133">
        <f t="shared" ref="AB80:AC80" si="65">AB71/AB$68</f>
        <v>0.11929217413167099</v>
      </c>
      <c r="AC80" s="133">
        <f t="shared" si="65"/>
        <v>0.12910145684493277</v>
      </c>
      <c r="AD80" s="133">
        <f t="shared" ref="AD80:AS80" si="66">AD71/AD$68</f>
        <v>0.12541660821196873</v>
      </c>
      <c r="AE80" s="133">
        <f t="shared" si="66"/>
        <v>0.1245213756617837</v>
      </c>
      <c r="AF80" s="1118">
        <f t="shared" si="66"/>
        <v>0.11787013418260305</v>
      </c>
      <c r="AG80" s="120">
        <f t="shared" si="66"/>
        <v>0</v>
      </c>
      <c r="AH80" s="120">
        <f t="shared" si="66"/>
        <v>0</v>
      </c>
      <c r="AI80" s="120">
        <f t="shared" si="66"/>
        <v>0</v>
      </c>
      <c r="AJ80" s="120">
        <f t="shared" si="66"/>
        <v>0</v>
      </c>
      <c r="AK80" s="120">
        <f t="shared" si="66"/>
        <v>0</v>
      </c>
      <c r="AL80" s="120">
        <f t="shared" si="66"/>
        <v>0</v>
      </c>
      <c r="AM80" s="120">
        <f t="shared" si="66"/>
        <v>0</v>
      </c>
      <c r="AN80" s="120">
        <f t="shared" si="66"/>
        <v>0</v>
      </c>
      <c r="AO80" s="120">
        <f t="shared" si="66"/>
        <v>0</v>
      </c>
      <c r="AP80" s="120">
        <f t="shared" si="66"/>
        <v>0</v>
      </c>
      <c r="AQ80" s="120">
        <f t="shared" si="66"/>
        <v>0</v>
      </c>
      <c r="AR80" s="120">
        <f t="shared" si="66"/>
        <v>0</v>
      </c>
      <c r="AS80" s="120">
        <f t="shared" si="66"/>
        <v>0</v>
      </c>
    </row>
    <row r="81" spans="1:45">
      <c r="A81" s="851" t="s">
        <v>593</v>
      </c>
      <c r="R81" s="133">
        <f t="shared" si="60"/>
        <v>0.20936094446073208</v>
      </c>
      <c r="S81" s="133">
        <f t="shared" si="60"/>
        <v>0.21126629389366297</v>
      </c>
      <c r="T81" s="133">
        <f t="shared" si="60"/>
        <v>0.2103974573903325</v>
      </c>
      <c r="U81" s="133">
        <f t="shared" si="60"/>
        <v>0.21210351524021276</v>
      </c>
      <c r="V81" s="133">
        <f t="shared" si="60"/>
        <v>0.21627015666119148</v>
      </c>
      <c r="W81" s="133">
        <f t="shared" si="60"/>
        <v>0.21952348073787825</v>
      </c>
      <c r="X81" s="133">
        <f t="shared" si="60"/>
        <v>0.21626929752443591</v>
      </c>
      <c r="Y81" s="133">
        <f t="shared" si="60"/>
        <v>0.216723113959151</v>
      </c>
      <c r="Z81" s="133">
        <f t="shared" si="60"/>
        <v>0.20221697541211633</v>
      </c>
      <c r="AA81" s="133">
        <f t="shared" si="60"/>
        <v>0.18695548065056825</v>
      </c>
      <c r="AB81" s="133">
        <f t="shared" ref="AB81:AC81" si="67">AB72/AB$68</f>
        <v>0.18903579800489534</v>
      </c>
      <c r="AC81" s="133">
        <f t="shared" si="67"/>
        <v>0.19292656083866516</v>
      </c>
      <c r="AD81" s="133">
        <f t="shared" ref="AD81:AS81" si="68">AD72/AD$68</f>
        <v>0.1973974072655714</v>
      </c>
      <c r="AE81" s="133">
        <f t="shared" si="68"/>
        <v>0.19793936075453947</v>
      </c>
      <c r="AF81" s="1124">
        <f t="shared" si="68"/>
        <v>0.21128477201032406</v>
      </c>
      <c r="AG81" s="120">
        <f t="shared" si="68"/>
        <v>0</v>
      </c>
      <c r="AH81" s="120">
        <f t="shared" si="68"/>
        <v>0</v>
      </c>
      <c r="AI81" s="120">
        <f t="shared" si="68"/>
        <v>0</v>
      </c>
      <c r="AJ81" s="120">
        <f t="shared" si="68"/>
        <v>0</v>
      </c>
      <c r="AK81" s="120">
        <f t="shared" si="68"/>
        <v>0</v>
      </c>
      <c r="AL81" s="120">
        <f t="shared" si="68"/>
        <v>0</v>
      </c>
      <c r="AM81" s="120">
        <f t="shared" si="68"/>
        <v>0</v>
      </c>
      <c r="AN81" s="120">
        <f t="shared" si="68"/>
        <v>0</v>
      </c>
      <c r="AO81" s="120">
        <f t="shared" si="68"/>
        <v>0</v>
      </c>
      <c r="AP81" s="120">
        <f t="shared" si="68"/>
        <v>0</v>
      </c>
      <c r="AQ81" s="120">
        <f t="shared" si="68"/>
        <v>0</v>
      </c>
      <c r="AR81" s="120">
        <f t="shared" si="68"/>
        <v>0</v>
      </c>
      <c r="AS81" s="120">
        <f t="shared" si="68"/>
        <v>0</v>
      </c>
    </row>
    <row r="82" spans="1:45">
      <c r="A82" s="851" t="s">
        <v>594</v>
      </c>
      <c r="R82" s="133">
        <f t="shared" si="60"/>
        <v>4.08982673922215E-2</v>
      </c>
      <c r="S82" s="133">
        <f t="shared" si="60"/>
        <v>3.9750115521422505E-2</v>
      </c>
      <c r="T82" s="133">
        <f t="shared" si="60"/>
        <v>4.2379156188879573E-2</v>
      </c>
      <c r="U82" s="133">
        <f t="shared" si="60"/>
        <v>4.2804171005600744E-2</v>
      </c>
      <c r="V82" s="133">
        <f t="shared" si="60"/>
        <v>4.3465974319574704E-2</v>
      </c>
      <c r="W82" s="133">
        <f t="shared" si="60"/>
        <v>4.9047286818903163E-2</v>
      </c>
      <c r="X82" s="133">
        <f t="shared" si="60"/>
        <v>5.2912283660433837E-2</v>
      </c>
      <c r="Y82" s="133">
        <f t="shared" si="60"/>
        <v>5.5700026901560978E-2</v>
      </c>
      <c r="Z82" s="133">
        <f t="shared" si="60"/>
        <v>6.0595901306075284E-2</v>
      </c>
      <c r="AA82" s="133">
        <f t="shared" si="60"/>
        <v>6.0831445359267648E-2</v>
      </c>
      <c r="AB82" s="133">
        <f t="shared" ref="AB82:AC82" si="69">AB73/AB$68</f>
        <v>6.6623037617114425E-2</v>
      </c>
      <c r="AC82" s="133">
        <f t="shared" si="69"/>
        <v>6.7253632785539738E-2</v>
      </c>
      <c r="AD82" s="133">
        <f t="shared" ref="AD82:AS82" si="70">AD73/AD$68</f>
        <v>7.0532386430421215E-2</v>
      </c>
      <c r="AE82" s="133">
        <f t="shared" si="70"/>
        <v>7.1906438340846077E-2</v>
      </c>
      <c r="AF82" s="1118">
        <f t="shared" si="70"/>
        <v>7.3528745868111631E-2</v>
      </c>
      <c r="AG82" s="120">
        <f t="shared" si="70"/>
        <v>0</v>
      </c>
      <c r="AH82" s="120">
        <f t="shared" si="70"/>
        <v>0</v>
      </c>
      <c r="AI82" s="120">
        <f t="shared" si="70"/>
        <v>0</v>
      </c>
      <c r="AJ82" s="120">
        <f t="shared" si="70"/>
        <v>0</v>
      </c>
      <c r="AK82" s="120">
        <f t="shared" si="70"/>
        <v>0</v>
      </c>
      <c r="AL82" s="120">
        <f t="shared" si="70"/>
        <v>0</v>
      </c>
      <c r="AM82" s="120">
        <f t="shared" si="70"/>
        <v>0</v>
      </c>
      <c r="AN82" s="120">
        <f t="shared" si="70"/>
        <v>0</v>
      </c>
      <c r="AO82" s="120">
        <f t="shared" si="70"/>
        <v>0</v>
      </c>
      <c r="AP82" s="120">
        <f t="shared" si="70"/>
        <v>0</v>
      </c>
      <c r="AQ82" s="120">
        <f t="shared" si="70"/>
        <v>0</v>
      </c>
      <c r="AR82" s="120">
        <f t="shared" si="70"/>
        <v>0</v>
      </c>
      <c r="AS82" s="120">
        <f t="shared" si="70"/>
        <v>0</v>
      </c>
    </row>
    <row r="83" spans="1:45">
      <c r="A83" s="851" t="s">
        <v>595</v>
      </c>
      <c r="R83" s="133">
        <f t="shared" si="60"/>
        <v>0.30169041881484765</v>
      </c>
      <c r="S83" s="133">
        <f t="shared" si="60"/>
        <v>0.29325247430767742</v>
      </c>
      <c r="T83" s="133">
        <f t="shared" si="60"/>
        <v>0.28393755238893548</v>
      </c>
      <c r="U83" s="133">
        <f t="shared" si="60"/>
        <v>0.2761989530269342</v>
      </c>
      <c r="V83" s="133">
        <f t="shared" si="60"/>
        <v>0.2607852487680814</v>
      </c>
      <c r="W83" s="133">
        <f t="shared" si="60"/>
        <v>0.26001062787612378</v>
      </c>
      <c r="X83" s="133">
        <f t="shared" si="60"/>
        <v>0.25827588872258644</v>
      </c>
      <c r="Y83" s="133">
        <f t="shared" si="60"/>
        <v>0.24978444262034999</v>
      </c>
      <c r="Z83" s="133">
        <f t="shared" si="60"/>
        <v>0.22870583703661435</v>
      </c>
      <c r="AA83" s="133">
        <f t="shared" si="60"/>
        <v>0.2080676355196994</v>
      </c>
      <c r="AB83" s="133">
        <f t="shared" ref="AB83:AC83" si="71">AB74/AB$68</f>
        <v>0.19695188233467179</v>
      </c>
      <c r="AC83" s="133">
        <f t="shared" si="71"/>
        <v>0.16952750471003003</v>
      </c>
      <c r="AD83" s="133">
        <f t="shared" ref="AD83:AS83" si="72">AD74/AD$68</f>
        <v>0.15691389528204233</v>
      </c>
      <c r="AE83" s="133">
        <f t="shared" si="72"/>
        <v>0.14691694590436383</v>
      </c>
      <c r="AF83" s="1118">
        <f t="shared" si="72"/>
        <v>0.13524670580954826</v>
      </c>
      <c r="AG83" s="120">
        <f t="shared" si="72"/>
        <v>0</v>
      </c>
      <c r="AH83" s="120">
        <f t="shared" si="72"/>
        <v>0</v>
      </c>
      <c r="AI83" s="120">
        <f t="shared" si="72"/>
        <v>0</v>
      </c>
      <c r="AJ83" s="120">
        <f t="shared" si="72"/>
        <v>0</v>
      </c>
      <c r="AK83" s="120">
        <f t="shared" si="72"/>
        <v>0</v>
      </c>
      <c r="AL83" s="120">
        <f t="shared" si="72"/>
        <v>0</v>
      </c>
      <c r="AM83" s="120">
        <f t="shared" si="72"/>
        <v>0</v>
      </c>
      <c r="AN83" s="120">
        <f t="shared" si="72"/>
        <v>0</v>
      </c>
      <c r="AO83" s="120">
        <f t="shared" si="72"/>
        <v>0</v>
      </c>
      <c r="AP83" s="120">
        <f t="shared" si="72"/>
        <v>0</v>
      </c>
      <c r="AQ83" s="120">
        <f t="shared" si="72"/>
        <v>0</v>
      </c>
      <c r="AR83" s="120">
        <f t="shared" si="72"/>
        <v>0</v>
      </c>
      <c r="AS83" s="120">
        <f t="shared" si="72"/>
        <v>0</v>
      </c>
    </row>
    <row r="84" spans="1:45">
      <c r="A84" s="851" t="s">
        <v>596</v>
      </c>
      <c r="R84" s="133">
        <f t="shared" si="60"/>
        <v>5.7512853332570592E-2</v>
      </c>
      <c r="S84" s="133">
        <f t="shared" si="60"/>
        <v>5.5478939280507504E-2</v>
      </c>
      <c r="T84" s="133">
        <f t="shared" si="60"/>
        <v>5.7219195305951383E-2</v>
      </c>
      <c r="U84" s="133">
        <f t="shared" si="60"/>
        <v>5.7534265852354285E-2</v>
      </c>
      <c r="V84" s="133">
        <f t="shared" si="60"/>
        <v>5.7687348769847581E-2</v>
      </c>
      <c r="W84" s="133">
        <f t="shared" si="60"/>
        <v>5.4444368129385357E-2</v>
      </c>
      <c r="X84" s="133">
        <f t="shared" si="60"/>
        <v>5.6840300468691811E-2</v>
      </c>
      <c r="Y84" s="133">
        <f t="shared" si="60"/>
        <v>6.3691170079945916E-2</v>
      </c>
      <c r="Z84" s="133">
        <f t="shared" si="60"/>
        <v>6.2254352989849562E-2</v>
      </c>
      <c r="AA84" s="133">
        <f t="shared" si="60"/>
        <v>6.575675526330331E-2</v>
      </c>
      <c r="AB84" s="133">
        <f t="shared" ref="AB84:AC84" si="73">AB75/AB$68</f>
        <v>6.1953250364191643E-2</v>
      </c>
      <c r="AC84" s="133">
        <f t="shared" si="73"/>
        <v>6.4683168870898547E-2</v>
      </c>
      <c r="AD84" s="133">
        <f t="shared" ref="AD84:AS84" si="74">AD75/AD$68</f>
        <v>6.5140651482347947E-2</v>
      </c>
      <c r="AE84" s="133">
        <f t="shared" si="74"/>
        <v>6.9488734735112995E-2</v>
      </c>
      <c r="AF84" s="1118">
        <f t="shared" si="74"/>
        <v>7.8177591958100007E-2</v>
      </c>
      <c r="AG84" s="120">
        <f t="shared" si="74"/>
        <v>0</v>
      </c>
      <c r="AH84" s="120">
        <f t="shared" si="74"/>
        <v>0</v>
      </c>
      <c r="AI84" s="120">
        <f t="shared" si="74"/>
        <v>0</v>
      </c>
      <c r="AJ84" s="120">
        <f t="shared" si="74"/>
        <v>0</v>
      </c>
      <c r="AK84" s="120">
        <f t="shared" si="74"/>
        <v>0</v>
      </c>
      <c r="AL84" s="120">
        <f t="shared" si="74"/>
        <v>0</v>
      </c>
      <c r="AM84" s="120">
        <f t="shared" si="74"/>
        <v>0</v>
      </c>
      <c r="AN84" s="120">
        <f t="shared" si="74"/>
        <v>0</v>
      </c>
      <c r="AO84" s="120">
        <f t="shared" si="74"/>
        <v>0</v>
      </c>
      <c r="AP84" s="120">
        <f t="shared" si="74"/>
        <v>0</v>
      </c>
      <c r="AQ84" s="120">
        <f t="shared" si="74"/>
        <v>0</v>
      </c>
      <c r="AR84" s="120">
        <f t="shared" si="74"/>
        <v>0</v>
      </c>
      <c r="AS84" s="120">
        <f t="shared" si="74"/>
        <v>0</v>
      </c>
    </row>
    <row r="86" spans="1:45" s="914" customFormat="1">
      <c r="A86" s="914" t="s">
        <v>603</v>
      </c>
      <c r="C86" s="1111"/>
      <c r="D86" s="1111"/>
      <c r="E86" s="1111"/>
      <c r="F86" s="1111"/>
      <c r="G86" s="1111"/>
      <c r="H86" s="1111"/>
      <c r="I86" s="1111"/>
      <c r="J86" s="1111"/>
      <c r="K86" s="1111"/>
      <c r="L86" s="1111"/>
      <c r="M86" s="1111"/>
      <c r="N86" s="1111"/>
      <c r="O86" s="1111"/>
      <c r="P86" s="1111"/>
      <c r="Q86" s="1111"/>
      <c r="R86" s="1111">
        <f t="shared" ref="R86:AA86" si="75">R68-Q68</f>
        <v>279694</v>
      </c>
      <c r="S86" s="1111">
        <f t="shared" si="75"/>
        <v>-525</v>
      </c>
      <c r="T86" s="1111">
        <f t="shared" si="75"/>
        <v>7151</v>
      </c>
      <c r="U86" s="1111">
        <f t="shared" si="75"/>
        <v>-2072</v>
      </c>
      <c r="V86" s="1111">
        <f t="shared" si="75"/>
        <v>-1153</v>
      </c>
      <c r="W86" s="1111">
        <f t="shared" si="75"/>
        <v>-6464</v>
      </c>
      <c r="X86" s="1111">
        <f t="shared" si="75"/>
        <v>7991</v>
      </c>
      <c r="Y86" s="1111">
        <f t="shared" si="75"/>
        <v>5324</v>
      </c>
      <c r="Z86" s="1111">
        <f t="shared" si="75"/>
        <v>-9564</v>
      </c>
      <c r="AA86" s="1111">
        <f t="shared" si="75"/>
        <v>-8927</v>
      </c>
      <c r="AB86" s="1111">
        <f>AB68-AA68</f>
        <v>-993</v>
      </c>
      <c r="AC86" s="1111">
        <f t="shared" ref="AC86:AS86" si="76">AC68-AB68</f>
        <v>-2417</v>
      </c>
      <c r="AD86" s="1111">
        <f t="shared" si="76"/>
        <v>-4308</v>
      </c>
      <c r="AE86" s="1111">
        <f t="shared" si="76"/>
        <v>-4400</v>
      </c>
      <c r="AF86" s="1122">
        <f t="shared" si="76"/>
        <v>5675</v>
      </c>
      <c r="AG86" s="1109">
        <f t="shared" si="76"/>
        <v>-4998.382366920152</v>
      </c>
      <c r="AH86" s="1109">
        <f t="shared" si="76"/>
        <v>878.96445194154512</v>
      </c>
      <c r="AI86" s="1109">
        <f t="shared" si="76"/>
        <v>299.0435691945313</v>
      </c>
      <c r="AJ86" s="1109">
        <f t="shared" si="76"/>
        <v>1378.147330455191</v>
      </c>
      <c r="AK86" s="1109">
        <f t="shared" si="76"/>
        <v>1608.870860651019</v>
      </c>
      <c r="AL86" s="1109">
        <f t="shared" si="76"/>
        <v>1777.9728257204988</v>
      </c>
      <c r="AM86" s="1109">
        <f t="shared" si="76"/>
        <v>807.37823597103124</v>
      </c>
      <c r="AN86" s="1109">
        <f t="shared" si="76"/>
        <v>2152.3629501789692</v>
      </c>
      <c r="AO86" s="1109">
        <f t="shared" si="76"/>
        <v>2375.2700160791283</v>
      </c>
      <c r="AP86" s="1109">
        <f t="shared" si="76"/>
        <v>2495.3421730057453</v>
      </c>
      <c r="AQ86" s="1109">
        <f t="shared" si="76"/>
        <v>1549.9119241154403</v>
      </c>
      <c r="AR86" s="1109">
        <f t="shared" si="76"/>
        <v>2856.5454842692707</v>
      </c>
      <c r="AS86" s="1109">
        <f t="shared" si="76"/>
        <v>3061.2260155879194</v>
      </c>
    </row>
    <row r="87" spans="1:45" s="868" customFormat="1">
      <c r="A87" s="868" t="s">
        <v>433</v>
      </c>
      <c r="C87" s="1126"/>
      <c r="D87" s="1126"/>
      <c r="E87" s="1126"/>
      <c r="F87" s="1126"/>
      <c r="G87" s="1127"/>
      <c r="H87" s="1127"/>
      <c r="I87" s="1127"/>
      <c r="J87" s="1127"/>
      <c r="K87" s="1127"/>
      <c r="L87" s="1127"/>
      <c r="M87" s="1127"/>
      <c r="N87" s="1127"/>
      <c r="O87" s="1127"/>
      <c r="P87" s="1127"/>
      <c r="Q87" s="1127"/>
      <c r="R87" s="1275">
        <f t="shared" ref="R87:AS87" si="77">R69-Q69</f>
        <v>55425</v>
      </c>
      <c r="S87" s="1275">
        <f t="shared" si="77"/>
        <v>2066</v>
      </c>
      <c r="T87" s="1275">
        <f t="shared" si="77"/>
        <v>978</v>
      </c>
      <c r="U87" s="1275">
        <f t="shared" si="77"/>
        <v>-66</v>
      </c>
      <c r="V87" s="1275">
        <f t="shared" si="77"/>
        <v>2280</v>
      </c>
      <c r="W87" s="1275">
        <f t="shared" si="77"/>
        <v>-2334</v>
      </c>
      <c r="X87" s="1275">
        <f t="shared" si="77"/>
        <v>1092</v>
      </c>
      <c r="Y87" s="1275">
        <f t="shared" si="77"/>
        <v>911</v>
      </c>
      <c r="Z87" s="1275">
        <f t="shared" si="77"/>
        <v>4085</v>
      </c>
      <c r="AA87" s="1275">
        <f t="shared" si="77"/>
        <v>167</v>
      </c>
      <c r="AB87" s="1275">
        <f t="shared" si="77"/>
        <v>967</v>
      </c>
      <c r="AC87" s="1275">
        <f t="shared" si="77"/>
        <v>98</v>
      </c>
      <c r="AD87" s="1275">
        <f t="shared" si="77"/>
        <v>-30</v>
      </c>
      <c r="AE87" s="1275">
        <f t="shared" si="77"/>
        <v>-1213</v>
      </c>
      <c r="AF87" s="1276">
        <f t="shared" si="77"/>
        <v>93</v>
      </c>
      <c r="AG87" s="1277">
        <f t="shared" si="77"/>
        <v>1186.9755896971328</v>
      </c>
      <c r="AH87" s="1277">
        <f t="shared" si="77"/>
        <v>718.62545639085874</v>
      </c>
      <c r="AI87" s="1277">
        <f t="shared" si="77"/>
        <v>726.48505427275086</v>
      </c>
      <c r="AJ87" s="1277">
        <f t="shared" si="77"/>
        <v>734.4306124811701</v>
      </c>
      <c r="AK87" s="1277">
        <f t="shared" si="77"/>
        <v>742.46307116310345</v>
      </c>
      <c r="AL87" s="1277">
        <f t="shared" si="77"/>
        <v>727.97715995933686</v>
      </c>
      <c r="AM87" s="1277">
        <f t="shared" si="77"/>
        <v>735.69923989071685</v>
      </c>
      <c r="AN87" s="1277">
        <f t="shared" si="77"/>
        <v>743.5032324448548</v>
      </c>
      <c r="AO87" s="1277">
        <f t="shared" si="77"/>
        <v>751.39000651688548</v>
      </c>
      <c r="AP87" s="1277">
        <f t="shared" si="77"/>
        <v>733.71736003768456</v>
      </c>
      <c r="AQ87" s="1277">
        <f t="shared" si="77"/>
        <v>741.23750409773493</v>
      </c>
      <c r="AR87" s="1277">
        <f t="shared" si="77"/>
        <v>748.83472493111913</v>
      </c>
      <c r="AS87" s="1277">
        <f t="shared" si="77"/>
        <v>756.50981252665224</v>
      </c>
    </row>
    <row r="88" spans="1:45" s="868" customFormat="1">
      <c r="A88" s="868" t="s">
        <v>437</v>
      </c>
      <c r="C88" s="1126"/>
      <c r="D88" s="1126"/>
      <c r="E88" s="1126"/>
      <c r="F88" s="1126"/>
      <c r="G88" s="1127"/>
      <c r="H88" s="1127"/>
      <c r="I88" s="1127"/>
      <c r="J88" s="1127"/>
      <c r="K88" s="1127"/>
      <c r="L88" s="1127"/>
      <c r="M88" s="1127"/>
      <c r="N88" s="1127"/>
      <c r="O88" s="1127"/>
      <c r="P88" s="1127"/>
      <c r="Q88" s="1127"/>
      <c r="R88" s="1275">
        <f t="shared" ref="R88:AS88" si="78">R70-Q70</f>
        <v>28519</v>
      </c>
      <c r="S88" s="1275">
        <f t="shared" si="78"/>
        <v>1115</v>
      </c>
      <c r="T88" s="1275">
        <f t="shared" si="78"/>
        <v>1456</v>
      </c>
      <c r="U88" s="1275">
        <f t="shared" si="78"/>
        <v>1539</v>
      </c>
      <c r="V88" s="1275">
        <f t="shared" si="78"/>
        <v>-1165</v>
      </c>
      <c r="W88" s="1275">
        <f t="shared" si="78"/>
        <v>68</v>
      </c>
      <c r="X88" s="1275">
        <f t="shared" si="78"/>
        <v>739</v>
      </c>
      <c r="Y88" s="1275">
        <f t="shared" si="78"/>
        <v>609</v>
      </c>
      <c r="Z88" s="1275">
        <f t="shared" si="78"/>
        <v>148</v>
      </c>
      <c r="AA88" s="1275">
        <f t="shared" si="78"/>
        <v>585</v>
      </c>
      <c r="AB88" s="1275">
        <f t="shared" si="78"/>
        <v>-156</v>
      </c>
      <c r="AC88" s="1275">
        <f t="shared" si="78"/>
        <v>1795</v>
      </c>
      <c r="AD88" s="1275">
        <f t="shared" si="78"/>
        <v>542</v>
      </c>
      <c r="AE88" s="1275">
        <f t="shared" si="78"/>
        <v>721</v>
      </c>
      <c r="AF88" s="1276">
        <f t="shared" si="78"/>
        <v>702</v>
      </c>
      <c r="AG88" s="1277">
        <f t="shared" si="78"/>
        <v>504.27483242677408</v>
      </c>
      <c r="AH88" s="1277">
        <f t="shared" si="78"/>
        <v>526.72422033772455</v>
      </c>
      <c r="AI88" s="1277">
        <f t="shared" si="78"/>
        <v>534.07917866091884</v>
      </c>
      <c r="AJ88" s="1277">
        <f t="shared" si="78"/>
        <v>541.53683856845601</v>
      </c>
      <c r="AK88" s="1277">
        <f t="shared" si="78"/>
        <v>549.09863414260326</v>
      </c>
      <c r="AL88" s="1277">
        <f t="shared" si="78"/>
        <v>564.40122761752718</v>
      </c>
      <c r="AM88" s="1277">
        <f t="shared" si="78"/>
        <v>572.39036896616017</v>
      </c>
      <c r="AN88" s="1277">
        <f t="shared" si="78"/>
        <v>580.49259720470582</v>
      </c>
      <c r="AO88" s="1277">
        <f t="shared" si="78"/>
        <v>588.70951308648364</v>
      </c>
      <c r="AP88" s="1277">
        <f t="shared" si="78"/>
        <v>594.38329563401203</v>
      </c>
      <c r="AQ88" s="1277">
        <f t="shared" si="78"/>
        <v>602.75935843474872</v>
      </c>
      <c r="AR88" s="1277">
        <f t="shared" si="78"/>
        <v>611.25345690128597</v>
      </c>
      <c r="AS88" s="1277">
        <f t="shared" si="78"/>
        <v>619.86725439490692</v>
      </c>
    </row>
    <row r="89" spans="1:45" s="868" customFormat="1">
      <c r="A89" s="868" t="s">
        <v>438</v>
      </c>
      <c r="C89" s="1126"/>
      <c r="D89" s="1126"/>
      <c r="E89" s="1126"/>
      <c r="F89" s="1126"/>
      <c r="G89" s="1127"/>
      <c r="H89" s="1127"/>
      <c r="I89" s="1127"/>
      <c r="J89" s="1127"/>
      <c r="K89" s="1127"/>
      <c r="L89" s="1127"/>
      <c r="M89" s="1127"/>
      <c r="N89" s="1127"/>
      <c r="O89" s="1127"/>
      <c r="P89" s="1127"/>
      <c r="Q89" s="1127"/>
      <c r="R89" s="1275">
        <f t="shared" ref="R89:AS89" si="79">R71-Q71</f>
        <v>25287</v>
      </c>
      <c r="S89" s="1275">
        <f t="shared" si="79"/>
        <v>-674</v>
      </c>
      <c r="T89" s="1275">
        <f t="shared" si="79"/>
        <v>2093</v>
      </c>
      <c r="U89" s="1275">
        <f t="shared" si="79"/>
        <v>-810</v>
      </c>
      <c r="V89" s="1275">
        <f t="shared" si="79"/>
        <v>1364</v>
      </c>
      <c r="W89" s="1275">
        <f t="shared" si="79"/>
        <v>-1793</v>
      </c>
      <c r="X89" s="1275">
        <f t="shared" si="79"/>
        <v>1139</v>
      </c>
      <c r="Y89" s="1275">
        <f t="shared" si="79"/>
        <v>229</v>
      </c>
      <c r="Z89" s="1275">
        <f t="shared" si="79"/>
        <v>814</v>
      </c>
      <c r="AA89" s="1275">
        <f t="shared" si="79"/>
        <v>3995</v>
      </c>
      <c r="AB89" s="1275">
        <f t="shared" si="79"/>
        <v>620</v>
      </c>
      <c r="AC89" s="1275">
        <f t="shared" si="79"/>
        <v>2341</v>
      </c>
      <c r="AD89" s="1275">
        <f t="shared" si="79"/>
        <v>-1528</v>
      </c>
      <c r="AE89" s="1275">
        <f t="shared" si="79"/>
        <v>-784</v>
      </c>
      <c r="AF89" s="1276">
        <f t="shared" si="79"/>
        <v>-1056</v>
      </c>
      <c r="AG89" s="1277">
        <f t="shared" si="79"/>
        <v>-31237</v>
      </c>
      <c r="AH89" s="1277">
        <f t="shared" si="79"/>
        <v>0</v>
      </c>
      <c r="AI89" s="1277">
        <f t="shared" si="79"/>
        <v>0</v>
      </c>
      <c r="AJ89" s="1277">
        <f t="shared" si="79"/>
        <v>0</v>
      </c>
      <c r="AK89" s="1277">
        <f t="shared" si="79"/>
        <v>0</v>
      </c>
      <c r="AL89" s="1277">
        <f t="shared" si="79"/>
        <v>0</v>
      </c>
      <c r="AM89" s="1277">
        <f t="shared" si="79"/>
        <v>0</v>
      </c>
      <c r="AN89" s="1277">
        <f t="shared" si="79"/>
        <v>0</v>
      </c>
      <c r="AO89" s="1277">
        <f t="shared" si="79"/>
        <v>0</v>
      </c>
      <c r="AP89" s="1277">
        <f t="shared" si="79"/>
        <v>0</v>
      </c>
      <c r="AQ89" s="1277">
        <f t="shared" si="79"/>
        <v>0</v>
      </c>
      <c r="AR89" s="1277">
        <f t="shared" si="79"/>
        <v>0</v>
      </c>
      <c r="AS89" s="1277">
        <f t="shared" si="79"/>
        <v>0</v>
      </c>
    </row>
    <row r="90" spans="1:45" s="868" customFormat="1">
      <c r="A90" s="868" t="s">
        <v>593</v>
      </c>
      <c r="C90" s="1126"/>
      <c r="D90" s="1126"/>
      <c r="E90" s="1126"/>
      <c r="F90" s="1126"/>
      <c r="G90" s="1127"/>
      <c r="H90" s="1127"/>
      <c r="I90" s="1127"/>
      <c r="J90" s="1127"/>
      <c r="K90" s="1127"/>
      <c r="L90" s="1127"/>
      <c r="M90" s="1127"/>
      <c r="N90" s="1127"/>
      <c r="O90" s="1127"/>
      <c r="P90" s="1127"/>
      <c r="Q90" s="1127"/>
      <c r="R90" s="1275">
        <f t="shared" ref="R90:AS90" si="80">R72-Q72</f>
        <v>58557</v>
      </c>
      <c r="S90" s="1275">
        <f t="shared" si="80"/>
        <v>422</v>
      </c>
      <c r="T90" s="1275">
        <f t="shared" si="80"/>
        <v>1262</v>
      </c>
      <c r="U90" s="1275">
        <f t="shared" si="80"/>
        <v>49</v>
      </c>
      <c r="V90" s="1275">
        <f t="shared" si="80"/>
        <v>935</v>
      </c>
      <c r="W90" s="1275">
        <f t="shared" si="80"/>
        <v>-498</v>
      </c>
      <c r="X90" s="1275">
        <f t="shared" si="80"/>
        <v>828</v>
      </c>
      <c r="Y90" s="1275">
        <f t="shared" si="80"/>
        <v>1283</v>
      </c>
      <c r="Z90" s="1275">
        <f t="shared" si="80"/>
        <v>-6140</v>
      </c>
      <c r="AA90" s="1275">
        <f t="shared" si="80"/>
        <v>-5948</v>
      </c>
      <c r="AB90" s="1275">
        <f t="shared" si="80"/>
        <v>377</v>
      </c>
      <c r="AC90" s="1275">
        <f t="shared" si="80"/>
        <v>586</v>
      </c>
      <c r="AD90" s="1275">
        <f t="shared" si="80"/>
        <v>348</v>
      </c>
      <c r="AE90" s="1275">
        <f t="shared" si="80"/>
        <v>-728</v>
      </c>
      <c r="AF90" s="1276">
        <f t="shared" si="80"/>
        <v>4660</v>
      </c>
      <c r="AG90" s="1277">
        <f t="shared" si="80"/>
        <v>-55993</v>
      </c>
      <c r="AH90" s="1277">
        <f t="shared" si="80"/>
        <v>0</v>
      </c>
      <c r="AI90" s="1277">
        <f t="shared" si="80"/>
        <v>0</v>
      </c>
      <c r="AJ90" s="1277">
        <f t="shared" si="80"/>
        <v>0</v>
      </c>
      <c r="AK90" s="1277">
        <f t="shared" si="80"/>
        <v>0</v>
      </c>
      <c r="AL90" s="1277">
        <f t="shared" si="80"/>
        <v>0</v>
      </c>
      <c r="AM90" s="1277">
        <f t="shared" si="80"/>
        <v>0</v>
      </c>
      <c r="AN90" s="1277">
        <f t="shared" si="80"/>
        <v>0</v>
      </c>
      <c r="AO90" s="1277">
        <f t="shared" si="80"/>
        <v>0</v>
      </c>
      <c r="AP90" s="1277">
        <f t="shared" si="80"/>
        <v>0</v>
      </c>
      <c r="AQ90" s="1277">
        <f t="shared" si="80"/>
        <v>0</v>
      </c>
      <c r="AR90" s="1277">
        <f t="shared" si="80"/>
        <v>0</v>
      </c>
      <c r="AS90" s="1277">
        <f t="shared" si="80"/>
        <v>0</v>
      </c>
    </row>
    <row r="91" spans="1:45" s="868" customFormat="1">
      <c r="A91" s="868" t="s">
        <v>594</v>
      </c>
      <c r="C91" s="1126"/>
      <c r="D91" s="1126"/>
      <c r="E91" s="1126"/>
      <c r="F91" s="1126"/>
      <c r="G91" s="1127"/>
      <c r="H91" s="1127"/>
      <c r="I91" s="1127"/>
      <c r="J91" s="1127"/>
      <c r="K91" s="1127"/>
      <c r="L91" s="1127"/>
      <c r="M91" s="1127"/>
      <c r="N91" s="1127"/>
      <c r="O91" s="1127"/>
      <c r="P91" s="1127"/>
      <c r="Q91" s="1127"/>
      <c r="R91" s="1275">
        <f t="shared" ref="R91:AS91" si="81">R73-Q73</f>
        <v>11439</v>
      </c>
      <c r="S91" s="1275">
        <f t="shared" si="81"/>
        <v>-342</v>
      </c>
      <c r="T91" s="1275">
        <f t="shared" si="81"/>
        <v>1037</v>
      </c>
      <c r="U91" s="1275">
        <f t="shared" si="81"/>
        <v>33</v>
      </c>
      <c r="V91" s="1275">
        <f t="shared" si="81"/>
        <v>138</v>
      </c>
      <c r="W91" s="1275">
        <f t="shared" si="81"/>
        <v>1263</v>
      </c>
      <c r="X91" s="1275">
        <f t="shared" si="81"/>
        <v>1492</v>
      </c>
      <c r="Y91" s="1275">
        <f t="shared" si="81"/>
        <v>1090</v>
      </c>
      <c r="Z91" s="1275">
        <f t="shared" si="81"/>
        <v>840</v>
      </c>
      <c r="AA91" s="1275">
        <f t="shared" si="81"/>
        <v>-477</v>
      </c>
      <c r="AB91" s="1275">
        <f t="shared" si="81"/>
        <v>1506</v>
      </c>
      <c r="AC91" s="1275">
        <f t="shared" si="81"/>
        <v>8</v>
      </c>
      <c r="AD91" s="1275">
        <f t="shared" si="81"/>
        <v>575</v>
      </c>
      <c r="AE91" s="1275">
        <f t="shared" si="81"/>
        <v>46</v>
      </c>
      <c r="AF91" s="1276">
        <f t="shared" si="81"/>
        <v>838</v>
      </c>
      <c r="AG91" s="1277">
        <f t="shared" si="81"/>
        <v>-19486</v>
      </c>
      <c r="AH91" s="1277">
        <f t="shared" si="81"/>
        <v>0</v>
      </c>
      <c r="AI91" s="1277">
        <f t="shared" si="81"/>
        <v>0</v>
      </c>
      <c r="AJ91" s="1277">
        <f t="shared" si="81"/>
        <v>0</v>
      </c>
      <c r="AK91" s="1277">
        <f t="shared" si="81"/>
        <v>0</v>
      </c>
      <c r="AL91" s="1277">
        <f t="shared" si="81"/>
        <v>0</v>
      </c>
      <c r="AM91" s="1277">
        <f t="shared" si="81"/>
        <v>0</v>
      </c>
      <c r="AN91" s="1277">
        <f t="shared" si="81"/>
        <v>0</v>
      </c>
      <c r="AO91" s="1277">
        <f t="shared" si="81"/>
        <v>0</v>
      </c>
      <c r="AP91" s="1277">
        <f t="shared" si="81"/>
        <v>0</v>
      </c>
      <c r="AQ91" s="1277">
        <f t="shared" si="81"/>
        <v>0</v>
      </c>
      <c r="AR91" s="1277">
        <f t="shared" si="81"/>
        <v>0</v>
      </c>
      <c r="AS91" s="1277">
        <f t="shared" si="81"/>
        <v>0</v>
      </c>
    </row>
    <row r="92" spans="1:45" s="851" customFormat="1">
      <c r="A92" s="851" t="s">
        <v>595</v>
      </c>
      <c r="C92" s="133"/>
      <c r="D92" s="133"/>
      <c r="E92" s="133"/>
      <c r="F92" s="133"/>
      <c r="G92" s="1108"/>
      <c r="H92" s="1108"/>
      <c r="I92" s="1108"/>
      <c r="J92" s="1108"/>
      <c r="K92" s="1108"/>
      <c r="L92" s="1108"/>
      <c r="M92" s="1108"/>
      <c r="N92" s="1108"/>
      <c r="O92" s="1108"/>
      <c r="P92" s="1108"/>
      <c r="Q92" s="1108"/>
      <c r="R92" s="1272">
        <f t="shared" ref="R92:AS92" si="82">R74-Q74</f>
        <v>84381</v>
      </c>
      <c r="S92" s="1272">
        <f t="shared" si="82"/>
        <v>-2514</v>
      </c>
      <c r="T92" s="1272">
        <f t="shared" si="82"/>
        <v>-570</v>
      </c>
      <c r="U92" s="1272">
        <f t="shared" si="82"/>
        <v>-2788</v>
      </c>
      <c r="V92" s="1272">
        <f t="shared" si="82"/>
        <v>-4682</v>
      </c>
      <c r="W92" s="1272">
        <f t="shared" si="82"/>
        <v>-1900</v>
      </c>
      <c r="X92" s="1272">
        <f t="shared" si="82"/>
        <v>1584</v>
      </c>
      <c r="Y92" s="1272">
        <f t="shared" si="82"/>
        <v>-1087</v>
      </c>
      <c r="Z92" s="1272">
        <f t="shared" si="82"/>
        <v>-8299</v>
      </c>
      <c r="AA92" s="1272">
        <f t="shared" si="82"/>
        <v>-7644</v>
      </c>
      <c r="AB92" s="1272">
        <f t="shared" si="82"/>
        <v>-3213</v>
      </c>
      <c r="AC92" s="1272">
        <f t="shared" si="82"/>
        <v>-7827</v>
      </c>
      <c r="AD92" s="1272">
        <f t="shared" si="82"/>
        <v>-4057</v>
      </c>
      <c r="AE92" s="1272">
        <f t="shared" si="82"/>
        <v>-3283</v>
      </c>
      <c r="AF92" s="1273">
        <f t="shared" si="82"/>
        <v>-2259</v>
      </c>
      <c r="AG92" s="1274">
        <f t="shared" si="82"/>
        <v>-35842</v>
      </c>
      <c r="AH92" s="1274">
        <f t="shared" si="82"/>
        <v>0</v>
      </c>
      <c r="AI92" s="1274">
        <f t="shared" si="82"/>
        <v>0</v>
      </c>
      <c r="AJ92" s="1274">
        <f t="shared" si="82"/>
        <v>0</v>
      </c>
      <c r="AK92" s="1274">
        <f t="shared" si="82"/>
        <v>0</v>
      </c>
      <c r="AL92" s="1274">
        <f t="shared" si="82"/>
        <v>0</v>
      </c>
      <c r="AM92" s="1274">
        <f t="shared" si="82"/>
        <v>0</v>
      </c>
      <c r="AN92" s="1274">
        <f t="shared" si="82"/>
        <v>0</v>
      </c>
      <c r="AO92" s="1274">
        <f t="shared" si="82"/>
        <v>0</v>
      </c>
      <c r="AP92" s="1274">
        <f t="shared" si="82"/>
        <v>0</v>
      </c>
      <c r="AQ92" s="1274">
        <f t="shared" si="82"/>
        <v>0</v>
      </c>
      <c r="AR92" s="1274">
        <f t="shared" si="82"/>
        <v>0</v>
      </c>
      <c r="AS92" s="1274">
        <f t="shared" si="82"/>
        <v>0</v>
      </c>
    </row>
    <row r="93" spans="1:45" s="851" customFormat="1">
      <c r="A93" s="851" t="s">
        <v>596</v>
      </c>
      <c r="C93" s="133"/>
      <c r="D93" s="133"/>
      <c r="E93" s="133"/>
      <c r="F93" s="133"/>
      <c r="G93" s="1108"/>
      <c r="H93" s="1108"/>
      <c r="I93" s="1108"/>
      <c r="J93" s="1108"/>
      <c r="K93" s="1108"/>
      <c r="L93" s="1108"/>
      <c r="M93" s="1108"/>
      <c r="N93" s="1108"/>
      <c r="O93" s="1108"/>
      <c r="P93" s="1108"/>
      <c r="Q93" s="1108"/>
      <c r="R93" s="1272">
        <f t="shared" ref="R93:AS93" si="83">R75-Q75</f>
        <v>16086</v>
      </c>
      <c r="S93" s="1272">
        <f t="shared" si="83"/>
        <v>-598</v>
      </c>
      <c r="T93" s="1272">
        <f t="shared" si="83"/>
        <v>895</v>
      </c>
      <c r="U93" s="1272">
        <f t="shared" si="83"/>
        <v>-29</v>
      </c>
      <c r="V93" s="1272">
        <f t="shared" si="83"/>
        <v>-23</v>
      </c>
      <c r="W93" s="1272">
        <f t="shared" si="83"/>
        <v>-1270</v>
      </c>
      <c r="X93" s="1272">
        <f t="shared" si="83"/>
        <v>1117</v>
      </c>
      <c r="Y93" s="1272">
        <f t="shared" si="83"/>
        <v>2289</v>
      </c>
      <c r="Z93" s="1272">
        <f t="shared" si="83"/>
        <v>-1012</v>
      </c>
      <c r="AA93" s="1272">
        <f t="shared" si="83"/>
        <v>395</v>
      </c>
      <c r="AB93" s="1272">
        <f t="shared" si="83"/>
        <v>-1094</v>
      </c>
      <c r="AC93" s="1272">
        <f t="shared" si="83"/>
        <v>582</v>
      </c>
      <c r="AD93" s="1272">
        <f t="shared" si="83"/>
        <v>-158</v>
      </c>
      <c r="AE93" s="1272">
        <f t="shared" si="83"/>
        <v>841</v>
      </c>
      <c r="AF93" s="1273">
        <f t="shared" si="83"/>
        <v>2697</v>
      </c>
      <c r="AG93" s="1274">
        <f t="shared" si="83"/>
        <v>-20718</v>
      </c>
      <c r="AH93" s="1274">
        <f t="shared" si="83"/>
        <v>0</v>
      </c>
      <c r="AI93" s="1274">
        <f t="shared" si="83"/>
        <v>0</v>
      </c>
      <c r="AJ93" s="1274">
        <f t="shared" si="83"/>
        <v>0</v>
      </c>
      <c r="AK93" s="1274">
        <f t="shared" si="83"/>
        <v>0</v>
      </c>
      <c r="AL93" s="1274">
        <f t="shared" si="83"/>
        <v>0</v>
      </c>
      <c r="AM93" s="1274">
        <f t="shared" si="83"/>
        <v>0</v>
      </c>
      <c r="AN93" s="1274">
        <f t="shared" si="83"/>
        <v>0</v>
      </c>
      <c r="AO93" s="1274">
        <f t="shared" si="83"/>
        <v>0</v>
      </c>
      <c r="AP93" s="1274">
        <f t="shared" si="83"/>
        <v>0</v>
      </c>
      <c r="AQ93" s="1274">
        <f t="shared" si="83"/>
        <v>0</v>
      </c>
      <c r="AR93" s="1274">
        <f t="shared" si="83"/>
        <v>0</v>
      </c>
      <c r="AS93" s="1274">
        <f t="shared" si="83"/>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AW362"/>
  <sheetViews>
    <sheetView zoomScale="80" zoomScaleNormal="80" zoomScalePageLayoutView="80" workbookViewId="0">
      <pane xSplit="26" ySplit="4" topLeftCell="AF21" activePane="bottomRight" state="frozen"/>
      <selection activeCell="A4" sqref="A4"/>
      <selection pane="topRight" activeCell="AA4" sqref="AA4"/>
      <selection pane="bottomLeft" activeCell="A5" sqref="A5"/>
      <selection pane="bottomRight" activeCell="AK365" sqref="AK365"/>
    </sheetView>
  </sheetViews>
  <sheetFormatPr defaultColWidth="11" defaultRowHeight="15.75" outlineLevelRow="1"/>
  <cols>
    <col min="1" max="1" width="33.125" bestFit="1" customWidth="1"/>
    <col min="2" max="26" width="11" hidden="1" customWidth="1"/>
    <col min="27" max="27" width="0" style="1224" hidden="1" customWidth="1"/>
    <col min="28" max="28" width="11.5" style="1224" hidden="1" customWidth="1"/>
    <col min="29" max="29" width="0" style="1224" hidden="1" customWidth="1"/>
    <col min="30" max="30" width="22.375" style="1224" hidden="1" customWidth="1"/>
    <col min="31" max="31" width="0" style="1224" hidden="1" customWidth="1"/>
    <col min="32" max="32" width="10.875" style="18"/>
    <col min="33" max="33" width="23.75" style="18" bestFit="1" customWidth="1"/>
    <col min="34" max="48" width="10.875" style="18"/>
  </cols>
  <sheetData>
    <row r="1" spans="1:49" s="851" customFormat="1" hidden="1">
      <c r="B1" s="3">
        <v>40179</v>
      </c>
      <c r="C1" s="3">
        <v>40269</v>
      </c>
      <c r="D1" s="3">
        <v>40360</v>
      </c>
      <c r="E1" s="3">
        <v>40452</v>
      </c>
      <c r="F1" s="3">
        <v>40544</v>
      </c>
      <c r="G1" s="3">
        <v>40634</v>
      </c>
      <c r="H1" s="3">
        <v>40725</v>
      </c>
      <c r="I1" s="3">
        <v>40817</v>
      </c>
      <c r="J1" s="3">
        <v>40909</v>
      </c>
      <c r="K1" s="3">
        <v>41000</v>
      </c>
      <c r="L1" s="3">
        <v>41091</v>
      </c>
      <c r="M1" s="3">
        <v>41183</v>
      </c>
      <c r="N1" s="3">
        <v>41275</v>
      </c>
      <c r="O1" s="3">
        <v>41365</v>
      </c>
      <c r="P1" s="3">
        <v>41456</v>
      </c>
      <c r="Q1" s="3">
        <v>41548</v>
      </c>
      <c r="R1" s="3">
        <v>41640</v>
      </c>
      <c r="S1" s="3">
        <v>41730</v>
      </c>
      <c r="T1" s="3">
        <v>41821</v>
      </c>
      <c r="U1" s="3">
        <v>41913</v>
      </c>
      <c r="V1" s="3">
        <v>42005</v>
      </c>
      <c r="W1" s="3">
        <v>42095</v>
      </c>
      <c r="X1" s="3">
        <v>42186</v>
      </c>
      <c r="Y1" s="3">
        <v>42278</v>
      </c>
      <c r="Z1" s="3">
        <v>42370</v>
      </c>
      <c r="AA1" s="1223">
        <v>42461</v>
      </c>
      <c r="AB1" s="1223">
        <v>42552</v>
      </c>
      <c r="AC1" s="1223">
        <v>42644</v>
      </c>
      <c r="AD1" s="1223">
        <v>42736</v>
      </c>
      <c r="AE1" s="1223">
        <v>42826</v>
      </c>
      <c r="AF1" s="17">
        <v>42917</v>
      </c>
      <c r="AG1" s="17">
        <v>43009</v>
      </c>
      <c r="AH1" s="17">
        <v>43101</v>
      </c>
      <c r="AI1" s="17">
        <v>43191</v>
      </c>
      <c r="AJ1" s="17">
        <v>43282</v>
      </c>
      <c r="AK1" s="17">
        <v>43374</v>
      </c>
      <c r="AL1" s="17">
        <v>43466</v>
      </c>
      <c r="AM1" s="17">
        <v>43556</v>
      </c>
      <c r="AN1" s="17">
        <v>43647</v>
      </c>
      <c r="AO1" s="17">
        <v>43739</v>
      </c>
      <c r="AP1" s="17">
        <v>43831</v>
      </c>
      <c r="AQ1" s="17">
        <v>43922</v>
      </c>
      <c r="AR1" s="17">
        <v>44013</v>
      </c>
      <c r="AS1" s="17">
        <v>44105</v>
      </c>
      <c r="AT1" s="17">
        <v>44197</v>
      </c>
      <c r="AU1" s="17">
        <v>44287</v>
      </c>
      <c r="AV1" s="17">
        <v>44378</v>
      </c>
      <c r="AW1" s="17">
        <v>44470</v>
      </c>
    </row>
    <row r="2" spans="1:49" s="851" customFormat="1" hidden="1">
      <c r="B2" s="851">
        <f t="shared" ref="B2:AW2" si="0">YEAR(B1)</f>
        <v>2010</v>
      </c>
      <c r="C2" s="851">
        <f t="shared" si="0"/>
        <v>2010</v>
      </c>
      <c r="D2" s="851">
        <f t="shared" si="0"/>
        <v>2010</v>
      </c>
      <c r="E2" s="851">
        <f t="shared" si="0"/>
        <v>2010</v>
      </c>
      <c r="F2" s="851">
        <f t="shared" si="0"/>
        <v>2011</v>
      </c>
      <c r="G2" s="851">
        <f t="shared" si="0"/>
        <v>2011</v>
      </c>
      <c r="H2" s="851">
        <f t="shared" si="0"/>
        <v>2011</v>
      </c>
      <c r="I2" s="851">
        <f t="shared" si="0"/>
        <v>2011</v>
      </c>
      <c r="J2" s="851">
        <f t="shared" si="0"/>
        <v>2012</v>
      </c>
      <c r="K2" s="851">
        <f t="shared" si="0"/>
        <v>2012</v>
      </c>
      <c r="L2" s="851">
        <f t="shared" si="0"/>
        <v>2012</v>
      </c>
      <c r="M2" s="851">
        <f t="shared" si="0"/>
        <v>2012</v>
      </c>
      <c r="N2" s="851">
        <f t="shared" si="0"/>
        <v>2013</v>
      </c>
      <c r="O2" s="851">
        <f t="shared" si="0"/>
        <v>2013</v>
      </c>
      <c r="P2" s="851">
        <f t="shared" si="0"/>
        <v>2013</v>
      </c>
      <c r="Q2" s="851">
        <f t="shared" si="0"/>
        <v>2013</v>
      </c>
      <c r="R2" s="851">
        <f t="shared" si="0"/>
        <v>2014</v>
      </c>
      <c r="S2" s="851">
        <f t="shared" si="0"/>
        <v>2014</v>
      </c>
      <c r="T2" s="851">
        <f t="shared" si="0"/>
        <v>2014</v>
      </c>
      <c r="U2" s="851">
        <f t="shared" si="0"/>
        <v>2014</v>
      </c>
      <c r="V2" s="851">
        <f t="shared" si="0"/>
        <v>2015</v>
      </c>
      <c r="W2" s="851">
        <f t="shared" si="0"/>
        <v>2015</v>
      </c>
      <c r="X2" s="851">
        <f t="shared" si="0"/>
        <v>2015</v>
      </c>
      <c r="Y2" s="851">
        <f t="shared" si="0"/>
        <v>2015</v>
      </c>
      <c r="Z2" s="851">
        <f t="shared" si="0"/>
        <v>2016</v>
      </c>
      <c r="AA2" s="1224">
        <f t="shared" si="0"/>
        <v>2016</v>
      </c>
      <c r="AB2" s="1224">
        <f t="shared" si="0"/>
        <v>2016</v>
      </c>
      <c r="AC2" s="1224">
        <f t="shared" si="0"/>
        <v>2016</v>
      </c>
      <c r="AD2" s="1224">
        <f t="shared" si="0"/>
        <v>2017</v>
      </c>
      <c r="AE2" s="1224">
        <f t="shared" si="0"/>
        <v>2017</v>
      </c>
      <c r="AF2" s="18">
        <f t="shared" si="0"/>
        <v>2017</v>
      </c>
      <c r="AG2" s="18">
        <f t="shared" si="0"/>
        <v>2017</v>
      </c>
      <c r="AH2" s="18">
        <f t="shared" si="0"/>
        <v>2018</v>
      </c>
      <c r="AI2" s="18">
        <f t="shared" si="0"/>
        <v>2018</v>
      </c>
      <c r="AJ2" s="18">
        <f t="shared" si="0"/>
        <v>2018</v>
      </c>
      <c r="AK2" s="18">
        <f t="shared" si="0"/>
        <v>2018</v>
      </c>
      <c r="AL2" s="18">
        <f t="shared" si="0"/>
        <v>2019</v>
      </c>
      <c r="AM2" s="18">
        <f t="shared" si="0"/>
        <v>2019</v>
      </c>
      <c r="AN2" s="18">
        <f t="shared" si="0"/>
        <v>2019</v>
      </c>
      <c r="AO2" s="18">
        <f t="shared" si="0"/>
        <v>2019</v>
      </c>
      <c r="AP2" s="18">
        <f t="shared" si="0"/>
        <v>2020</v>
      </c>
      <c r="AQ2" s="18">
        <f t="shared" si="0"/>
        <v>2020</v>
      </c>
      <c r="AR2" s="18">
        <f t="shared" si="0"/>
        <v>2020</v>
      </c>
      <c r="AS2" s="18">
        <f t="shared" si="0"/>
        <v>2020</v>
      </c>
      <c r="AT2" s="18">
        <f t="shared" si="0"/>
        <v>2021</v>
      </c>
      <c r="AU2" s="18">
        <f t="shared" si="0"/>
        <v>2021</v>
      </c>
      <c r="AV2" s="18">
        <f t="shared" si="0"/>
        <v>2021</v>
      </c>
      <c r="AW2" s="18">
        <f t="shared" si="0"/>
        <v>2021</v>
      </c>
    </row>
    <row r="3" spans="1:49" s="851" customFormat="1" hidden="1">
      <c r="B3" s="4" t="s">
        <v>0</v>
      </c>
      <c r="C3" s="4" t="s">
        <v>1</v>
      </c>
      <c r="D3" s="4" t="s">
        <v>2</v>
      </c>
      <c r="E3" s="4" t="s">
        <v>3</v>
      </c>
      <c r="F3" s="4" t="s">
        <v>0</v>
      </c>
      <c r="G3" s="4" t="s">
        <v>1</v>
      </c>
      <c r="H3" s="4" t="s">
        <v>2</v>
      </c>
      <c r="I3" s="4" t="s">
        <v>3</v>
      </c>
      <c r="J3" s="4" t="s">
        <v>0</v>
      </c>
      <c r="K3" s="4" t="s">
        <v>1</v>
      </c>
      <c r="L3" s="4" t="s">
        <v>2</v>
      </c>
      <c r="M3" s="5" t="s">
        <v>3</v>
      </c>
      <c r="N3" s="4" t="s">
        <v>0</v>
      </c>
      <c r="O3" s="4" t="s">
        <v>1</v>
      </c>
      <c r="P3" s="4" t="s">
        <v>2</v>
      </c>
      <c r="Q3" s="5" t="s">
        <v>3</v>
      </c>
      <c r="R3" s="4" t="s">
        <v>0</v>
      </c>
      <c r="S3" s="4" t="s">
        <v>1</v>
      </c>
      <c r="T3" s="4" t="s">
        <v>2</v>
      </c>
      <c r="U3" s="5" t="s">
        <v>3</v>
      </c>
      <c r="V3" s="4" t="s">
        <v>0</v>
      </c>
      <c r="W3" s="4" t="s">
        <v>1</v>
      </c>
      <c r="X3" s="4" t="s">
        <v>2</v>
      </c>
      <c r="Y3" s="5" t="s">
        <v>3</v>
      </c>
      <c r="Z3" s="4" t="s">
        <v>0</v>
      </c>
      <c r="AA3" s="1225" t="s">
        <v>1</v>
      </c>
      <c r="AB3" s="1225" t="s">
        <v>2</v>
      </c>
      <c r="AC3" s="1225" t="s">
        <v>3</v>
      </c>
      <c r="AD3" s="1225" t="s">
        <v>0</v>
      </c>
      <c r="AE3" s="1225" t="s">
        <v>1</v>
      </c>
      <c r="AF3" s="19" t="s">
        <v>2</v>
      </c>
      <c r="AG3" s="19" t="s">
        <v>3</v>
      </c>
      <c r="AH3" s="19" t="s">
        <v>0</v>
      </c>
      <c r="AI3" s="19" t="s">
        <v>1</v>
      </c>
      <c r="AJ3" s="19" t="s">
        <v>2</v>
      </c>
      <c r="AK3" s="19" t="s">
        <v>3</v>
      </c>
      <c r="AL3" s="19" t="s">
        <v>0</v>
      </c>
      <c r="AM3" s="19" t="s">
        <v>1</v>
      </c>
      <c r="AN3" s="19" t="s">
        <v>2</v>
      </c>
      <c r="AO3" s="19" t="s">
        <v>3</v>
      </c>
      <c r="AP3" s="19" t="s">
        <v>0</v>
      </c>
      <c r="AQ3" s="19" t="s">
        <v>1</v>
      </c>
      <c r="AR3" s="19" t="s">
        <v>2</v>
      </c>
      <c r="AS3" s="19" t="s">
        <v>3</v>
      </c>
      <c r="AT3" s="19" t="s">
        <v>0</v>
      </c>
      <c r="AU3" s="19" t="s">
        <v>1</v>
      </c>
      <c r="AV3" s="19" t="s">
        <v>2</v>
      </c>
      <c r="AW3" s="19" t="s">
        <v>3</v>
      </c>
    </row>
    <row r="4" spans="1:49" s="851" customFormat="1">
      <c r="A4" s="851">
        <v>1</v>
      </c>
      <c r="B4" s="4" t="str">
        <f>B2&amp;"-"&amp;B3&amp;IF(B1&gt;'Reference dates'!$B$1,"e","")</f>
        <v>2010-1Q</v>
      </c>
      <c r="C4" s="4" t="str">
        <f>C2&amp;"-"&amp;C3&amp;IF(C1&gt;'Reference dates'!$B$1,"e","")</f>
        <v>2010-2Q</v>
      </c>
      <c r="D4" s="4" t="str">
        <f>D2&amp;"-"&amp;D3&amp;IF(D1&gt;'Reference dates'!$B$1,"e","")</f>
        <v>2010-3Q</v>
      </c>
      <c r="E4" s="4" t="str">
        <f>E2&amp;"-"&amp;E3&amp;IF(E1&gt;'Reference dates'!$B$1,"e","")</f>
        <v>2010-4Q</v>
      </c>
      <c r="F4" s="4" t="str">
        <f>F2&amp;"-"&amp;F3&amp;IF(F1&gt;'Reference dates'!$B$1,"e","")</f>
        <v>2011-1Q</v>
      </c>
      <c r="G4" s="4" t="str">
        <f>G2&amp;"-"&amp;G3&amp;IF(G1&gt;'Reference dates'!$B$1,"e","")</f>
        <v>2011-2Q</v>
      </c>
      <c r="H4" s="4" t="str">
        <f>H2&amp;"-"&amp;H3&amp;IF(H1&gt;'Reference dates'!$B$1,"e","")</f>
        <v>2011-3Q</v>
      </c>
      <c r="I4" s="4" t="str">
        <f>I2&amp;"-"&amp;I3&amp;IF(I1&gt;'Reference dates'!$B$1,"e","")</f>
        <v>2011-4Q</v>
      </c>
      <c r="J4" s="4" t="str">
        <f>J2&amp;"-"&amp;J3&amp;IF(J1&gt;'Reference dates'!$B$1,"e","")</f>
        <v>2012-1Q</v>
      </c>
      <c r="K4" s="4" t="str">
        <f>K2&amp;"-"&amp;K3&amp;IF(K1&gt;'Reference dates'!$B$1,"e","")</f>
        <v>2012-2Q</v>
      </c>
      <c r="L4" s="4" t="str">
        <f>L2&amp;"-"&amp;L3&amp;IF(L1&gt;'Reference dates'!$B$1,"e","")</f>
        <v>2012-3Q</v>
      </c>
      <c r="M4" s="4" t="str">
        <f>M2&amp;"-"&amp;M3&amp;IF(M1&gt;'Reference dates'!$B$1,"e","")</f>
        <v>2012-4Q</v>
      </c>
      <c r="N4" s="4" t="str">
        <f>N2&amp;"-"&amp;N3&amp;IF(N1&gt;'Reference dates'!$B$1,"e","")</f>
        <v>2013-1Q</v>
      </c>
      <c r="O4" s="4" t="str">
        <f>O2&amp;"-"&amp;O3&amp;IF(O1&gt;'Reference dates'!$B$1,"e","")</f>
        <v>2013-2Q</v>
      </c>
      <c r="P4" s="4" t="str">
        <f>P2&amp;"-"&amp;P3&amp;IF(P1&gt;'Reference dates'!$B$1,"e","")</f>
        <v>2013-3Q</v>
      </c>
      <c r="Q4" s="4" t="str">
        <f>Q2&amp;"-"&amp;Q3&amp;IF(Q1&gt;'Reference dates'!$B$1,"e","")</f>
        <v>2013-4Q</v>
      </c>
      <c r="R4" s="4" t="str">
        <f>R2&amp;"-"&amp;R3&amp;IF(R1&gt;'Reference dates'!$B$1,"e","")</f>
        <v>2014-1Q</v>
      </c>
      <c r="S4" s="4" t="str">
        <f>S2&amp;"-"&amp;S3&amp;IF(S1&gt;'Reference dates'!$B$1,"e","")</f>
        <v>2014-2Q</v>
      </c>
      <c r="T4" s="4" t="str">
        <f>T2&amp;"-"&amp;T3&amp;IF(T1&gt;'Reference dates'!$B$1,"e","")</f>
        <v>2014-3Q</v>
      </c>
      <c r="U4" s="4" t="str">
        <f>U2&amp;"-"&amp;U3&amp;IF(U1&gt;'Reference dates'!$B$1,"e","")</f>
        <v>2014-4Q</v>
      </c>
      <c r="V4" s="4" t="str">
        <f>V2&amp;"-"&amp;V3&amp;IF(V1&gt;'Reference dates'!$B$1,"e","")</f>
        <v>2015-1Q</v>
      </c>
      <c r="W4" s="4" t="str">
        <f>W2&amp;"-"&amp;W3&amp;IF(W1&gt;'Reference dates'!$B$1,"e","")</f>
        <v>2015-2Q</v>
      </c>
      <c r="X4" s="4" t="str">
        <f>X2&amp;"-"&amp;X3&amp;IF(X1&gt;'Reference dates'!$B$1,"e","")</f>
        <v>2015-3Q</v>
      </c>
      <c r="Y4" s="4" t="str">
        <f>Y2&amp;"-"&amp;Y3&amp;IF(Y1&gt;'Reference dates'!$B$1,"e","")</f>
        <v>2015-4Q</v>
      </c>
      <c r="Z4" s="4" t="str">
        <f>Z2&amp;"-"&amp;Z3&amp;IF(Z1&gt;'Reference dates'!$B$1,"e","")</f>
        <v>2016-1Q</v>
      </c>
      <c r="AA4" s="1225" t="str">
        <f>AA2&amp;"-"&amp;AA3&amp;IF(AA1&gt;'Reference dates'!$B$1,"e","")</f>
        <v>2016-2Q</v>
      </c>
      <c r="AB4" s="1225" t="str">
        <f>AB2&amp;"-"&amp;AB3&amp;IF(AB1&gt;'Reference dates'!$B$1,"e","")</f>
        <v>2016-3Q</v>
      </c>
      <c r="AC4" s="1225" t="str">
        <f>AC2&amp;"-"&amp;AC3&amp;IF(AC1&gt;'Reference dates'!$B$1,"e","")</f>
        <v>2016-4Q</v>
      </c>
      <c r="AD4" s="1225" t="str">
        <f>AD2&amp;"-"&amp;AD3&amp;IF(AD1&gt;'Reference dates'!$B$1,"e","")</f>
        <v>2017-1Q</v>
      </c>
      <c r="AE4" s="1225" t="str">
        <f>AE2&amp;"-"&amp;AE3&amp;IF(AE1&gt;'Reference dates'!$B$1,"e","")</f>
        <v>2017-2Q</v>
      </c>
      <c r="AF4" s="19" t="str">
        <f>AF2&amp;"-"&amp;AF3&amp;IF(AF1&gt;'Reference dates'!$B$1,"e","")</f>
        <v>2017-3Q</v>
      </c>
      <c r="AG4" s="19" t="str">
        <f>AG2&amp;"-"&amp;AG3&amp;IF(AG1&gt;'Reference dates'!$B$1,"e","")</f>
        <v>2017-4Qe</v>
      </c>
      <c r="AH4" s="19" t="str">
        <f>AH2&amp;"-"&amp;AH3&amp;IF(AH1&gt;'Reference dates'!$B$1,"e","")</f>
        <v>2018-1Qe</v>
      </c>
      <c r="AI4" s="19" t="str">
        <f>AI2&amp;"-"&amp;AI3&amp;IF(AI1&gt;'Reference dates'!$B$1,"e","")</f>
        <v>2018-2Qe</v>
      </c>
      <c r="AJ4" s="19" t="str">
        <f>AJ2&amp;"-"&amp;AJ3&amp;IF(AJ1&gt;'Reference dates'!$B$1,"e","")</f>
        <v>2018-3Qe</v>
      </c>
      <c r="AK4" s="19" t="str">
        <f>AK2&amp;"-"&amp;AK3&amp;IF(AK1&gt;'Reference dates'!$B$1,"e","")</f>
        <v>2018-4Qe</v>
      </c>
      <c r="AL4" s="19" t="str">
        <f>AL2&amp;"-"&amp;AL3&amp;IF(AL1&gt;'Reference dates'!$B$1,"e","")</f>
        <v>2019-1Qe</v>
      </c>
      <c r="AM4" s="19" t="str">
        <f>AM2&amp;"-"&amp;AM3&amp;IF(AM1&gt;'Reference dates'!$B$1,"e","")</f>
        <v>2019-2Qe</v>
      </c>
      <c r="AN4" s="19" t="str">
        <f>AN2&amp;"-"&amp;AN3&amp;IF(AN1&gt;'Reference dates'!$B$1,"e","")</f>
        <v>2019-3Qe</v>
      </c>
      <c r="AO4" s="19" t="str">
        <f>AO2&amp;"-"&amp;AO3&amp;IF(AO1&gt;'Reference dates'!$B$1,"e","")</f>
        <v>2019-4Qe</v>
      </c>
      <c r="AP4" s="19" t="str">
        <f>AP2&amp;"-"&amp;AP3&amp;IF(AP1&gt;'Reference dates'!$B$1,"e","")</f>
        <v>2020-1Qe</v>
      </c>
      <c r="AQ4" s="19" t="str">
        <f>AQ2&amp;"-"&amp;AQ3&amp;IF(AQ1&gt;'Reference dates'!$B$1,"e","")</f>
        <v>2020-2Qe</v>
      </c>
      <c r="AR4" s="19" t="str">
        <f>AR2&amp;"-"&amp;AR3&amp;IF(AR1&gt;'Reference dates'!$B$1,"e","")</f>
        <v>2020-3Qe</v>
      </c>
      <c r="AS4" s="19" t="str">
        <f>AS2&amp;"-"&amp;AS3&amp;IF(AS1&gt;'Reference dates'!$B$1,"e","")</f>
        <v>2020-4Qe</v>
      </c>
      <c r="AT4" s="19" t="str">
        <f>AT2&amp;"-"&amp;AT3&amp;IF(AT1&gt;'Reference dates'!$B$1,"e","")</f>
        <v>2021-1Qe</v>
      </c>
      <c r="AU4" s="19" t="str">
        <f>AU2&amp;"-"&amp;AU3&amp;IF(AU1&gt;'Reference dates'!$B$1,"e","")</f>
        <v>2021-2Qe</v>
      </c>
      <c r="AV4" s="19" t="str">
        <f>AV2&amp;"-"&amp;AV3&amp;IF(AV1&gt;'Reference dates'!$B$1,"e","")</f>
        <v>2021-3Qe</v>
      </c>
      <c r="AW4" s="19" t="str">
        <f>AW2&amp;"-"&amp;AW3&amp;IF(AW1&gt;'Reference dates'!$B$1,"e","")</f>
        <v>2021-4Qe</v>
      </c>
    </row>
    <row r="5" spans="1:49" s="851" customFormat="1">
      <c r="B5" s="4"/>
      <c r="C5" s="4"/>
      <c r="D5" s="4"/>
      <c r="E5" s="4"/>
      <c r="F5" s="4"/>
      <c r="G5" s="4"/>
      <c r="H5" s="4"/>
      <c r="I5" s="4"/>
      <c r="J5" s="4"/>
      <c r="K5" s="4"/>
      <c r="L5" s="4"/>
      <c r="M5" s="4"/>
      <c r="N5" s="4"/>
      <c r="O5" s="4"/>
      <c r="P5" s="4"/>
      <c r="Q5" s="4"/>
      <c r="R5" s="4"/>
      <c r="S5" s="4"/>
      <c r="T5" s="4"/>
      <c r="U5" s="4"/>
      <c r="V5" s="4"/>
      <c r="W5" s="4"/>
      <c r="X5" s="4"/>
      <c r="Y5" s="4"/>
      <c r="Z5" s="4"/>
      <c r="AA5" s="1225"/>
      <c r="AB5" s="1225"/>
      <c r="AC5" s="1224"/>
      <c r="AD5" s="1224"/>
      <c r="AE5" s="1224"/>
      <c r="AJ5" s="1001"/>
      <c r="AK5" s="1002"/>
      <c r="AL5" s="1002"/>
      <c r="AM5" s="1002"/>
      <c r="AN5" s="1002"/>
      <c r="AO5" s="1002"/>
      <c r="AP5" s="1003"/>
      <c r="AQ5" s="19"/>
      <c r="AR5" s="19"/>
      <c r="AS5" s="19"/>
      <c r="AT5" s="19"/>
      <c r="AU5" s="19"/>
      <c r="AV5" s="19"/>
      <c r="AW5" s="19"/>
    </row>
    <row r="6" spans="1:49" s="851" customFormat="1">
      <c r="B6" s="4"/>
      <c r="C6" s="4"/>
      <c r="D6" s="4"/>
      <c r="E6" s="4"/>
      <c r="F6" s="4"/>
      <c r="G6" s="4"/>
      <c r="H6" s="4"/>
      <c r="I6" s="4"/>
      <c r="J6" s="4"/>
      <c r="K6" s="4"/>
      <c r="L6" s="4"/>
      <c r="M6" s="4"/>
      <c r="N6" s="4"/>
      <c r="O6" s="4"/>
      <c r="P6" s="4"/>
      <c r="Q6" s="4"/>
      <c r="R6" s="4"/>
      <c r="S6" s="4"/>
      <c r="T6" s="4"/>
      <c r="U6" s="4"/>
      <c r="V6" s="4"/>
      <c r="W6" s="4"/>
      <c r="X6" s="4"/>
      <c r="Y6" s="4"/>
      <c r="Z6" s="4"/>
      <c r="AA6" s="1225"/>
      <c r="AB6" s="1225"/>
      <c r="AC6" s="1224"/>
      <c r="AD6" s="1224"/>
      <c r="AE6" s="1224"/>
      <c r="AJ6" s="1004"/>
      <c r="AK6" s="1005"/>
      <c r="AL6" s="1005"/>
      <c r="AM6" s="1005"/>
      <c r="AN6" s="1005"/>
      <c r="AO6" s="1005"/>
      <c r="AP6" s="1006"/>
      <c r="AQ6" s="19"/>
      <c r="AR6" s="19"/>
      <c r="AS6" s="19"/>
      <c r="AT6" s="19"/>
      <c r="AU6" s="19"/>
      <c r="AV6" s="19"/>
      <c r="AW6" s="19"/>
    </row>
    <row r="7" spans="1:49" s="851" customFormat="1" ht="21">
      <c r="A7" s="948" t="s">
        <v>575</v>
      </c>
      <c r="B7" s="4"/>
      <c r="C7" s="4"/>
      <c r="D7" s="4"/>
      <c r="E7" s="4"/>
      <c r="F7" s="4"/>
      <c r="G7" s="4"/>
      <c r="H7" s="4"/>
      <c r="I7" s="4"/>
      <c r="J7" s="4"/>
      <c r="K7" s="4"/>
      <c r="L7" s="4"/>
      <c r="M7" s="4"/>
      <c r="N7" s="4"/>
      <c r="O7" s="4"/>
      <c r="P7" s="4"/>
      <c r="Q7" s="4"/>
      <c r="R7" s="4"/>
      <c r="S7" s="4"/>
      <c r="T7" s="4"/>
      <c r="U7" s="4"/>
      <c r="V7" s="4"/>
      <c r="W7" s="4"/>
      <c r="X7" s="4"/>
      <c r="Y7" s="4"/>
      <c r="Z7" s="4"/>
      <c r="AA7" s="1225"/>
      <c r="AB7" s="1225"/>
      <c r="AC7" s="1224"/>
      <c r="AD7" s="1224"/>
      <c r="AE7" s="1224"/>
      <c r="AJ7" s="1004"/>
      <c r="AK7" s="1005"/>
      <c r="AL7" s="1005"/>
      <c r="AM7" s="1005"/>
      <c r="AN7" s="1005"/>
      <c r="AO7" s="1005"/>
      <c r="AP7" s="1006"/>
      <c r="AQ7" s="19"/>
      <c r="AR7" s="19"/>
      <c r="AS7" s="19"/>
      <c r="AT7" s="19"/>
      <c r="AU7" s="19"/>
      <c r="AV7" s="19"/>
      <c r="AW7" s="19"/>
    </row>
    <row r="8" spans="1:49">
      <c r="A8" s="2" t="str">
        <f t="shared" ref="A8:AB8" si="1">IF(CHOOSE($A$4,A101,A201,A301)="","",CHOOSE($A$4,A101,A201,A301))</f>
        <v>Swiss Universal Bank</v>
      </c>
      <c r="B8" t="str">
        <f t="shared" si="1"/>
        <v/>
      </c>
      <c r="C8" t="str">
        <f t="shared" si="1"/>
        <v/>
      </c>
      <c r="D8" t="str">
        <f t="shared" si="1"/>
        <v/>
      </c>
      <c r="E8" t="str">
        <f t="shared" si="1"/>
        <v/>
      </c>
      <c r="F8" t="str">
        <f t="shared" si="1"/>
        <v/>
      </c>
      <c r="G8" t="str">
        <f t="shared" si="1"/>
        <v/>
      </c>
      <c r="H8" t="str">
        <f t="shared" si="1"/>
        <v/>
      </c>
      <c r="I8" t="str">
        <f t="shared" si="1"/>
        <v/>
      </c>
      <c r="J8" t="str">
        <f t="shared" si="1"/>
        <v/>
      </c>
      <c r="K8" t="str">
        <f t="shared" si="1"/>
        <v/>
      </c>
      <c r="L8" t="str">
        <f t="shared" si="1"/>
        <v/>
      </c>
      <c r="M8" t="str">
        <f t="shared" si="1"/>
        <v/>
      </c>
      <c r="N8" t="str">
        <f t="shared" si="1"/>
        <v/>
      </c>
      <c r="O8" t="str">
        <f t="shared" si="1"/>
        <v/>
      </c>
      <c r="P8" t="str">
        <f t="shared" si="1"/>
        <v/>
      </c>
      <c r="Q8" t="str">
        <f t="shared" si="1"/>
        <v/>
      </c>
      <c r="R8" t="str">
        <f t="shared" si="1"/>
        <v/>
      </c>
      <c r="S8" t="str">
        <f t="shared" si="1"/>
        <v/>
      </c>
      <c r="T8" t="str">
        <f t="shared" si="1"/>
        <v/>
      </c>
      <c r="U8" t="str">
        <f t="shared" si="1"/>
        <v/>
      </c>
      <c r="V8" t="str">
        <f t="shared" si="1"/>
        <v/>
      </c>
      <c r="W8" t="str">
        <f t="shared" si="1"/>
        <v/>
      </c>
      <c r="X8" t="str">
        <f t="shared" si="1"/>
        <v/>
      </c>
      <c r="Y8" t="str">
        <f t="shared" si="1"/>
        <v/>
      </c>
      <c r="Z8" t="str">
        <f t="shared" si="1"/>
        <v/>
      </c>
      <c r="AA8" s="1224" t="str">
        <f t="shared" si="1"/>
        <v/>
      </c>
      <c r="AB8" s="1224" t="str">
        <f t="shared" si="1"/>
        <v/>
      </c>
      <c r="AJ8" s="1007" t="str">
        <f t="shared" ref="AJ8:AP8" si="2">IF(CHOOSE($A$4,AC101,AC201,AC301)="","",CHOOSE($A$4,AC101,AC201,AC301))</f>
        <v/>
      </c>
      <c r="AK8" s="1008" t="str">
        <f t="shared" si="2"/>
        <v/>
      </c>
      <c r="AL8" s="1008" t="str">
        <f t="shared" si="2"/>
        <v/>
      </c>
      <c r="AM8" s="1008" t="str">
        <f t="shared" si="2"/>
        <v/>
      </c>
      <c r="AN8" s="1008" t="str">
        <f t="shared" si="2"/>
        <v/>
      </c>
      <c r="AO8" s="1008" t="str">
        <f t="shared" si="2"/>
        <v/>
      </c>
      <c r="AP8" s="1009" t="str">
        <f t="shared" si="2"/>
        <v/>
      </c>
      <c r="AQ8" s="18" t="str">
        <f t="shared" ref="AQ8:AW14" si="3">IF(CHOOSE($A$4,AQ101,AQ201,AQ301)="","",CHOOSE($A$4,AQ101,AQ201,AQ301))</f>
        <v/>
      </c>
      <c r="AR8" s="18" t="str">
        <f t="shared" si="3"/>
        <v/>
      </c>
      <c r="AS8" s="18" t="str">
        <f t="shared" si="3"/>
        <v/>
      </c>
      <c r="AT8" s="18" t="str">
        <f t="shared" si="3"/>
        <v/>
      </c>
      <c r="AU8" s="18" t="str">
        <f t="shared" si="3"/>
        <v/>
      </c>
      <c r="AV8" s="18" t="str">
        <f t="shared" si="3"/>
        <v/>
      </c>
      <c r="AW8" s="18" t="str">
        <f t="shared" si="3"/>
        <v/>
      </c>
    </row>
    <row r="9" spans="1:49">
      <c r="A9" s="851" t="str">
        <f t="shared" ref="A9:AB9" si="4">IF(CHOOSE($A$4,A102,A202,A302)="","",CHOOSE($A$4,A102,A202,A302))</f>
        <v>Cost/income ratio</v>
      </c>
      <c r="B9" s="851" t="str">
        <f t="shared" si="4"/>
        <v/>
      </c>
      <c r="C9" s="851" t="str">
        <f t="shared" si="4"/>
        <v/>
      </c>
      <c r="D9" s="851" t="str">
        <f t="shared" si="4"/>
        <v/>
      </c>
      <c r="E9" s="851" t="str">
        <f t="shared" si="4"/>
        <v/>
      </c>
      <c r="F9" s="851" t="str">
        <f t="shared" si="4"/>
        <v/>
      </c>
      <c r="G9" s="851" t="str">
        <f t="shared" si="4"/>
        <v/>
      </c>
      <c r="H9" s="851" t="str">
        <f t="shared" si="4"/>
        <v/>
      </c>
      <c r="I9" s="851" t="str">
        <f t="shared" si="4"/>
        <v/>
      </c>
      <c r="J9" s="851" t="str">
        <f t="shared" si="4"/>
        <v/>
      </c>
      <c r="K9" s="851" t="str">
        <f t="shared" si="4"/>
        <v/>
      </c>
      <c r="L9" s="851" t="str">
        <f t="shared" si="4"/>
        <v/>
      </c>
      <c r="M9" s="851" t="str">
        <f t="shared" si="4"/>
        <v/>
      </c>
      <c r="N9" s="851" t="str">
        <f t="shared" si="4"/>
        <v/>
      </c>
      <c r="O9" s="851" t="str">
        <f t="shared" si="4"/>
        <v/>
      </c>
      <c r="P9" s="851" t="str">
        <f t="shared" si="4"/>
        <v/>
      </c>
      <c r="Q9" s="851" t="str">
        <f t="shared" si="4"/>
        <v/>
      </c>
      <c r="R9" s="851" t="str">
        <f t="shared" si="4"/>
        <v/>
      </c>
      <c r="S9" s="851" t="str">
        <f t="shared" si="4"/>
        <v/>
      </c>
      <c r="T9" s="851" t="str">
        <f t="shared" si="4"/>
        <v/>
      </c>
      <c r="U9" s="851" t="str">
        <f t="shared" si="4"/>
        <v/>
      </c>
      <c r="V9" s="851" t="str">
        <f t="shared" si="4"/>
        <v/>
      </c>
      <c r="W9" s="851" t="str">
        <f t="shared" si="4"/>
        <v/>
      </c>
      <c r="X9" s="851" t="str">
        <f t="shared" si="4"/>
        <v/>
      </c>
      <c r="Y9" s="851" t="str">
        <f t="shared" si="4"/>
        <v/>
      </c>
      <c r="Z9" s="851" t="str">
        <f t="shared" si="4"/>
        <v/>
      </c>
      <c r="AA9" s="1224" t="str">
        <f t="shared" si="4"/>
        <v/>
      </c>
      <c r="AB9" s="1226">
        <f t="shared" si="4"/>
        <v>0.66107238223524911</v>
      </c>
      <c r="AC9" s="1226">
        <f t="shared" ref="AC9:AP9" si="5">IF(CHOOSE($A$4,AC102,AC202,AC302)="","",CHOOSE($A$4,AC102,AC202,AC302))</f>
        <v>0.64407235016073905</v>
      </c>
      <c r="AD9" s="1226">
        <f t="shared" si="5"/>
        <v>0.66142940583719712</v>
      </c>
      <c r="AE9" s="1226">
        <f t="shared" si="5"/>
        <v>0.66481646006804762</v>
      </c>
      <c r="AF9" s="924">
        <f t="shared" si="5"/>
        <v>0.65982669138477357</v>
      </c>
      <c r="AG9" s="924">
        <f t="shared" si="5"/>
        <v>0.63238027162258759</v>
      </c>
      <c r="AH9" s="924">
        <f t="shared" si="5"/>
        <v>0.62481536189069431</v>
      </c>
      <c r="AI9" s="924">
        <f t="shared" si="5"/>
        <v>0.5553736654804271</v>
      </c>
      <c r="AJ9" s="924">
        <f t="shared" si="5"/>
        <v>0.59977255496588322</v>
      </c>
      <c r="AK9" s="924">
        <f t="shared" si="5"/>
        <v>0.59877255496588322</v>
      </c>
      <c r="AL9" s="924">
        <f t="shared" si="5"/>
        <v>0.59777255496588322</v>
      </c>
      <c r="AM9" s="924">
        <f t="shared" si="5"/>
        <v>0.59677255496588322</v>
      </c>
      <c r="AN9" s="924">
        <f t="shared" si="5"/>
        <v>0.59577255496588322</v>
      </c>
      <c r="AO9" s="924">
        <f t="shared" si="5"/>
        <v>0.59477255496588322</v>
      </c>
      <c r="AP9" s="924">
        <f t="shared" si="5"/>
        <v>0.59377255496588321</v>
      </c>
      <c r="AQ9" s="924">
        <f t="shared" si="3"/>
        <v>0.59277255496588321</v>
      </c>
      <c r="AR9" s="924">
        <f t="shared" si="3"/>
        <v>0.59177255496588321</v>
      </c>
      <c r="AS9" s="924">
        <f t="shared" si="3"/>
        <v>0.59077255496588321</v>
      </c>
      <c r="AT9" s="924">
        <f t="shared" si="3"/>
        <v>0.58977255496588321</v>
      </c>
      <c r="AU9" s="924">
        <f t="shared" si="3"/>
        <v>0.58877255496588321</v>
      </c>
      <c r="AV9" s="924">
        <f t="shared" si="3"/>
        <v>0.58777255496588321</v>
      </c>
      <c r="AW9" s="924">
        <f t="shared" si="3"/>
        <v>0.58677255496588321</v>
      </c>
    </row>
    <row r="10" spans="1:49">
      <c r="A10" t="str">
        <f t="shared" ref="A10:AB10" si="6">IF(CHOOSE($A$4,A103,A203,A303)="","",CHOOSE($A$4,A103,A203,A303))</f>
        <v>Net loans growth</v>
      </c>
      <c r="B10" t="str">
        <f t="shared" si="6"/>
        <v/>
      </c>
      <c r="C10" t="str">
        <f t="shared" si="6"/>
        <v/>
      </c>
      <c r="D10" t="str">
        <f t="shared" si="6"/>
        <v/>
      </c>
      <c r="E10" t="str">
        <f t="shared" si="6"/>
        <v/>
      </c>
      <c r="F10" t="str">
        <f t="shared" si="6"/>
        <v/>
      </c>
      <c r="G10" t="str">
        <f t="shared" si="6"/>
        <v/>
      </c>
      <c r="H10" t="str">
        <f t="shared" si="6"/>
        <v/>
      </c>
      <c r="I10" t="str">
        <f t="shared" si="6"/>
        <v/>
      </c>
      <c r="J10" t="str">
        <f t="shared" si="6"/>
        <v/>
      </c>
      <c r="K10" t="str">
        <f t="shared" si="6"/>
        <v/>
      </c>
      <c r="L10" t="str">
        <f t="shared" si="6"/>
        <v/>
      </c>
      <c r="M10" t="str">
        <f t="shared" si="6"/>
        <v/>
      </c>
      <c r="N10" t="str">
        <f t="shared" si="6"/>
        <v/>
      </c>
      <c r="O10" t="str">
        <f t="shared" si="6"/>
        <v/>
      </c>
      <c r="P10" t="str">
        <f t="shared" si="6"/>
        <v/>
      </c>
      <c r="Q10" t="str">
        <f t="shared" si="6"/>
        <v/>
      </c>
      <c r="R10" t="str">
        <f t="shared" si="6"/>
        <v/>
      </c>
      <c r="S10" t="str">
        <f t="shared" si="6"/>
        <v/>
      </c>
      <c r="T10" t="str">
        <f t="shared" si="6"/>
        <v/>
      </c>
      <c r="U10" t="str">
        <f t="shared" si="6"/>
        <v/>
      </c>
      <c r="V10" t="str">
        <f t="shared" si="6"/>
        <v/>
      </c>
      <c r="W10" t="str">
        <f t="shared" si="6"/>
        <v/>
      </c>
      <c r="X10" t="str">
        <f t="shared" si="6"/>
        <v/>
      </c>
      <c r="Y10" t="str">
        <f t="shared" si="6"/>
        <v/>
      </c>
      <c r="Z10" t="str">
        <f t="shared" si="6"/>
        <v/>
      </c>
      <c r="AA10" s="1224" t="str">
        <f t="shared" si="6"/>
        <v/>
      </c>
      <c r="AB10" s="1226" t="str">
        <f t="shared" si="6"/>
        <v>\</v>
      </c>
      <c r="AC10" s="1226">
        <f t="shared" ref="AC10:AP10" si="7">IF(CHOOSE($A$4,AC103,AC203,AC303)="","",CHOOSE($A$4,AC103,AC203,AC303))</f>
        <v>1.1235689478759803E-2</v>
      </c>
      <c r="AD10" s="1226">
        <f t="shared" si="7"/>
        <v>1.2235298138943862E-2</v>
      </c>
      <c r="AE10" s="1226">
        <f t="shared" si="7"/>
        <v>1.2235298138943862E-2</v>
      </c>
      <c r="AF10" s="924">
        <f t="shared" si="7"/>
        <v>1.2235298138943862E-2</v>
      </c>
      <c r="AG10" s="924">
        <f t="shared" si="7"/>
        <v>1.2235298138943862E-2</v>
      </c>
      <c r="AH10" s="924">
        <f t="shared" si="7"/>
        <v>1.0936987845341972E-2</v>
      </c>
      <c r="AI10" s="924">
        <f t="shared" si="7"/>
        <v>1.0936987845341972E-2</v>
      </c>
      <c r="AJ10" s="924">
        <f t="shared" si="7"/>
        <v>1.0936987845341972E-2</v>
      </c>
      <c r="AK10" s="924">
        <f t="shared" si="7"/>
        <v>1.0936987845341972E-2</v>
      </c>
      <c r="AL10" s="924">
        <f t="shared" si="7"/>
        <v>1.0607585452034496E-2</v>
      </c>
      <c r="AM10" s="924">
        <f t="shared" si="7"/>
        <v>1.0607585452034496E-2</v>
      </c>
      <c r="AN10" s="924">
        <f t="shared" si="7"/>
        <v>1.0607585452034496E-2</v>
      </c>
      <c r="AO10" s="924">
        <f t="shared" si="7"/>
        <v>1.0607585452034496E-2</v>
      </c>
      <c r="AP10" s="924">
        <f t="shared" si="7"/>
        <v>1.0249374581586257E-2</v>
      </c>
      <c r="AQ10" s="924">
        <f t="shared" si="3"/>
        <v>1.0249374581586257E-2</v>
      </c>
      <c r="AR10" s="924">
        <f t="shared" si="3"/>
        <v>1.0249374581586257E-2</v>
      </c>
      <c r="AS10" s="924">
        <f t="shared" si="3"/>
        <v>1.0249374581586257E-2</v>
      </c>
      <c r="AT10" s="924">
        <f t="shared" si="3"/>
        <v>9.8893027648077059E-3</v>
      </c>
      <c r="AU10" s="924">
        <f t="shared" si="3"/>
        <v>9.8893027648077059E-3</v>
      </c>
      <c r="AV10" s="924">
        <f t="shared" si="3"/>
        <v>9.8893027648077059E-3</v>
      </c>
      <c r="AW10" s="924">
        <f t="shared" si="3"/>
        <v>9.8893027648077059E-3</v>
      </c>
    </row>
    <row r="11" spans="1:49">
      <c r="A11" t="str">
        <f t="shared" ref="A11:AB11" si="8">IF(CHOOSE($A$4,A104,A204,A304)="","",CHOOSE($A$4,A104,A204,A304))</f>
        <v>Assets under management growth</v>
      </c>
      <c r="B11" t="str">
        <f t="shared" si="8"/>
        <v/>
      </c>
      <c r="C11" t="str">
        <f t="shared" si="8"/>
        <v/>
      </c>
      <c r="D11" t="str">
        <f t="shared" si="8"/>
        <v/>
      </c>
      <c r="E11" t="str">
        <f t="shared" si="8"/>
        <v/>
      </c>
      <c r="F11" t="str">
        <f t="shared" si="8"/>
        <v/>
      </c>
      <c r="G11" t="str">
        <f t="shared" si="8"/>
        <v/>
      </c>
      <c r="H11" t="str">
        <f t="shared" si="8"/>
        <v/>
      </c>
      <c r="I11" t="str">
        <f t="shared" si="8"/>
        <v/>
      </c>
      <c r="J11" t="str">
        <f t="shared" si="8"/>
        <v/>
      </c>
      <c r="K11" t="str">
        <f t="shared" si="8"/>
        <v/>
      </c>
      <c r="L11" t="str">
        <f t="shared" si="8"/>
        <v/>
      </c>
      <c r="M11" t="str">
        <f t="shared" si="8"/>
        <v/>
      </c>
      <c r="N11" t="str">
        <f t="shared" si="8"/>
        <v/>
      </c>
      <c r="O11" t="str">
        <f t="shared" si="8"/>
        <v/>
      </c>
      <c r="P11" t="str">
        <f t="shared" si="8"/>
        <v/>
      </c>
      <c r="Q11" t="str">
        <f t="shared" si="8"/>
        <v/>
      </c>
      <c r="R11" t="str">
        <f t="shared" si="8"/>
        <v/>
      </c>
      <c r="S11" t="str">
        <f t="shared" si="8"/>
        <v/>
      </c>
      <c r="T11" t="str">
        <f t="shared" si="8"/>
        <v/>
      </c>
      <c r="U11" t="str">
        <f t="shared" si="8"/>
        <v/>
      </c>
      <c r="V11" t="str">
        <f t="shared" si="8"/>
        <v/>
      </c>
      <c r="W11" t="str">
        <f t="shared" si="8"/>
        <v/>
      </c>
      <c r="X11" t="str">
        <f t="shared" si="8"/>
        <v/>
      </c>
      <c r="Y11" t="str">
        <f t="shared" si="8"/>
        <v/>
      </c>
      <c r="Z11" t="str">
        <f t="shared" si="8"/>
        <v/>
      </c>
      <c r="AA11" s="1224" t="str">
        <f t="shared" si="8"/>
        <v/>
      </c>
      <c r="AB11" s="1226">
        <f t="shared" si="8"/>
        <v>0.01</v>
      </c>
      <c r="AC11" s="1226">
        <f t="shared" ref="AC11:AP11" si="9">IF(CHOOSE($A$4,AC104,AC204,AC304)="","",CHOOSE($A$4,AC104,AC204,AC304))</f>
        <v>0.01</v>
      </c>
      <c r="AD11" s="1226">
        <f t="shared" si="9"/>
        <v>0.01</v>
      </c>
      <c r="AE11" s="1226">
        <f t="shared" si="9"/>
        <v>0.01</v>
      </c>
      <c r="AF11" s="924">
        <f t="shared" si="9"/>
        <v>4.5998440367560622E-3</v>
      </c>
      <c r="AG11" s="924">
        <f t="shared" si="9"/>
        <v>4.5998440367560622E-3</v>
      </c>
      <c r="AH11" s="924">
        <f t="shared" si="9"/>
        <v>4.5998440367560622E-3</v>
      </c>
      <c r="AI11" s="924">
        <f t="shared" si="9"/>
        <v>4.5998440367560622E-3</v>
      </c>
      <c r="AJ11" s="924">
        <f t="shared" si="9"/>
        <v>4.5998440367560622E-3</v>
      </c>
      <c r="AK11" s="924">
        <f t="shared" si="9"/>
        <v>4.5998440367560622E-3</v>
      </c>
      <c r="AL11" s="924">
        <f t="shared" si="9"/>
        <v>4.5998440367560622E-3</v>
      </c>
      <c r="AM11" s="924">
        <f t="shared" si="9"/>
        <v>4.5998440367560622E-3</v>
      </c>
      <c r="AN11" s="924">
        <f t="shared" si="9"/>
        <v>4.5998440367560622E-3</v>
      </c>
      <c r="AO11" s="924">
        <f t="shared" si="9"/>
        <v>4.5998440367560622E-3</v>
      </c>
      <c r="AP11" s="924">
        <f t="shared" si="9"/>
        <v>4.5998440367560622E-3</v>
      </c>
      <c r="AQ11" s="924">
        <f t="shared" si="3"/>
        <v>4.5998440367560622E-3</v>
      </c>
      <c r="AR11" s="924">
        <f t="shared" si="3"/>
        <v>4.5998440367560622E-3</v>
      </c>
      <c r="AS11" s="924">
        <f t="shared" si="3"/>
        <v>4.5998440367560622E-3</v>
      </c>
      <c r="AT11" s="924">
        <f t="shared" si="3"/>
        <v>4.5998440367560622E-3</v>
      </c>
      <c r="AU11" s="924">
        <f t="shared" si="3"/>
        <v>4.5998440367560622E-3</v>
      </c>
      <c r="AV11" s="924">
        <f t="shared" si="3"/>
        <v>4.5998440367560622E-3</v>
      </c>
      <c r="AW11" s="924">
        <f t="shared" si="3"/>
        <v>4.5998440367560622E-3</v>
      </c>
    </row>
    <row r="12" spans="1:49">
      <c r="A12" t="str">
        <f t="shared" ref="A12:AB12" si="10">IF(CHOOSE($A$4,A105,A205,A305)="","",CHOOSE($A$4,A105,A205,A305))</f>
        <v/>
      </c>
      <c r="B12" t="str">
        <f t="shared" si="10"/>
        <v/>
      </c>
      <c r="C12" t="str">
        <f t="shared" si="10"/>
        <v/>
      </c>
      <c r="D12" t="str">
        <f t="shared" si="10"/>
        <v/>
      </c>
      <c r="E12" t="str">
        <f t="shared" si="10"/>
        <v/>
      </c>
      <c r="F12" t="str">
        <f t="shared" si="10"/>
        <v/>
      </c>
      <c r="G12" t="str">
        <f t="shared" si="10"/>
        <v/>
      </c>
      <c r="H12" t="str">
        <f t="shared" si="10"/>
        <v/>
      </c>
      <c r="I12" t="str">
        <f t="shared" si="10"/>
        <v/>
      </c>
      <c r="J12" t="str">
        <f t="shared" si="10"/>
        <v/>
      </c>
      <c r="K12" t="str">
        <f t="shared" si="10"/>
        <v/>
      </c>
      <c r="L12" t="str">
        <f t="shared" si="10"/>
        <v/>
      </c>
      <c r="M12" t="str">
        <f t="shared" si="10"/>
        <v/>
      </c>
      <c r="N12" t="str">
        <f t="shared" si="10"/>
        <v/>
      </c>
      <c r="O12" t="str">
        <f t="shared" si="10"/>
        <v/>
      </c>
      <c r="P12" t="str">
        <f t="shared" si="10"/>
        <v/>
      </c>
      <c r="Q12" t="str">
        <f t="shared" si="10"/>
        <v/>
      </c>
      <c r="R12" t="str">
        <f t="shared" si="10"/>
        <v/>
      </c>
      <c r="S12" t="str">
        <f t="shared" si="10"/>
        <v/>
      </c>
      <c r="T12" t="str">
        <f t="shared" si="10"/>
        <v/>
      </c>
      <c r="U12" t="str">
        <f t="shared" si="10"/>
        <v/>
      </c>
      <c r="V12" t="str">
        <f t="shared" si="10"/>
        <v/>
      </c>
      <c r="W12" t="str">
        <f t="shared" si="10"/>
        <v/>
      </c>
      <c r="X12" t="str">
        <f t="shared" si="10"/>
        <v/>
      </c>
      <c r="Y12" t="str">
        <f t="shared" si="10"/>
        <v/>
      </c>
      <c r="Z12" t="str">
        <f t="shared" si="10"/>
        <v/>
      </c>
      <c r="AA12" s="1224" t="str">
        <f t="shared" si="10"/>
        <v/>
      </c>
      <c r="AB12" s="1226" t="str">
        <f t="shared" si="10"/>
        <v/>
      </c>
      <c r="AC12" s="1226" t="str">
        <f t="shared" ref="AC12:AP12" si="11">IF(CHOOSE($A$4,AC105,AC205,AC305)="","",CHOOSE($A$4,AC105,AC205,AC305))</f>
        <v/>
      </c>
      <c r="AD12" s="1226" t="str">
        <f t="shared" si="11"/>
        <v/>
      </c>
      <c r="AE12" s="1226" t="str">
        <f t="shared" si="11"/>
        <v/>
      </c>
      <c r="AF12" s="924" t="str">
        <f t="shared" si="11"/>
        <v/>
      </c>
      <c r="AG12" s="924" t="str">
        <f t="shared" si="11"/>
        <v/>
      </c>
      <c r="AH12" s="924" t="str">
        <f t="shared" si="11"/>
        <v/>
      </c>
      <c r="AI12" s="924" t="str">
        <f t="shared" si="11"/>
        <v/>
      </c>
      <c r="AJ12" s="924" t="str">
        <f t="shared" si="11"/>
        <v/>
      </c>
      <c r="AK12" s="924" t="str">
        <f t="shared" si="11"/>
        <v/>
      </c>
      <c r="AL12" s="924" t="str">
        <f t="shared" si="11"/>
        <v/>
      </c>
      <c r="AM12" s="924" t="str">
        <f t="shared" si="11"/>
        <v/>
      </c>
      <c r="AN12" s="924" t="str">
        <f t="shared" si="11"/>
        <v/>
      </c>
      <c r="AO12" s="924" t="str">
        <f t="shared" si="11"/>
        <v/>
      </c>
      <c r="AP12" s="924" t="str">
        <f t="shared" si="11"/>
        <v/>
      </c>
      <c r="AQ12" s="924" t="str">
        <f t="shared" si="3"/>
        <v/>
      </c>
      <c r="AR12" s="924" t="str">
        <f t="shared" si="3"/>
        <v/>
      </c>
      <c r="AS12" s="924" t="str">
        <f t="shared" si="3"/>
        <v/>
      </c>
      <c r="AT12" s="924" t="str">
        <f t="shared" si="3"/>
        <v/>
      </c>
      <c r="AU12" s="924" t="str">
        <f t="shared" si="3"/>
        <v/>
      </c>
      <c r="AV12" s="924" t="str">
        <f t="shared" si="3"/>
        <v/>
      </c>
      <c r="AW12" s="924" t="str">
        <f t="shared" si="3"/>
        <v/>
      </c>
    </row>
    <row r="13" spans="1:49">
      <c r="A13" s="2" t="str">
        <f t="shared" ref="A13:AB13" si="12">IF(CHOOSE($A$4,A106,A206,A306)="","",CHOOSE($A$4,A106,A206,A306))</f>
        <v>International Wealth Management</v>
      </c>
      <c r="B13" t="str">
        <f t="shared" si="12"/>
        <v/>
      </c>
      <c r="C13" t="str">
        <f t="shared" si="12"/>
        <v/>
      </c>
      <c r="D13" t="str">
        <f t="shared" si="12"/>
        <v/>
      </c>
      <c r="E13" t="str">
        <f t="shared" si="12"/>
        <v/>
      </c>
      <c r="F13" t="str">
        <f t="shared" si="12"/>
        <v/>
      </c>
      <c r="G13" t="str">
        <f t="shared" si="12"/>
        <v/>
      </c>
      <c r="H13" t="str">
        <f t="shared" si="12"/>
        <v/>
      </c>
      <c r="I13" t="str">
        <f t="shared" si="12"/>
        <v/>
      </c>
      <c r="J13" t="str">
        <f t="shared" si="12"/>
        <v/>
      </c>
      <c r="K13" t="str">
        <f t="shared" si="12"/>
        <v/>
      </c>
      <c r="L13" t="str">
        <f t="shared" si="12"/>
        <v/>
      </c>
      <c r="M13" t="str">
        <f t="shared" si="12"/>
        <v/>
      </c>
      <c r="N13" t="str">
        <f t="shared" si="12"/>
        <v/>
      </c>
      <c r="O13" t="str">
        <f t="shared" si="12"/>
        <v/>
      </c>
      <c r="P13" t="str">
        <f t="shared" si="12"/>
        <v/>
      </c>
      <c r="Q13" t="str">
        <f t="shared" si="12"/>
        <v/>
      </c>
      <c r="R13" t="str">
        <f t="shared" si="12"/>
        <v/>
      </c>
      <c r="S13" t="str">
        <f t="shared" si="12"/>
        <v/>
      </c>
      <c r="T13" t="str">
        <f t="shared" si="12"/>
        <v/>
      </c>
      <c r="U13" t="str">
        <f t="shared" si="12"/>
        <v/>
      </c>
      <c r="V13" t="str">
        <f t="shared" si="12"/>
        <v/>
      </c>
      <c r="W13" t="str">
        <f t="shared" si="12"/>
        <v/>
      </c>
      <c r="X13" t="str">
        <f t="shared" si="12"/>
        <v/>
      </c>
      <c r="Y13" t="str">
        <f t="shared" si="12"/>
        <v/>
      </c>
      <c r="Z13" t="str">
        <f t="shared" si="12"/>
        <v/>
      </c>
      <c r="AA13" s="1224" t="str">
        <f t="shared" si="12"/>
        <v/>
      </c>
      <c r="AB13" s="1226" t="str">
        <f t="shared" si="12"/>
        <v/>
      </c>
      <c r="AC13" s="1226" t="str">
        <f t="shared" ref="AC13:AP13" si="13">IF(CHOOSE($A$4,AC106,AC206,AC306)="","",CHOOSE($A$4,AC106,AC206,AC306))</f>
        <v/>
      </c>
      <c r="AD13" s="1226" t="str">
        <f t="shared" si="13"/>
        <v/>
      </c>
      <c r="AE13" s="1226" t="str">
        <f t="shared" si="13"/>
        <v/>
      </c>
      <c r="AF13" s="924" t="str">
        <f t="shared" si="13"/>
        <v/>
      </c>
      <c r="AG13" s="924" t="str">
        <f t="shared" si="13"/>
        <v/>
      </c>
      <c r="AH13" s="924" t="str">
        <f t="shared" si="13"/>
        <v/>
      </c>
      <c r="AI13" s="924" t="str">
        <f t="shared" si="13"/>
        <v/>
      </c>
      <c r="AJ13" s="924" t="str">
        <f t="shared" si="13"/>
        <v/>
      </c>
      <c r="AK13" s="924" t="str">
        <f t="shared" si="13"/>
        <v/>
      </c>
      <c r="AL13" s="924" t="str">
        <f t="shared" si="13"/>
        <v/>
      </c>
      <c r="AM13" s="924" t="str">
        <f t="shared" si="13"/>
        <v/>
      </c>
      <c r="AN13" s="924" t="str">
        <f t="shared" si="13"/>
        <v/>
      </c>
      <c r="AO13" s="924" t="str">
        <f t="shared" si="13"/>
        <v/>
      </c>
      <c r="AP13" s="924" t="str">
        <f t="shared" si="13"/>
        <v/>
      </c>
      <c r="AQ13" s="924" t="str">
        <f t="shared" si="3"/>
        <v/>
      </c>
      <c r="AR13" s="924" t="str">
        <f t="shared" si="3"/>
        <v/>
      </c>
      <c r="AS13" s="924" t="str">
        <f t="shared" si="3"/>
        <v/>
      </c>
      <c r="AT13" s="924" t="str">
        <f t="shared" si="3"/>
        <v/>
      </c>
      <c r="AU13" s="924" t="str">
        <f t="shared" si="3"/>
        <v/>
      </c>
      <c r="AV13" s="924" t="str">
        <f t="shared" si="3"/>
        <v/>
      </c>
      <c r="AW13" s="924" t="str">
        <f t="shared" si="3"/>
        <v/>
      </c>
    </row>
    <row r="14" spans="1:49">
      <c r="A14" s="851" t="str">
        <f t="shared" ref="A14:AB14" si="14">IF(CHOOSE($A$4,A107,A207,A307)="","",CHOOSE($A$4,A107,A207,A307))</f>
        <v>Cost/income ratio</v>
      </c>
      <c r="B14" s="851" t="str">
        <f t="shared" si="14"/>
        <v/>
      </c>
      <c r="C14" s="851" t="str">
        <f t="shared" si="14"/>
        <v/>
      </c>
      <c r="D14" s="851" t="str">
        <f t="shared" si="14"/>
        <v/>
      </c>
      <c r="E14" s="851" t="str">
        <f t="shared" si="14"/>
        <v/>
      </c>
      <c r="F14" s="851" t="str">
        <f t="shared" si="14"/>
        <v/>
      </c>
      <c r="G14" s="851" t="str">
        <f t="shared" si="14"/>
        <v/>
      </c>
      <c r="H14" s="851" t="str">
        <f t="shared" si="14"/>
        <v/>
      </c>
      <c r="I14" s="851" t="str">
        <f t="shared" si="14"/>
        <v/>
      </c>
      <c r="J14" s="851" t="str">
        <f t="shared" si="14"/>
        <v/>
      </c>
      <c r="K14" s="851" t="str">
        <f t="shared" si="14"/>
        <v/>
      </c>
      <c r="L14" s="851" t="str">
        <f t="shared" si="14"/>
        <v/>
      </c>
      <c r="M14" s="851" t="str">
        <f t="shared" si="14"/>
        <v/>
      </c>
      <c r="N14" s="851" t="str">
        <f t="shared" si="14"/>
        <v/>
      </c>
      <c r="O14" s="851" t="str">
        <f t="shared" si="14"/>
        <v/>
      </c>
      <c r="P14" s="851" t="str">
        <f t="shared" si="14"/>
        <v/>
      </c>
      <c r="Q14" s="851" t="str">
        <f t="shared" si="14"/>
        <v/>
      </c>
      <c r="R14" s="851" t="str">
        <f t="shared" si="14"/>
        <v/>
      </c>
      <c r="S14" s="851" t="str">
        <f t="shared" si="14"/>
        <v/>
      </c>
      <c r="T14" s="851" t="str">
        <f t="shared" si="14"/>
        <v/>
      </c>
      <c r="U14" s="851" t="str">
        <f t="shared" si="14"/>
        <v/>
      </c>
      <c r="V14" s="851" t="str">
        <f t="shared" si="14"/>
        <v/>
      </c>
      <c r="W14" s="851" t="str">
        <f t="shared" si="14"/>
        <v/>
      </c>
      <c r="X14" s="851" t="str">
        <f t="shared" si="14"/>
        <v/>
      </c>
      <c r="Y14" s="851" t="str">
        <f t="shared" si="14"/>
        <v/>
      </c>
      <c r="Z14" s="851" t="str">
        <f t="shared" si="14"/>
        <v/>
      </c>
      <c r="AA14" s="1224" t="str">
        <f t="shared" si="14"/>
        <v/>
      </c>
      <c r="AB14" s="1226">
        <f t="shared" si="14"/>
        <v>0.78860426619109569</v>
      </c>
      <c r="AC14" s="1226">
        <f t="shared" ref="AC14:AP14" si="15">IF(CHOOSE($A$4,AC107,AC207,AC307)="","",CHOOSE($A$4,AC107,AC207,AC307))</f>
        <v>0.78892208509189088</v>
      </c>
      <c r="AD14" s="1226">
        <f t="shared" si="15"/>
        <v>0.79821375175855758</v>
      </c>
      <c r="AE14" s="1226">
        <f t="shared" si="15"/>
        <v>0.79943587486292866</v>
      </c>
      <c r="AF14" s="924">
        <f t="shared" si="15"/>
        <v>0.72399999999999998</v>
      </c>
      <c r="AG14" s="924">
        <f t="shared" si="15"/>
        <v>0.71866288620274765</v>
      </c>
      <c r="AH14" s="924">
        <f t="shared" si="15"/>
        <v>0.71336511602936947</v>
      </c>
      <c r="AI14" s="924">
        <f t="shared" si="15"/>
        <v>0.70810639945031029</v>
      </c>
      <c r="AJ14" s="924">
        <f t="shared" si="15"/>
        <v>0.70288644857402727</v>
      </c>
      <c r="AK14" s="924">
        <f t="shared" si="15"/>
        <v>0.69770497763122874</v>
      </c>
      <c r="AL14" s="924">
        <f t="shared" si="15"/>
        <v>0.69256170295922981</v>
      </c>
      <c r="AM14" s="924">
        <f t="shared" si="15"/>
        <v>0.68745634298642289</v>
      </c>
      <c r="AN14" s="924">
        <f t="shared" si="15"/>
        <v>0.68238861821686292</v>
      </c>
      <c r="AO14" s="924">
        <f t="shared" si="15"/>
        <v>0.67735825121496629</v>
      </c>
      <c r="AP14" s="924">
        <f t="shared" si="15"/>
        <v>0.67236496659032252</v>
      </c>
      <c r="AQ14" s="924">
        <f t="shared" si="3"/>
        <v>0.66740849098261767</v>
      </c>
      <c r="AR14" s="924">
        <f t="shared" si="3"/>
        <v>0.6624885530466692</v>
      </c>
      <c r="AS14" s="924">
        <f t="shared" si="3"/>
        <v>0.65760488343757106</v>
      </c>
      <c r="AT14" s="924">
        <f t="shared" si="3"/>
        <v>0.65275721479594795</v>
      </c>
      <c r="AU14" s="924">
        <f t="shared" si="3"/>
        <v>0.64794528173331889</v>
      </c>
      <c r="AV14" s="924">
        <f t="shared" si="3"/>
        <v>0.64316882081756832</v>
      </c>
      <c r="AW14" s="924">
        <f t="shared" si="3"/>
        <v>0.63842757055852417</v>
      </c>
    </row>
    <row r="15" spans="1:49">
      <c r="A15" s="851" t="str">
        <f t="shared" ref="A15:AF15" si="16">IF(CHOOSE($A$4,A109,A208,A308)="","",CHOOSE($A$4,A109,A208,A308))</f>
        <v>Net loans growth</v>
      </c>
      <c r="B15" t="str">
        <f t="shared" si="16"/>
        <v/>
      </c>
      <c r="C15" t="str">
        <f t="shared" si="16"/>
        <v/>
      </c>
      <c r="D15" t="str">
        <f t="shared" si="16"/>
        <v/>
      </c>
      <c r="E15" t="str">
        <f t="shared" si="16"/>
        <v/>
      </c>
      <c r="F15" t="str">
        <f t="shared" si="16"/>
        <v/>
      </c>
      <c r="G15" t="str">
        <f t="shared" si="16"/>
        <v/>
      </c>
      <c r="H15" t="str">
        <f t="shared" si="16"/>
        <v/>
      </c>
      <c r="I15" t="str">
        <f t="shared" si="16"/>
        <v/>
      </c>
      <c r="J15" t="str">
        <f t="shared" si="16"/>
        <v/>
      </c>
      <c r="K15" t="str">
        <f t="shared" si="16"/>
        <v/>
      </c>
      <c r="L15" t="str">
        <f t="shared" si="16"/>
        <v/>
      </c>
      <c r="M15" t="str">
        <f t="shared" si="16"/>
        <v/>
      </c>
      <c r="N15" t="str">
        <f t="shared" si="16"/>
        <v/>
      </c>
      <c r="O15" t="str">
        <f t="shared" si="16"/>
        <v/>
      </c>
      <c r="P15" t="str">
        <f t="shared" si="16"/>
        <v/>
      </c>
      <c r="Q15" t="str">
        <f t="shared" si="16"/>
        <v/>
      </c>
      <c r="R15" t="str">
        <f t="shared" si="16"/>
        <v/>
      </c>
      <c r="S15" t="str">
        <f t="shared" si="16"/>
        <v/>
      </c>
      <c r="T15" t="str">
        <f t="shared" si="16"/>
        <v/>
      </c>
      <c r="U15" t="str">
        <f t="shared" si="16"/>
        <v/>
      </c>
      <c r="V15" t="str">
        <f t="shared" si="16"/>
        <v/>
      </c>
      <c r="W15" t="str">
        <f t="shared" si="16"/>
        <v/>
      </c>
      <c r="X15" t="str">
        <f t="shared" si="16"/>
        <v/>
      </c>
      <c r="Y15" t="str">
        <f t="shared" si="16"/>
        <v/>
      </c>
      <c r="Z15" t="str">
        <f t="shared" si="16"/>
        <v/>
      </c>
      <c r="AA15" s="1224" t="str">
        <f t="shared" si="16"/>
        <v/>
      </c>
      <c r="AB15" s="1226">
        <f t="shared" si="16"/>
        <v>1.1931467091168591E-2</v>
      </c>
      <c r="AC15" s="1226">
        <f t="shared" si="16"/>
        <v>1.1931467091168591E-2</v>
      </c>
      <c r="AD15" s="1226">
        <f t="shared" si="16"/>
        <v>1.0697734151279394E-2</v>
      </c>
      <c r="AE15" s="1226">
        <f t="shared" si="16"/>
        <v>1.0697734151279394E-2</v>
      </c>
      <c r="AF15" s="924">
        <f t="shared" si="16"/>
        <v>1.330437129256128E-2</v>
      </c>
      <c r="AG15" s="924">
        <f t="shared" ref="AG15:AW15" si="17">IF(CHOOSE($A$4,AG109,AG208,AG308)="","",CHOOSE($A$4,AG109,AG208,AG308))</f>
        <v>1.330437129256128E-2</v>
      </c>
      <c r="AH15" s="924">
        <f t="shared" si="17"/>
        <v>1.3963584811956779E-2</v>
      </c>
      <c r="AI15" s="924">
        <f t="shared" si="17"/>
        <v>1.3963584811956779E-2</v>
      </c>
      <c r="AJ15" s="924">
        <f t="shared" si="17"/>
        <v>1.3963584811956779E-2</v>
      </c>
      <c r="AK15" s="924">
        <f t="shared" si="17"/>
        <v>1.3963584811956779E-2</v>
      </c>
      <c r="AL15" s="924">
        <f t="shared" si="17"/>
        <v>1.4155074365028031E-2</v>
      </c>
      <c r="AM15" s="924">
        <f t="shared" si="17"/>
        <v>1.4155074365028031E-2</v>
      </c>
      <c r="AN15" s="924">
        <f t="shared" si="17"/>
        <v>1.4155074365028031E-2</v>
      </c>
      <c r="AO15" s="924">
        <f t="shared" si="17"/>
        <v>1.4155074365028031E-2</v>
      </c>
      <c r="AP15" s="924">
        <f t="shared" si="17"/>
        <v>1.4092022542133119E-2</v>
      </c>
      <c r="AQ15" s="924">
        <f t="shared" si="17"/>
        <v>1.4092022542133119E-2</v>
      </c>
      <c r="AR15" s="924">
        <f t="shared" si="17"/>
        <v>1.4092022542133119E-2</v>
      </c>
      <c r="AS15" s="924">
        <f t="shared" si="17"/>
        <v>1.4092022542133119E-2</v>
      </c>
      <c r="AT15" s="924">
        <f t="shared" si="17"/>
        <v>1.3940725044951261E-2</v>
      </c>
      <c r="AU15" s="924">
        <f t="shared" si="17"/>
        <v>1.3940725044951261E-2</v>
      </c>
      <c r="AV15" s="924">
        <f t="shared" si="17"/>
        <v>1.3940725044951261E-2</v>
      </c>
      <c r="AW15" s="924">
        <f t="shared" si="17"/>
        <v>1.3940725044951261E-2</v>
      </c>
    </row>
    <row r="16" spans="1:49">
      <c r="A16" s="851" t="str">
        <f t="shared" ref="A16:AF16" si="18">IF(CHOOSE($A$4,A110,A209,A309)="","",CHOOSE($A$4,A110,A209,A309))</f>
        <v>Assets under management growth</v>
      </c>
      <c r="B16" t="str">
        <f t="shared" si="18"/>
        <v/>
      </c>
      <c r="C16" t="str">
        <f t="shared" si="18"/>
        <v/>
      </c>
      <c r="D16" t="str">
        <f t="shared" si="18"/>
        <v/>
      </c>
      <c r="E16" t="str">
        <f t="shared" si="18"/>
        <v/>
      </c>
      <c r="F16" t="str">
        <f t="shared" si="18"/>
        <v/>
      </c>
      <c r="G16" t="str">
        <f t="shared" si="18"/>
        <v/>
      </c>
      <c r="H16" t="str">
        <f t="shared" si="18"/>
        <v/>
      </c>
      <c r="I16" t="str">
        <f t="shared" si="18"/>
        <v/>
      </c>
      <c r="J16" t="str">
        <f t="shared" si="18"/>
        <v/>
      </c>
      <c r="K16" t="str">
        <f t="shared" si="18"/>
        <v/>
      </c>
      <c r="L16" t="str">
        <f t="shared" si="18"/>
        <v/>
      </c>
      <c r="M16" t="str">
        <f t="shared" si="18"/>
        <v/>
      </c>
      <c r="N16" t="str">
        <f t="shared" si="18"/>
        <v/>
      </c>
      <c r="O16" t="str">
        <f t="shared" si="18"/>
        <v/>
      </c>
      <c r="P16" t="str">
        <f t="shared" si="18"/>
        <v/>
      </c>
      <c r="Q16" t="str">
        <f t="shared" si="18"/>
        <v/>
      </c>
      <c r="R16" t="str">
        <f t="shared" si="18"/>
        <v/>
      </c>
      <c r="S16" t="str">
        <f t="shared" si="18"/>
        <v/>
      </c>
      <c r="T16" t="str">
        <f t="shared" si="18"/>
        <v/>
      </c>
      <c r="U16" t="str">
        <f t="shared" si="18"/>
        <v/>
      </c>
      <c r="V16" t="str">
        <f t="shared" si="18"/>
        <v/>
      </c>
      <c r="W16" t="str">
        <f t="shared" si="18"/>
        <v/>
      </c>
      <c r="X16" t="str">
        <f t="shared" si="18"/>
        <v/>
      </c>
      <c r="Y16" t="str">
        <f t="shared" si="18"/>
        <v/>
      </c>
      <c r="Z16" t="str">
        <f t="shared" si="18"/>
        <v/>
      </c>
      <c r="AA16" s="1224" t="str">
        <f t="shared" si="18"/>
        <v/>
      </c>
      <c r="AB16" s="1226">
        <f t="shared" si="18"/>
        <v>1.2669272758174532E-2</v>
      </c>
      <c r="AC16" s="1226">
        <f t="shared" si="18"/>
        <v>1.2669272758174532E-2</v>
      </c>
      <c r="AD16" s="1226">
        <f t="shared" si="18"/>
        <v>1.2669272758174532E-2</v>
      </c>
      <c r="AE16" s="1226">
        <f t="shared" si="18"/>
        <v>1.2669272758174532E-2</v>
      </c>
      <c r="AF16" s="924">
        <f t="shared" si="18"/>
        <v>1.2669272758174532E-2</v>
      </c>
      <c r="AG16" s="924">
        <f t="shared" ref="AG16:AW16" si="19">IF(CHOOSE($A$4,AG110,AG209,AG309)="","",CHOOSE($A$4,AG110,AG209,AG309))</f>
        <v>1.2669272758174532E-2</v>
      </c>
      <c r="AH16" s="924">
        <f t="shared" si="19"/>
        <v>1.2669272758174532E-2</v>
      </c>
      <c r="AI16" s="924">
        <f t="shared" si="19"/>
        <v>1.2669272758174532E-2</v>
      </c>
      <c r="AJ16" s="924">
        <f t="shared" si="19"/>
        <v>1.2669272758174532E-2</v>
      </c>
      <c r="AK16" s="924">
        <f t="shared" si="19"/>
        <v>1.2669272758174532E-2</v>
      </c>
      <c r="AL16" s="924">
        <f t="shared" si="19"/>
        <v>1.2669272758174532E-2</v>
      </c>
      <c r="AM16" s="924">
        <f t="shared" si="19"/>
        <v>1.2669272758174532E-2</v>
      </c>
      <c r="AN16" s="924">
        <f t="shared" si="19"/>
        <v>1.2669272758174532E-2</v>
      </c>
      <c r="AO16" s="924">
        <f t="shared" si="19"/>
        <v>1.2669272758174532E-2</v>
      </c>
      <c r="AP16" s="924">
        <f t="shared" si="19"/>
        <v>1.2669272758174532E-2</v>
      </c>
      <c r="AQ16" s="924">
        <f t="shared" si="19"/>
        <v>1.2669272758174532E-2</v>
      </c>
      <c r="AR16" s="924">
        <f t="shared" si="19"/>
        <v>1.2669272758174532E-2</v>
      </c>
      <c r="AS16" s="924">
        <f t="shared" si="19"/>
        <v>1.2669272758174532E-2</v>
      </c>
      <c r="AT16" s="924">
        <f t="shared" si="19"/>
        <v>1.2669272758174532E-2</v>
      </c>
      <c r="AU16" s="924">
        <f t="shared" si="19"/>
        <v>1.2669272758174532E-2</v>
      </c>
      <c r="AV16" s="924">
        <f t="shared" si="19"/>
        <v>1.2669272758174532E-2</v>
      </c>
      <c r="AW16" s="924">
        <f t="shared" si="19"/>
        <v>1.2669272758174532E-2</v>
      </c>
    </row>
    <row r="17" spans="1:49">
      <c r="A17" t="str">
        <f t="shared" ref="A17:AF17" si="20">IF(CHOOSE($A$4,A111,A210,A310)="","",CHOOSE($A$4,A111,A210,A310))</f>
        <v/>
      </c>
      <c r="B17" t="str">
        <f t="shared" si="20"/>
        <v/>
      </c>
      <c r="C17" t="str">
        <f t="shared" si="20"/>
        <v/>
      </c>
      <c r="D17" t="str">
        <f t="shared" si="20"/>
        <v/>
      </c>
      <c r="E17" t="str">
        <f t="shared" si="20"/>
        <v/>
      </c>
      <c r="F17" t="str">
        <f t="shared" si="20"/>
        <v/>
      </c>
      <c r="G17" t="str">
        <f t="shared" si="20"/>
        <v/>
      </c>
      <c r="H17" t="str">
        <f t="shared" si="20"/>
        <v/>
      </c>
      <c r="I17" t="str">
        <f t="shared" si="20"/>
        <v/>
      </c>
      <c r="J17" t="str">
        <f t="shared" si="20"/>
        <v/>
      </c>
      <c r="K17" t="str">
        <f t="shared" si="20"/>
        <v/>
      </c>
      <c r="L17" t="str">
        <f t="shared" si="20"/>
        <v/>
      </c>
      <c r="M17" t="str">
        <f t="shared" si="20"/>
        <v/>
      </c>
      <c r="N17" t="str">
        <f t="shared" si="20"/>
        <v/>
      </c>
      <c r="O17" t="str">
        <f t="shared" si="20"/>
        <v/>
      </c>
      <c r="P17" t="str">
        <f t="shared" si="20"/>
        <v/>
      </c>
      <c r="Q17" t="str">
        <f t="shared" si="20"/>
        <v/>
      </c>
      <c r="R17" t="str">
        <f t="shared" si="20"/>
        <v/>
      </c>
      <c r="S17" t="str">
        <f t="shared" si="20"/>
        <v/>
      </c>
      <c r="T17" t="str">
        <f t="shared" si="20"/>
        <v/>
      </c>
      <c r="U17" t="str">
        <f t="shared" si="20"/>
        <v/>
      </c>
      <c r="V17" t="str">
        <f t="shared" si="20"/>
        <v/>
      </c>
      <c r="W17" t="str">
        <f t="shared" si="20"/>
        <v/>
      </c>
      <c r="X17" t="str">
        <f t="shared" si="20"/>
        <v/>
      </c>
      <c r="Y17" t="str">
        <f t="shared" si="20"/>
        <v/>
      </c>
      <c r="Z17" t="str">
        <f t="shared" si="20"/>
        <v/>
      </c>
      <c r="AA17" s="1224" t="str">
        <f t="shared" si="20"/>
        <v/>
      </c>
      <c r="AB17" s="1226" t="str">
        <f t="shared" si="20"/>
        <v/>
      </c>
      <c r="AC17" s="1226" t="str">
        <f t="shared" si="20"/>
        <v/>
      </c>
      <c r="AD17" s="1226" t="str">
        <f t="shared" si="20"/>
        <v/>
      </c>
      <c r="AE17" s="1226" t="str">
        <f t="shared" si="20"/>
        <v/>
      </c>
      <c r="AF17" s="924" t="str">
        <f t="shared" si="20"/>
        <v/>
      </c>
      <c r="AG17" s="924" t="str">
        <f t="shared" ref="AG17:AW17" si="21">IF(CHOOSE($A$4,AG111,AG210,AG310)="","",CHOOSE($A$4,AG111,AG210,AG310))</f>
        <v/>
      </c>
      <c r="AH17" s="924" t="str">
        <f t="shared" si="21"/>
        <v/>
      </c>
      <c r="AI17" s="924" t="str">
        <f t="shared" si="21"/>
        <v/>
      </c>
      <c r="AJ17" s="924" t="str">
        <f t="shared" si="21"/>
        <v/>
      </c>
      <c r="AK17" s="924" t="str">
        <f t="shared" si="21"/>
        <v/>
      </c>
      <c r="AL17" s="924" t="str">
        <f t="shared" si="21"/>
        <v/>
      </c>
      <c r="AM17" s="924" t="str">
        <f t="shared" si="21"/>
        <v/>
      </c>
      <c r="AN17" s="924" t="str">
        <f t="shared" si="21"/>
        <v/>
      </c>
      <c r="AO17" s="924" t="str">
        <f t="shared" si="21"/>
        <v/>
      </c>
      <c r="AP17" s="924" t="str">
        <f t="shared" si="21"/>
        <v/>
      </c>
      <c r="AQ17" s="924" t="str">
        <f t="shared" si="21"/>
        <v/>
      </c>
      <c r="AR17" s="924" t="str">
        <f t="shared" si="21"/>
        <v/>
      </c>
      <c r="AS17" s="924" t="str">
        <f t="shared" si="21"/>
        <v/>
      </c>
      <c r="AT17" s="924" t="str">
        <f t="shared" si="21"/>
        <v/>
      </c>
      <c r="AU17" s="924" t="str">
        <f t="shared" si="21"/>
        <v/>
      </c>
      <c r="AV17" s="924" t="str">
        <f t="shared" si="21"/>
        <v/>
      </c>
      <c r="AW17" s="924" t="str">
        <f t="shared" si="21"/>
        <v/>
      </c>
    </row>
    <row r="18" spans="1:49">
      <c r="A18" s="2" t="str">
        <f t="shared" ref="A18:AF18" si="22">IF(CHOOSE($A$4,A112,A211,A311)="","",CHOOSE($A$4,A112,A211,A311))</f>
        <v>Asia Pacific</v>
      </c>
      <c r="B18" t="str">
        <f t="shared" si="22"/>
        <v/>
      </c>
      <c r="C18" t="str">
        <f t="shared" si="22"/>
        <v/>
      </c>
      <c r="D18" t="str">
        <f t="shared" si="22"/>
        <v/>
      </c>
      <c r="E18" t="str">
        <f t="shared" si="22"/>
        <v/>
      </c>
      <c r="F18" t="str">
        <f t="shared" si="22"/>
        <v/>
      </c>
      <c r="G18" t="str">
        <f t="shared" si="22"/>
        <v/>
      </c>
      <c r="H18" t="str">
        <f t="shared" si="22"/>
        <v/>
      </c>
      <c r="I18" t="str">
        <f t="shared" si="22"/>
        <v/>
      </c>
      <c r="J18" t="str">
        <f t="shared" si="22"/>
        <v/>
      </c>
      <c r="K18" t="str">
        <f t="shared" si="22"/>
        <v/>
      </c>
      <c r="L18" t="str">
        <f t="shared" si="22"/>
        <v/>
      </c>
      <c r="M18" t="str">
        <f t="shared" si="22"/>
        <v/>
      </c>
      <c r="N18" t="str">
        <f t="shared" si="22"/>
        <v/>
      </c>
      <c r="O18" t="str">
        <f t="shared" si="22"/>
        <v/>
      </c>
      <c r="P18" t="str">
        <f t="shared" si="22"/>
        <v/>
      </c>
      <c r="Q18" t="str">
        <f t="shared" si="22"/>
        <v/>
      </c>
      <c r="R18" t="str">
        <f t="shared" si="22"/>
        <v/>
      </c>
      <c r="S18" t="str">
        <f t="shared" si="22"/>
        <v/>
      </c>
      <c r="T18" t="str">
        <f t="shared" si="22"/>
        <v/>
      </c>
      <c r="U18" t="str">
        <f t="shared" si="22"/>
        <v/>
      </c>
      <c r="V18" t="str">
        <f t="shared" si="22"/>
        <v/>
      </c>
      <c r="W18" t="str">
        <f t="shared" si="22"/>
        <v/>
      </c>
      <c r="X18" t="str">
        <f t="shared" si="22"/>
        <v/>
      </c>
      <c r="Y18" t="str">
        <f t="shared" si="22"/>
        <v/>
      </c>
      <c r="Z18" t="str">
        <f t="shared" si="22"/>
        <v/>
      </c>
      <c r="AA18" s="1224" t="str">
        <f t="shared" si="22"/>
        <v/>
      </c>
      <c r="AB18" s="1226" t="str">
        <f t="shared" si="22"/>
        <v/>
      </c>
      <c r="AC18" s="1226" t="str">
        <f t="shared" si="22"/>
        <v/>
      </c>
      <c r="AD18" s="1226" t="str">
        <f t="shared" si="22"/>
        <v/>
      </c>
      <c r="AE18" s="1226" t="str">
        <f t="shared" si="22"/>
        <v/>
      </c>
      <c r="AF18" s="924" t="str">
        <f t="shared" si="22"/>
        <v/>
      </c>
      <c r="AG18" s="924" t="str">
        <f t="shared" ref="AG18:AW18" si="23">IF(CHOOSE($A$4,AG112,AG211,AG311)="","",CHOOSE($A$4,AG112,AG211,AG311))</f>
        <v/>
      </c>
      <c r="AH18" s="924" t="str">
        <f t="shared" si="23"/>
        <v/>
      </c>
      <c r="AI18" s="924" t="str">
        <f t="shared" si="23"/>
        <v/>
      </c>
      <c r="AJ18" s="924" t="str">
        <f t="shared" si="23"/>
        <v/>
      </c>
      <c r="AK18" s="924" t="str">
        <f t="shared" si="23"/>
        <v/>
      </c>
      <c r="AL18" s="924" t="str">
        <f t="shared" si="23"/>
        <v/>
      </c>
      <c r="AM18" s="924" t="str">
        <f t="shared" si="23"/>
        <v/>
      </c>
      <c r="AN18" s="924" t="str">
        <f t="shared" si="23"/>
        <v/>
      </c>
      <c r="AO18" s="924" t="str">
        <f t="shared" si="23"/>
        <v/>
      </c>
      <c r="AP18" s="924" t="str">
        <f t="shared" si="23"/>
        <v/>
      </c>
      <c r="AQ18" s="924" t="str">
        <f t="shared" si="23"/>
        <v/>
      </c>
      <c r="AR18" s="924" t="str">
        <f t="shared" si="23"/>
        <v/>
      </c>
      <c r="AS18" s="924" t="str">
        <f t="shared" si="23"/>
        <v/>
      </c>
      <c r="AT18" s="924" t="str">
        <f t="shared" si="23"/>
        <v/>
      </c>
      <c r="AU18" s="924" t="str">
        <f t="shared" si="23"/>
        <v/>
      </c>
      <c r="AV18" s="924" t="str">
        <f t="shared" si="23"/>
        <v/>
      </c>
      <c r="AW18" s="924" t="str">
        <f t="shared" si="23"/>
        <v/>
      </c>
    </row>
    <row r="19" spans="1:49">
      <c r="A19" s="851" t="str">
        <f t="shared" ref="A19:AF19" si="24">IF(CHOOSE($A$4,A113,A212,A312)="","",CHOOSE($A$4,A113,A212,A312))</f>
        <v>Cost/income ratio</v>
      </c>
      <c r="B19" s="851" t="str">
        <f t="shared" si="24"/>
        <v/>
      </c>
      <c r="C19" s="851" t="str">
        <f t="shared" si="24"/>
        <v/>
      </c>
      <c r="D19" s="851" t="str">
        <f t="shared" si="24"/>
        <v/>
      </c>
      <c r="E19" s="851" t="str">
        <f t="shared" si="24"/>
        <v/>
      </c>
      <c r="F19" s="851" t="str">
        <f t="shared" si="24"/>
        <v/>
      </c>
      <c r="G19" s="851" t="str">
        <f t="shared" si="24"/>
        <v/>
      </c>
      <c r="H19" s="851" t="str">
        <f t="shared" si="24"/>
        <v/>
      </c>
      <c r="I19" s="851" t="str">
        <f t="shared" si="24"/>
        <v/>
      </c>
      <c r="J19" s="851" t="str">
        <f t="shared" si="24"/>
        <v/>
      </c>
      <c r="K19" s="851" t="str">
        <f t="shared" si="24"/>
        <v/>
      </c>
      <c r="L19" s="851" t="str">
        <f t="shared" si="24"/>
        <v/>
      </c>
      <c r="M19" s="851" t="str">
        <f t="shared" si="24"/>
        <v/>
      </c>
      <c r="N19" s="851" t="str">
        <f t="shared" si="24"/>
        <v/>
      </c>
      <c r="O19" s="851" t="str">
        <f t="shared" si="24"/>
        <v/>
      </c>
      <c r="P19" s="851" t="str">
        <f t="shared" si="24"/>
        <v/>
      </c>
      <c r="Q19" s="851" t="str">
        <f t="shared" si="24"/>
        <v/>
      </c>
      <c r="R19" s="851" t="str">
        <f t="shared" si="24"/>
        <v/>
      </c>
      <c r="S19" s="851" t="str">
        <f t="shared" si="24"/>
        <v/>
      </c>
      <c r="T19" s="851" t="str">
        <f t="shared" si="24"/>
        <v/>
      </c>
      <c r="U19" s="851" t="str">
        <f t="shared" si="24"/>
        <v/>
      </c>
      <c r="V19" s="851" t="str">
        <f t="shared" si="24"/>
        <v/>
      </c>
      <c r="W19" s="851" t="str">
        <f t="shared" si="24"/>
        <v/>
      </c>
      <c r="X19" s="851" t="str">
        <f t="shared" si="24"/>
        <v/>
      </c>
      <c r="Y19" s="851" t="str">
        <f t="shared" si="24"/>
        <v/>
      </c>
      <c r="Z19" s="851" t="str">
        <f t="shared" si="24"/>
        <v/>
      </c>
      <c r="AA19" s="1224" t="str">
        <f t="shared" si="24"/>
        <v/>
      </c>
      <c r="AB19" s="1226">
        <f t="shared" si="24"/>
        <v>0.83835420654332871</v>
      </c>
      <c r="AC19" s="1226">
        <f t="shared" si="24"/>
        <v>0.85918205597739039</v>
      </c>
      <c r="AD19" s="1226">
        <f t="shared" si="24"/>
        <v>0.86425134945565119</v>
      </c>
      <c r="AE19" s="1226">
        <f t="shared" si="24"/>
        <v>0.89595539357329834</v>
      </c>
      <c r="AF19" s="924">
        <f t="shared" si="24"/>
        <v>0.78590000000000004</v>
      </c>
      <c r="AG19" s="924">
        <f t="shared" ref="AG19:AW19" si="25">IF(CHOOSE($A$4,AG113,AG212,AG312)="","",CHOOSE($A$4,AG113,AG212,AG312))</f>
        <v>0.78590000000000004</v>
      </c>
      <c r="AH19" s="924">
        <f t="shared" si="25"/>
        <v>0.78590000000000004</v>
      </c>
      <c r="AI19" s="924">
        <f t="shared" si="25"/>
        <v>0.78590000000000004</v>
      </c>
      <c r="AJ19" s="924">
        <f t="shared" si="25"/>
        <v>0.78590000000000004</v>
      </c>
      <c r="AK19" s="924">
        <f t="shared" si="25"/>
        <v>0.78590000000000004</v>
      </c>
      <c r="AL19" s="924">
        <f t="shared" si="25"/>
        <v>0.78590000000000004</v>
      </c>
      <c r="AM19" s="924">
        <f t="shared" si="25"/>
        <v>0.78590000000000004</v>
      </c>
      <c r="AN19" s="924">
        <f t="shared" si="25"/>
        <v>0.78590000000000004</v>
      </c>
      <c r="AO19" s="924">
        <f t="shared" si="25"/>
        <v>0.78590000000000004</v>
      </c>
      <c r="AP19" s="924">
        <f t="shared" si="25"/>
        <v>0.78590000000000004</v>
      </c>
      <c r="AQ19" s="924">
        <f t="shared" si="25"/>
        <v>0.78590000000000004</v>
      </c>
      <c r="AR19" s="924">
        <f t="shared" si="25"/>
        <v>0.78590000000000004</v>
      </c>
      <c r="AS19" s="924">
        <f t="shared" si="25"/>
        <v>0.78590000000000004</v>
      </c>
      <c r="AT19" s="924">
        <f t="shared" si="25"/>
        <v>0.78590000000000004</v>
      </c>
      <c r="AU19" s="924">
        <f t="shared" si="25"/>
        <v>0.78590000000000004</v>
      </c>
      <c r="AV19" s="924">
        <f t="shared" si="25"/>
        <v>0.78590000000000004</v>
      </c>
      <c r="AW19" s="924">
        <f t="shared" si="25"/>
        <v>0.78590000000000004</v>
      </c>
    </row>
    <row r="20" spans="1:49">
      <c r="A20" s="851" t="str">
        <f t="shared" ref="A20:AF20" si="26">IF(CHOOSE($A$4,A114,A213,A313)="","",CHOOSE($A$4,A114,A213,A313))</f>
        <v>Net loans growth</v>
      </c>
      <c r="B20" t="str">
        <f t="shared" si="26"/>
        <v/>
      </c>
      <c r="C20" t="str">
        <f t="shared" si="26"/>
        <v/>
      </c>
      <c r="D20" t="str">
        <f t="shared" si="26"/>
        <v/>
      </c>
      <c r="E20" t="str">
        <f t="shared" si="26"/>
        <v/>
      </c>
      <c r="F20" t="str">
        <f t="shared" si="26"/>
        <v/>
      </c>
      <c r="G20" t="str">
        <f t="shared" si="26"/>
        <v/>
      </c>
      <c r="H20" t="str">
        <f t="shared" si="26"/>
        <v/>
      </c>
      <c r="I20" t="str">
        <f t="shared" si="26"/>
        <v/>
      </c>
      <c r="J20" t="str">
        <f t="shared" si="26"/>
        <v/>
      </c>
      <c r="K20" t="str">
        <f t="shared" si="26"/>
        <v/>
      </c>
      <c r="L20" t="str">
        <f t="shared" si="26"/>
        <v/>
      </c>
      <c r="M20" t="str">
        <f t="shared" si="26"/>
        <v/>
      </c>
      <c r="N20" t="str">
        <f t="shared" si="26"/>
        <v/>
      </c>
      <c r="O20" t="str">
        <f t="shared" si="26"/>
        <v/>
      </c>
      <c r="P20" t="str">
        <f t="shared" si="26"/>
        <v/>
      </c>
      <c r="Q20" t="str">
        <f t="shared" si="26"/>
        <v/>
      </c>
      <c r="R20" t="str">
        <f t="shared" si="26"/>
        <v/>
      </c>
      <c r="S20" t="str">
        <f t="shared" si="26"/>
        <v/>
      </c>
      <c r="T20" t="str">
        <f t="shared" si="26"/>
        <v/>
      </c>
      <c r="U20" t="str">
        <f t="shared" si="26"/>
        <v/>
      </c>
      <c r="V20" t="str">
        <f t="shared" si="26"/>
        <v/>
      </c>
      <c r="W20" t="str">
        <f t="shared" si="26"/>
        <v/>
      </c>
      <c r="X20" t="str">
        <f t="shared" si="26"/>
        <v/>
      </c>
      <c r="Y20" t="str">
        <f t="shared" si="26"/>
        <v/>
      </c>
      <c r="Z20" t="str">
        <f t="shared" si="26"/>
        <v/>
      </c>
      <c r="AA20" s="1224" t="str">
        <f t="shared" si="26"/>
        <v/>
      </c>
      <c r="AB20" s="1226">
        <f t="shared" si="26"/>
        <v>4.2790936605117576E-2</v>
      </c>
      <c r="AC20" s="1226">
        <f t="shared" si="26"/>
        <v>4.2790936605117576E-2</v>
      </c>
      <c r="AD20" s="1226">
        <f t="shared" si="26"/>
        <v>5.3217485170245118E-2</v>
      </c>
      <c r="AE20" s="1226">
        <f t="shared" si="26"/>
        <v>5.3217485170245118E-2</v>
      </c>
      <c r="AF20" s="924">
        <f t="shared" si="26"/>
        <v>5.3217485170245118E-2</v>
      </c>
      <c r="AG20" s="924">
        <f t="shared" ref="AG20:AW20" si="27">IF(CHOOSE($A$4,AG114,AG213,AG313)="","",CHOOSE($A$4,AG114,AG213,AG313))</f>
        <v>5.3217485170245118E-2</v>
      </c>
      <c r="AH20" s="924">
        <f t="shared" si="27"/>
        <v>5.5854339247827116E-2</v>
      </c>
      <c r="AI20" s="924">
        <f t="shared" si="27"/>
        <v>5.5854339247827116E-2</v>
      </c>
      <c r="AJ20" s="924">
        <f t="shared" si="27"/>
        <v>5.5854339247827116E-2</v>
      </c>
      <c r="AK20" s="924">
        <f t="shared" si="27"/>
        <v>5.5854339247827116E-2</v>
      </c>
      <c r="AL20" s="924">
        <f t="shared" si="27"/>
        <v>5.6620297460112122E-2</v>
      </c>
      <c r="AM20" s="924">
        <f t="shared" si="27"/>
        <v>5.6620297460112122E-2</v>
      </c>
      <c r="AN20" s="924">
        <f t="shared" si="27"/>
        <v>5.6620297460112122E-2</v>
      </c>
      <c r="AO20" s="924">
        <f t="shared" si="27"/>
        <v>5.6620297460112122E-2</v>
      </c>
      <c r="AP20" s="924">
        <f t="shared" si="27"/>
        <v>5.6368090168532475E-2</v>
      </c>
      <c r="AQ20" s="924">
        <f t="shared" si="27"/>
        <v>5.6368090168532475E-2</v>
      </c>
      <c r="AR20" s="924">
        <f t="shared" si="27"/>
        <v>5.6368090168532475E-2</v>
      </c>
      <c r="AS20" s="924">
        <f t="shared" si="27"/>
        <v>5.6368090168532475E-2</v>
      </c>
      <c r="AT20" s="924">
        <f t="shared" si="27"/>
        <v>5.5762900179805043E-2</v>
      </c>
      <c r="AU20" s="924">
        <f t="shared" si="27"/>
        <v>5.5762900179805043E-2</v>
      </c>
      <c r="AV20" s="924">
        <f t="shared" si="27"/>
        <v>5.5762900179805043E-2</v>
      </c>
      <c r="AW20" s="924">
        <f t="shared" si="27"/>
        <v>5.5762900179805043E-2</v>
      </c>
    </row>
    <row r="21" spans="1:49">
      <c r="A21" s="851" t="str">
        <f t="shared" ref="A21:AF21" si="28">IF(CHOOSE($A$4,A115,A214,A314)="","",CHOOSE($A$4,A115,A214,A314))</f>
        <v>Assets under management growth</v>
      </c>
      <c r="B21" t="str">
        <f t="shared" si="28"/>
        <v/>
      </c>
      <c r="C21" t="str">
        <f t="shared" si="28"/>
        <v/>
      </c>
      <c r="D21" t="str">
        <f t="shared" si="28"/>
        <v/>
      </c>
      <c r="E21" t="str">
        <f t="shared" si="28"/>
        <v/>
      </c>
      <c r="F21" t="str">
        <f t="shared" si="28"/>
        <v/>
      </c>
      <c r="G21" t="str">
        <f t="shared" si="28"/>
        <v/>
      </c>
      <c r="H21" t="str">
        <f t="shared" si="28"/>
        <v/>
      </c>
      <c r="I21" t="str">
        <f t="shared" si="28"/>
        <v/>
      </c>
      <c r="J21" t="str">
        <f t="shared" si="28"/>
        <v/>
      </c>
      <c r="K21" t="str">
        <f t="shared" si="28"/>
        <v/>
      </c>
      <c r="L21" t="str">
        <f t="shared" si="28"/>
        <v/>
      </c>
      <c r="M21" t="str">
        <f t="shared" si="28"/>
        <v/>
      </c>
      <c r="N21" t="str">
        <f t="shared" si="28"/>
        <v/>
      </c>
      <c r="O21" t="str">
        <f t="shared" si="28"/>
        <v/>
      </c>
      <c r="P21" t="str">
        <f t="shared" si="28"/>
        <v/>
      </c>
      <c r="Q21" t="str">
        <f t="shared" si="28"/>
        <v/>
      </c>
      <c r="R21" t="str">
        <f t="shared" si="28"/>
        <v/>
      </c>
      <c r="S21" t="str">
        <f t="shared" si="28"/>
        <v/>
      </c>
      <c r="T21" t="str">
        <f t="shared" si="28"/>
        <v/>
      </c>
      <c r="U21" t="str">
        <f t="shared" si="28"/>
        <v/>
      </c>
      <c r="V21" t="str">
        <f t="shared" si="28"/>
        <v/>
      </c>
      <c r="W21" t="str">
        <f t="shared" si="28"/>
        <v/>
      </c>
      <c r="X21" t="str">
        <f t="shared" si="28"/>
        <v/>
      </c>
      <c r="Y21" t="str">
        <f t="shared" si="28"/>
        <v/>
      </c>
      <c r="Z21" t="str">
        <f t="shared" si="28"/>
        <v/>
      </c>
      <c r="AA21" s="1224" t="str">
        <f t="shared" si="28"/>
        <v/>
      </c>
      <c r="AB21" s="1226">
        <f t="shared" si="28"/>
        <v>1.9880607971384912E-2</v>
      </c>
      <c r="AC21" s="1226">
        <f t="shared" si="28"/>
        <v>1.9880607971384912E-2</v>
      </c>
      <c r="AD21" s="1226">
        <f t="shared" si="28"/>
        <v>1.9880607971384912E-2</v>
      </c>
      <c r="AE21" s="1226">
        <f t="shared" si="28"/>
        <v>1.9880607971384912E-2</v>
      </c>
      <c r="AF21" s="924">
        <f t="shared" si="28"/>
        <v>1.9880607971384912E-2</v>
      </c>
      <c r="AG21" s="924">
        <f t="shared" ref="AG21:AW21" si="29">IF(CHOOSE($A$4,AG115,AG214,AG314)="","",CHOOSE($A$4,AG115,AG214,AG314))</f>
        <v>1.9880607971384912E-2</v>
      </c>
      <c r="AH21" s="924">
        <f t="shared" si="29"/>
        <v>1.9880607971384912E-2</v>
      </c>
      <c r="AI21" s="924">
        <f t="shared" si="29"/>
        <v>1.9880607971384912E-2</v>
      </c>
      <c r="AJ21" s="924">
        <f t="shared" si="29"/>
        <v>1.9880607971384912E-2</v>
      </c>
      <c r="AK21" s="924">
        <f t="shared" si="29"/>
        <v>1.9880607971384912E-2</v>
      </c>
      <c r="AL21" s="924">
        <f t="shared" si="29"/>
        <v>1.9880607971384912E-2</v>
      </c>
      <c r="AM21" s="924">
        <f t="shared" si="29"/>
        <v>1.9880607971384912E-2</v>
      </c>
      <c r="AN21" s="924">
        <f t="shared" si="29"/>
        <v>1.9880607971384912E-2</v>
      </c>
      <c r="AO21" s="924">
        <f t="shared" si="29"/>
        <v>1.9880607971384912E-2</v>
      </c>
      <c r="AP21" s="924">
        <f t="shared" si="29"/>
        <v>1.9880607971384912E-2</v>
      </c>
      <c r="AQ21" s="924">
        <f t="shared" si="29"/>
        <v>1.9880607971384912E-2</v>
      </c>
      <c r="AR21" s="924">
        <f t="shared" si="29"/>
        <v>1.9880607971384912E-2</v>
      </c>
      <c r="AS21" s="924">
        <f t="shared" si="29"/>
        <v>1.9880607971384912E-2</v>
      </c>
      <c r="AT21" s="924">
        <f t="shared" si="29"/>
        <v>1.9880607971384912E-2</v>
      </c>
      <c r="AU21" s="924">
        <f t="shared" si="29"/>
        <v>1.9880607971384912E-2</v>
      </c>
      <c r="AV21" s="924">
        <f t="shared" si="29"/>
        <v>1.9880607971384912E-2</v>
      </c>
      <c r="AW21" s="924">
        <f t="shared" si="29"/>
        <v>1.9880607971384912E-2</v>
      </c>
    </row>
    <row r="22" spans="1:49">
      <c r="A22" t="str">
        <f t="shared" ref="A22:AF22" si="30">IF(CHOOSE($A$4,A116,A215,A315)="","",CHOOSE($A$4,A116,A215,A315))</f>
        <v/>
      </c>
      <c r="B22" t="str">
        <f t="shared" si="30"/>
        <v/>
      </c>
      <c r="C22" t="str">
        <f t="shared" si="30"/>
        <v/>
      </c>
      <c r="D22" t="str">
        <f t="shared" si="30"/>
        <v/>
      </c>
      <c r="E22" t="str">
        <f t="shared" si="30"/>
        <v/>
      </c>
      <c r="F22" t="str">
        <f t="shared" si="30"/>
        <v/>
      </c>
      <c r="G22" t="str">
        <f t="shared" si="30"/>
        <v/>
      </c>
      <c r="H22" t="str">
        <f t="shared" si="30"/>
        <v/>
      </c>
      <c r="I22" t="str">
        <f t="shared" si="30"/>
        <v/>
      </c>
      <c r="J22" t="str">
        <f t="shared" si="30"/>
        <v/>
      </c>
      <c r="K22" t="str">
        <f t="shared" si="30"/>
        <v/>
      </c>
      <c r="L22" t="str">
        <f t="shared" si="30"/>
        <v/>
      </c>
      <c r="M22" t="str">
        <f t="shared" si="30"/>
        <v/>
      </c>
      <c r="N22" t="str">
        <f t="shared" si="30"/>
        <v/>
      </c>
      <c r="O22" t="str">
        <f t="shared" si="30"/>
        <v/>
      </c>
      <c r="P22" t="str">
        <f t="shared" si="30"/>
        <v/>
      </c>
      <c r="Q22" t="str">
        <f t="shared" si="30"/>
        <v/>
      </c>
      <c r="R22" t="str">
        <f t="shared" si="30"/>
        <v/>
      </c>
      <c r="S22" t="str">
        <f t="shared" si="30"/>
        <v/>
      </c>
      <c r="T22" t="str">
        <f t="shared" si="30"/>
        <v/>
      </c>
      <c r="U22" t="str">
        <f t="shared" si="30"/>
        <v/>
      </c>
      <c r="V22" t="str">
        <f t="shared" si="30"/>
        <v/>
      </c>
      <c r="W22" t="str">
        <f t="shared" si="30"/>
        <v/>
      </c>
      <c r="X22" t="str">
        <f t="shared" si="30"/>
        <v/>
      </c>
      <c r="Y22" t="str">
        <f t="shared" si="30"/>
        <v/>
      </c>
      <c r="Z22" t="str">
        <f t="shared" si="30"/>
        <v/>
      </c>
      <c r="AA22" s="1224" t="str">
        <f t="shared" si="30"/>
        <v/>
      </c>
      <c r="AB22" s="1226" t="str">
        <f t="shared" si="30"/>
        <v/>
      </c>
      <c r="AC22" s="1226" t="str">
        <f t="shared" si="30"/>
        <v/>
      </c>
      <c r="AD22" s="1226" t="str">
        <f t="shared" si="30"/>
        <v/>
      </c>
      <c r="AE22" s="1226" t="str">
        <f t="shared" si="30"/>
        <v/>
      </c>
      <c r="AF22" s="924" t="str">
        <f t="shared" si="30"/>
        <v/>
      </c>
      <c r="AG22" s="924" t="str">
        <f t="shared" ref="AG22:AW22" si="31">IF(CHOOSE($A$4,AG116,AG215,AG315)="","",CHOOSE($A$4,AG116,AG215,AG315))</f>
        <v/>
      </c>
      <c r="AH22" s="924" t="str">
        <f t="shared" si="31"/>
        <v/>
      </c>
      <c r="AI22" s="924" t="str">
        <f t="shared" si="31"/>
        <v/>
      </c>
      <c r="AJ22" s="924" t="str">
        <f t="shared" si="31"/>
        <v/>
      </c>
      <c r="AK22" s="924" t="str">
        <f t="shared" si="31"/>
        <v/>
      </c>
      <c r="AL22" s="924" t="str">
        <f t="shared" si="31"/>
        <v/>
      </c>
      <c r="AM22" s="924" t="str">
        <f t="shared" si="31"/>
        <v/>
      </c>
      <c r="AN22" s="924" t="str">
        <f t="shared" si="31"/>
        <v/>
      </c>
      <c r="AO22" s="924" t="str">
        <f t="shared" si="31"/>
        <v/>
      </c>
      <c r="AP22" s="924" t="str">
        <f t="shared" si="31"/>
        <v/>
      </c>
      <c r="AQ22" s="924" t="str">
        <f t="shared" si="31"/>
        <v/>
      </c>
      <c r="AR22" s="924" t="str">
        <f t="shared" si="31"/>
        <v/>
      </c>
      <c r="AS22" s="924" t="str">
        <f t="shared" si="31"/>
        <v/>
      </c>
      <c r="AT22" s="924" t="str">
        <f t="shared" si="31"/>
        <v/>
      </c>
      <c r="AU22" s="924" t="str">
        <f t="shared" si="31"/>
        <v/>
      </c>
      <c r="AV22" s="924" t="str">
        <f t="shared" si="31"/>
        <v/>
      </c>
      <c r="AW22" s="924" t="str">
        <f t="shared" si="31"/>
        <v/>
      </c>
    </row>
    <row r="23" spans="1:49">
      <c r="A23" s="2" t="str">
        <f t="shared" ref="A23:AF23" si="32">IF(CHOOSE($A$4,A117,A216,A316)="","",CHOOSE($A$4,A117,A216,A316))</f>
        <v>Global Markets</v>
      </c>
      <c r="B23" t="str">
        <f t="shared" si="32"/>
        <v/>
      </c>
      <c r="C23" t="str">
        <f t="shared" si="32"/>
        <v/>
      </c>
      <c r="D23" t="str">
        <f t="shared" si="32"/>
        <v/>
      </c>
      <c r="E23" t="str">
        <f t="shared" si="32"/>
        <v/>
      </c>
      <c r="F23" t="str">
        <f t="shared" si="32"/>
        <v/>
      </c>
      <c r="G23" t="str">
        <f t="shared" si="32"/>
        <v/>
      </c>
      <c r="H23" t="str">
        <f t="shared" si="32"/>
        <v/>
      </c>
      <c r="I23" t="str">
        <f t="shared" si="32"/>
        <v/>
      </c>
      <c r="J23" t="str">
        <f t="shared" si="32"/>
        <v/>
      </c>
      <c r="K23" t="str">
        <f t="shared" si="32"/>
        <v/>
      </c>
      <c r="L23" t="str">
        <f t="shared" si="32"/>
        <v/>
      </c>
      <c r="M23" t="str">
        <f t="shared" si="32"/>
        <v/>
      </c>
      <c r="N23" t="str">
        <f t="shared" si="32"/>
        <v/>
      </c>
      <c r="O23" t="str">
        <f t="shared" si="32"/>
        <v/>
      </c>
      <c r="P23" t="str">
        <f t="shared" si="32"/>
        <v/>
      </c>
      <c r="Q23" t="str">
        <f t="shared" si="32"/>
        <v/>
      </c>
      <c r="R23" t="str">
        <f t="shared" si="32"/>
        <v/>
      </c>
      <c r="S23" t="str">
        <f t="shared" si="32"/>
        <v/>
      </c>
      <c r="T23" t="str">
        <f t="shared" si="32"/>
        <v/>
      </c>
      <c r="U23" t="str">
        <f t="shared" si="32"/>
        <v/>
      </c>
      <c r="V23" t="str">
        <f t="shared" si="32"/>
        <v/>
      </c>
      <c r="W23" t="str">
        <f t="shared" si="32"/>
        <v/>
      </c>
      <c r="X23" t="str">
        <f t="shared" si="32"/>
        <v/>
      </c>
      <c r="Y23" t="str">
        <f t="shared" si="32"/>
        <v/>
      </c>
      <c r="Z23" t="str">
        <f t="shared" si="32"/>
        <v/>
      </c>
      <c r="AA23" s="1224" t="str">
        <f t="shared" si="32"/>
        <v/>
      </c>
      <c r="AB23" s="1226" t="str">
        <f t="shared" si="32"/>
        <v/>
      </c>
      <c r="AC23" s="1226" t="str">
        <f t="shared" si="32"/>
        <v/>
      </c>
      <c r="AD23" s="1226" t="str">
        <f t="shared" si="32"/>
        <v/>
      </c>
      <c r="AE23" s="1226" t="str">
        <f t="shared" si="32"/>
        <v/>
      </c>
      <c r="AF23" s="924" t="str">
        <f t="shared" si="32"/>
        <v/>
      </c>
      <c r="AG23" s="924" t="str">
        <f t="shared" ref="AG23:AW23" si="33">IF(CHOOSE($A$4,AG117,AG216,AG316)="","",CHOOSE($A$4,AG117,AG216,AG316))</f>
        <v/>
      </c>
      <c r="AH23" s="924" t="str">
        <f t="shared" si="33"/>
        <v/>
      </c>
      <c r="AI23" s="924" t="str">
        <f t="shared" si="33"/>
        <v/>
      </c>
      <c r="AJ23" s="924" t="str">
        <f t="shared" si="33"/>
        <v/>
      </c>
      <c r="AK23" s="924" t="str">
        <f t="shared" si="33"/>
        <v/>
      </c>
      <c r="AL23" s="924" t="str">
        <f t="shared" si="33"/>
        <v/>
      </c>
      <c r="AM23" s="924" t="str">
        <f t="shared" si="33"/>
        <v/>
      </c>
      <c r="AN23" s="924" t="str">
        <f t="shared" si="33"/>
        <v/>
      </c>
      <c r="AO23" s="924" t="str">
        <f t="shared" si="33"/>
        <v/>
      </c>
      <c r="AP23" s="924" t="str">
        <f t="shared" si="33"/>
        <v/>
      </c>
      <c r="AQ23" s="924" t="str">
        <f t="shared" si="33"/>
        <v/>
      </c>
      <c r="AR23" s="924" t="str">
        <f t="shared" si="33"/>
        <v/>
      </c>
      <c r="AS23" s="924" t="str">
        <f t="shared" si="33"/>
        <v/>
      </c>
      <c r="AT23" s="924" t="str">
        <f t="shared" si="33"/>
        <v/>
      </c>
      <c r="AU23" s="924" t="str">
        <f t="shared" si="33"/>
        <v/>
      </c>
      <c r="AV23" s="924" t="str">
        <f t="shared" si="33"/>
        <v/>
      </c>
      <c r="AW23" s="924" t="str">
        <f t="shared" si="33"/>
        <v/>
      </c>
    </row>
    <row r="24" spans="1:49">
      <c r="A24" s="851" t="str">
        <f t="shared" ref="A24:AF24" si="34">IF(CHOOSE($A$4,A118,A217,A317)="","",CHOOSE($A$4,A118,A217,A317))</f>
        <v>Net revenue growth</v>
      </c>
      <c r="B24" t="str">
        <f t="shared" si="34"/>
        <v/>
      </c>
      <c r="C24" t="str">
        <f t="shared" si="34"/>
        <v/>
      </c>
      <c r="D24" t="str">
        <f t="shared" si="34"/>
        <v/>
      </c>
      <c r="E24" t="str">
        <f t="shared" si="34"/>
        <v/>
      </c>
      <c r="F24" t="str">
        <f t="shared" si="34"/>
        <v/>
      </c>
      <c r="G24" t="str">
        <f t="shared" si="34"/>
        <v/>
      </c>
      <c r="H24" t="str">
        <f t="shared" si="34"/>
        <v/>
      </c>
      <c r="I24" t="str">
        <f t="shared" si="34"/>
        <v/>
      </c>
      <c r="J24" t="str">
        <f t="shared" si="34"/>
        <v/>
      </c>
      <c r="K24" t="str">
        <f t="shared" si="34"/>
        <v/>
      </c>
      <c r="L24" t="str">
        <f t="shared" si="34"/>
        <v/>
      </c>
      <c r="M24" t="str">
        <f t="shared" si="34"/>
        <v/>
      </c>
      <c r="N24" t="str">
        <f t="shared" si="34"/>
        <v/>
      </c>
      <c r="O24" t="str">
        <f t="shared" si="34"/>
        <v/>
      </c>
      <c r="P24" t="str">
        <f t="shared" si="34"/>
        <v/>
      </c>
      <c r="Q24" t="str">
        <f t="shared" si="34"/>
        <v/>
      </c>
      <c r="R24" t="str">
        <f t="shared" si="34"/>
        <v/>
      </c>
      <c r="S24" t="str">
        <f t="shared" si="34"/>
        <v/>
      </c>
      <c r="T24" t="str">
        <f t="shared" si="34"/>
        <v/>
      </c>
      <c r="U24" t="str">
        <f t="shared" si="34"/>
        <v/>
      </c>
      <c r="V24" t="str">
        <f t="shared" si="34"/>
        <v/>
      </c>
      <c r="W24" t="str">
        <f t="shared" si="34"/>
        <v/>
      </c>
      <c r="X24" t="str">
        <f t="shared" si="34"/>
        <v/>
      </c>
      <c r="Y24" t="str">
        <f t="shared" si="34"/>
        <v/>
      </c>
      <c r="Z24" t="str">
        <f t="shared" si="34"/>
        <v/>
      </c>
      <c r="AA24" s="1224" t="str">
        <f t="shared" si="34"/>
        <v/>
      </c>
      <c r="AB24" s="1226">
        <f t="shared" si="34"/>
        <v>-2.3181703801814689E-2</v>
      </c>
      <c r="AC24" s="1226">
        <f t="shared" si="34"/>
        <v>-2.3181703801814689E-2</v>
      </c>
      <c r="AD24" s="1226">
        <f t="shared" si="34"/>
        <v>-2.3181703801814689E-2</v>
      </c>
      <c r="AE24" s="1226">
        <f t="shared" si="34"/>
        <v>-2.3181703801814689E-2</v>
      </c>
      <c r="AF24" s="924">
        <f t="shared" si="34"/>
        <v>-1.5169947119837546E-2</v>
      </c>
      <c r="AG24" s="924">
        <f t="shared" ref="AG24:AW24" si="35">IF(CHOOSE($A$4,AG118,AG217,AG317)="","",CHOOSE($A$4,AG118,AG217,AG317))</f>
        <v>-1.5169947119837546E-2</v>
      </c>
      <c r="AH24" s="924">
        <f t="shared" si="35"/>
        <v>-1.5169947119837546E-2</v>
      </c>
      <c r="AI24" s="924">
        <f t="shared" si="35"/>
        <v>-1.5169947119837546E-2</v>
      </c>
      <c r="AJ24" s="924">
        <f t="shared" si="35"/>
        <v>-1.5169947119837546E-2</v>
      </c>
      <c r="AK24" s="924">
        <f t="shared" si="35"/>
        <v>-1.5169947119837546E-2</v>
      </c>
      <c r="AL24" s="924">
        <f t="shared" si="35"/>
        <v>-1.5169947119837546E-2</v>
      </c>
      <c r="AM24" s="924">
        <f t="shared" si="35"/>
        <v>-1.5169947119837546E-2</v>
      </c>
      <c r="AN24" s="924">
        <f t="shared" si="35"/>
        <v>-1.5169947119837546E-2</v>
      </c>
      <c r="AO24" s="924">
        <f t="shared" si="35"/>
        <v>-1.5169947119837546E-2</v>
      </c>
      <c r="AP24" s="924">
        <f t="shared" si="35"/>
        <v>-1.5169947119837546E-2</v>
      </c>
      <c r="AQ24" s="924">
        <f t="shared" si="35"/>
        <v>-1.5169947119837546E-2</v>
      </c>
      <c r="AR24" s="924">
        <f t="shared" si="35"/>
        <v>-1.5169947119837546E-2</v>
      </c>
      <c r="AS24" s="924">
        <f t="shared" si="35"/>
        <v>-1.5169947119837546E-2</v>
      </c>
      <c r="AT24" s="924">
        <f t="shared" si="35"/>
        <v>-1.5169947119837546E-2</v>
      </c>
      <c r="AU24" s="924">
        <f t="shared" si="35"/>
        <v>-1.5169947119837546E-2</v>
      </c>
      <c r="AV24" s="924">
        <f t="shared" si="35"/>
        <v>-1.5169947119837546E-2</v>
      </c>
      <c r="AW24" s="924">
        <f t="shared" si="35"/>
        <v>-1.5169947119837546E-2</v>
      </c>
    </row>
    <row r="25" spans="1:49">
      <c r="A25" s="851" t="str">
        <f t="shared" ref="A25:AF25" si="36">IF(CHOOSE($A$4,A120,A218,A318)="","",CHOOSE($A$4,A120,A218,A318))</f>
        <v>Cost/income ratio</v>
      </c>
      <c r="B25" s="851" t="str">
        <f t="shared" si="36"/>
        <v/>
      </c>
      <c r="C25" s="851" t="str">
        <f t="shared" si="36"/>
        <v/>
      </c>
      <c r="D25" s="851" t="str">
        <f t="shared" si="36"/>
        <v/>
      </c>
      <c r="E25" s="851" t="str">
        <f t="shared" si="36"/>
        <v/>
      </c>
      <c r="F25" s="851" t="str">
        <f t="shared" si="36"/>
        <v/>
      </c>
      <c r="G25" s="851" t="str">
        <f t="shared" si="36"/>
        <v/>
      </c>
      <c r="H25" s="851" t="str">
        <f t="shared" si="36"/>
        <v/>
      </c>
      <c r="I25" s="851" t="str">
        <f t="shared" si="36"/>
        <v/>
      </c>
      <c r="J25" s="851" t="str">
        <f t="shared" si="36"/>
        <v/>
      </c>
      <c r="K25" s="851" t="str">
        <f t="shared" si="36"/>
        <v/>
      </c>
      <c r="L25" s="851" t="str">
        <f t="shared" si="36"/>
        <v/>
      </c>
      <c r="M25" s="851" t="str">
        <f t="shared" si="36"/>
        <v/>
      </c>
      <c r="N25" s="851" t="str">
        <f t="shared" si="36"/>
        <v/>
      </c>
      <c r="O25" s="851" t="str">
        <f t="shared" si="36"/>
        <v/>
      </c>
      <c r="P25" s="851" t="str">
        <f t="shared" si="36"/>
        <v/>
      </c>
      <c r="Q25" s="851" t="str">
        <f t="shared" si="36"/>
        <v/>
      </c>
      <c r="R25" s="851" t="str">
        <f t="shared" si="36"/>
        <v/>
      </c>
      <c r="S25" s="851" t="str">
        <f t="shared" si="36"/>
        <v/>
      </c>
      <c r="T25" s="851" t="str">
        <f t="shared" si="36"/>
        <v/>
      </c>
      <c r="U25" s="851" t="str">
        <f t="shared" si="36"/>
        <v/>
      </c>
      <c r="V25" s="851" t="str">
        <f t="shared" si="36"/>
        <v/>
      </c>
      <c r="W25" s="851" t="str">
        <f t="shared" si="36"/>
        <v/>
      </c>
      <c r="X25" s="851" t="str">
        <f t="shared" si="36"/>
        <v/>
      </c>
      <c r="Y25" s="851" t="str">
        <f t="shared" si="36"/>
        <v/>
      </c>
      <c r="Z25" s="851" t="str">
        <f t="shared" si="36"/>
        <v/>
      </c>
      <c r="AA25" s="1224" t="str">
        <f t="shared" si="36"/>
        <v/>
      </c>
      <c r="AB25" s="1226">
        <f t="shared" si="36"/>
        <v>0.82292046596524937</v>
      </c>
      <c r="AC25" s="1226">
        <f t="shared" si="36"/>
        <v>0.87026171724746193</v>
      </c>
      <c r="AD25" s="1226">
        <f t="shared" si="36"/>
        <v>0.92776175341673039</v>
      </c>
      <c r="AE25" s="1226">
        <f t="shared" si="36"/>
        <v>0.92776175341673039</v>
      </c>
      <c r="AF25" s="924">
        <f t="shared" si="36"/>
        <v>0.88240000000000007</v>
      </c>
      <c r="AG25" s="924">
        <f t="shared" ref="AG25:AW25" si="37">IF(CHOOSE($A$4,AG120,AG218,AG318)="","",CHOOSE($A$4,AG120,AG218,AG318))</f>
        <v>0.8779880000000001</v>
      </c>
      <c r="AH25" s="924">
        <f t="shared" si="37"/>
        <v>0.87359806000000007</v>
      </c>
      <c r="AI25" s="924">
        <f t="shared" si="37"/>
        <v>0.86923006970000005</v>
      </c>
      <c r="AJ25" s="924">
        <f t="shared" si="37"/>
        <v>0.8648839193515</v>
      </c>
      <c r="AK25" s="924">
        <f t="shared" si="37"/>
        <v>0.86055949975474244</v>
      </c>
      <c r="AL25" s="924">
        <f t="shared" si="37"/>
        <v>0.85625670225596873</v>
      </c>
      <c r="AM25" s="924">
        <f t="shared" si="37"/>
        <v>0.85197541874468885</v>
      </c>
      <c r="AN25" s="924">
        <f t="shared" si="37"/>
        <v>0.84771554165096541</v>
      </c>
      <c r="AO25" s="924">
        <f t="shared" si="37"/>
        <v>0.84347696394271054</v>
      </c>
      <c r="AP25" s="924">
        <f t="shared" si="37"/>
        <v>0.83925957912299698</v>
      </c>
      <c r="AQ25" s="924">
        <f t="shared" si="37"/>
        <v>0.83506328122738194</v>
      </c>
      <c r="AR25" s="924">
        <f t="shared" si="37"/>
        <v>0.83088796482124505</v>
      </c>
      <c r="AS25" s="924">
        <f t="shared" si="37"/>
        <v>0.82673352499713881</v>
      </c>
      <c r="AT25" s="924">
        <f t="shared" si="37"/>
        <v>0.82259985737215313</v>
      </c>
      <c r="AU25" s="924">
        <f t="shared" si="37"/>
        <v>0.81848685808529231</v>
      </c>
      <c r="AV25" s="924">
        <f t="shared" si="37"/>
        <v>0.81439442379486582</v>
      </c>
      <c r="AW25" s="924">
        <f t="shared" si="37"/>
        <v>0.81032245167589145</v>
      </c>
    </row>
    <row r="26" spans="1:49">
      <c r="A26" s="851" t="str">
        <f t="shared" ref="A26:AF26" si="38">IF(CHOOSE($A$4,A121,A219,A319)="","",CHOOSE($A$4,A121,A219,A319))</f>
        <v/>
      </c>
      <c r="B26" s="851" t="str">
        <f t="shared" si="38"/>
        <v/>
      </c>
      <c r="C26" s="851" t="str">
        <f t="shared" si="38"/>
        <v/>
      </c>
      <c r="D26" s="851" t="str">
        <f t="shared" si="38"/>
        <v/>
      </c>
      <c r="E26" s="851" t="str">
        <f t="shared" si="38"/>
        <v/>
      </c>
      <c r="F26" s="851" t="str">
        <f t="shared" si="38"/>
        <v/>
      </c>
      <c r="G26" s="851" t="str">
        <f t="shared" si="38"/>
        <v/>
      </c>
      <c r="H26" s="851" t="str">
        <f t="shared" si="38"/>
        <v/>
      </c>
      <c r="I26" s="851" t="str">
        <f t="shared" si="38"/>
        <v/>
      </c>
      <c r="J26" s="851" t="str">
        <f t="shared" si="38"/>
        <v/>
      </c>
      <c r="K26" s="851" t="str">
        <f t="shared" si="38"/>
        <v/>
      </c>
      <c r="L26" s="851" t="str">
        <f t="shared" si="38"/>
        <v/>
      </c>
      <c r="M26" s="851" t="str">
        <f t="shared" si="38"/>
        <v/>
      </c>
      <c r="N26" s="851" t="str">
        <f t="shared" si="38"/>
        <v/>
      </c>
      <c r="O26" s="851" t="str">
        <f t="shared" si="38"/>
        <v/>
      </c>
      <c r="P26" s="851" t="str">
        <f t="shared" si="38"/>
        <v/>
      </c>
      <c r="Q26" s="851" t="str">
        <f t="shared" si="38"/>
        <v/>
      </c>
      <c r="R26" s="851" t="str">
        <f t="shared" si="38"/>
        <v/>
      </c>
      <c r="S26" s="851" t="str">
        <f t="shared" si="38"/>
        <v/>
      </c>
      <c r="T26" s="851" t="str">
        <f t="shared" si="38"/>
        <v/>
      </c>
      <c r="U26" s="851" t="str">
        <f t="shared" si="38"/>
        <v/>
      </c>
      <c r="V26" s="851" t="str">
        <f t="shared" si="38"/>
        <v/>
      </c>
      <c r="W26" s="851" t="str">
        <f t="shared" si="38"/>
        <v/>
      </c>
      <c r="X26" s="851" t="str">
        <f t="shared" si="38"/>
        <v/>
      </c>
      <c r="Y26" s="851" t="str">
        <f t="shared" si="38"/>
        <v/>
      </c>
      <c r="Z26" s="851" t="str">
        <f t="shared" si="38"/>
        <v/>
      </c>
      <c r="AA26" s="1224" t="str">
        <f t="shared" si="38"/>
        <v/>
      </c>
      <c r="AB26" s="1226" t="str">
        <f t="shared" si="38"/>
        <v/>
      </c>
      <c r="AC26" s="1226" t="str">
        <f t="shared" si="38"/>
        <v/>
      </c>
      <c r="AD26" s="1226" t="str">
        <f t="shared" si="38"/>
        <v/>
      </c>
      <c r="AE26" s="1226" t="str">
        <f t="shared" si="38"/>
        <v/>
      </c>
      <c r="AF26" s="924" t="str">
        <f t="shared" si="38"/>
        <v/>
      </c>
      <c r="AG26" s="924" t="str">
        <f t="shared" ref="AG26:AW26" si="39">IF(CHOOSE($A$4,AG121,AG219,AG319)="","",CHOOSE($A$4,AG121,AG219,AG319))</f>
        <v/>
      </c>
      <c r="AH26" s="924" t="str">
        <f t="shared" si="39"/>
        <v/>
      </c>
      <c r="AI26" s="924" t="str">
        <f t="shared" si="39"/>
        <v/>
      </c>
      <c r="AJ26" s="924" t="str">
        <f t="shared" si="39"/>
        <v/>
      </c>
      <c r="AK26" s="924" t="str">
        <f t="shared" si="39"/>
        <v/>
      </c>
      <c r="AL26" s="924" t="str">
        <f t="shared" si="39"/>
        <v/>
      </c>
      <c r="AM26" s="924" t="str">
        <f t="shared" si="39"/>
        <v/>
      </c>
      <c r="AN26" s="924" t="str">
        <f t="shared" si="39"/>
        <v/>
      </c>
      <c r="AO26" s="924" t="str">
        <f t="shared" si="39"/>
        <v/>
      </c>
      <c r="AP26" s="924" t="str">
        <f t="shared" si="39"/>
        <v/>
      </c>
      <c r="AQ26" s="924" t="str">
        <f t="shared" si="39"/>
        <v/>
      </c>
      <c r="AR26" s="924" t="str">
        <f t="shared" si="39"/>
        <v/>
      </c>
      <c r="AS26" s="924" t="str">
        <f t="shared" si="39"/>
        <v/>
      </c>
      <c r="AT26" s="924" t="str">
        <f t="shared" si="39"/>
        <v/>
      </c>
      <c r="AU26" s="924" t="str">
        <f t="shared" si="39"/>
        <v/>
      </c>
      <c r="AV26" s="924" t="str">
        <f t="shared" si="39"/>
        <v/>
      </c>
      <c r="AW26" s="924" t="str">
        <f t="shared" si="39"/>
        <v/>
      </c>
    </row>
    <row r="27" spans="1:49">
      <c r="A27" t="str">
        <f t="shared" ref="A27:AF27" si="40">IF(CHOOSE($A$4,A122,A220,A320)="","",CHOOSE($A$4,A122,A220,A320))</f>
        <v/>
      </c>
      <c r="B27" t="str">
        <f t="shared" si="40"/>
        <v/>
      </c>
      <c r="C27" t="str">
        <f t="shared" si="40"/>
        <v/>
      </c>
      <c r="D27" t="str">
        <f t="shared" si="40"/>
        <v/>
      </c>
      <c r="E27" t="str">
        <f t="shared" si="40"/>
        <v/>
      </c>
      <c r="F27" t="str">
        <f t="shared" si="40"/>
        <v/>
      </c>
      <c r="G27" t="str">
        <f t="shared" si="40"/>
        <v/>
      </c>
      <c r="H27" t="str">
        <f t="shared" si="40"/>
        <v/>
      </c>
      <c r="I27" t="str">
        <f t="shared" si="40"/>
        <v/>
      </c>
      <c r="J27" t="str">
        <f t="shared" si="40"/>
        <v/>
      </c>
      <c r="K27" t="str">
        <f t="shared" si="40"/>
        <v/>
      </c>
      <c r="L27" t="str">
        <f t="shared" si="40"/>
        <v/>
      </c>
      <c r="M27" t="str">
        <f t="shared" si="40"/>
        <v/>
      </c>
      <c r="N27" t="str">
        <f t="shared" si="40"/>
        <v/>
      </c>
      <c r="O27" t="str">
        <f t="shared" si="40"/>
        <v/>
      </c>
      <c r="P27" t="str">
        <f t="shared" si="40"/>
        <v/>
      </c>
      <c r="Q27" t="str">
        <f t="shared" si="40"/>
        <v/>
      </c>
      <c r="R27" t="str">
        <f t="shared" si="40"/>
        <v/>
      </c>
      <c r="S27" t="str">
        <f t="shared" si="40"/>
        <v/>
      </c>
      <c r="T27" t="str">
        <f t="shared" si="40"/>
        <v/>
      </c>
      <c r="U27" t="str">
        <f t="shared" si="40"/>
        <v/>
      </c>
      <c r="V27" t="str">
        <f t="shared" si="40"/>
        <v/>
      </c>
      <c r="W27" t="str">
        <f t="shared" si="40"/>
        <v/>
      </c>
      <c r="X27" t="str">
        <f t="shared" si="40"/>
        <v/>
      </c>
      <c r="Y27" t="str">
        <f t="shared" si="40"/>
        <v/>
      </c>
      <c r="Z27" t="str">
        <f t="shared" si="40"/>
        <v/>
      </c>
      <c r="AA27" s="1224" t="str">
        <f t="shared" si="40"/>
        <v/>
      </c>
      <c r="AB27" s="1226" t="str">
        <f t="shared" si="40"/>
        <v/>
      </c>
      <c r="AC27" s="1226" t="str">
        <f t="shared" si="40"/>
        <v/>
      </c>
      <c r="AD27" s="1226" t="str">
        <f t="shared" si="40"/>
        <v/>
      </c>
      <c r="AE27" s="1226" t="str">
        <f t="shared" si="40"/>
        <v/>
      </c>
      <c r="AF27" s="924" t="str">
        <f t="shared" si="40"/>
        <v/>
      </c>
      <c r="AG27" s="924" t="str">
        <f t="shared" ref="AG27:AW27" si="41">IF(CHOOSE($A$4,AG122,AG220,AG320)="","",CHOOSE($A$4,AG122,AG220,AG320))</f>
        <v/>
      </c>
      <c r="AH27" s="924" t="str">
        <f t="shared" si="41"/>
        <v/>
      </c>
      <c r="AI27" s="924" t="str">
        <f t="shared" si="41"/>
        <v/>
      </c>
      <c r="AJ27" s="924" t="str">
        <f t="shared" si="41"/>
        <v/>
      </c>
      <c r="AK27" s="924" t="str">
        <f t="shared" si="41"/>
        <v/>
      </c>
      <c r="AL27" s="924" t="str">
        <f t="shared" si="41"/>
        <v/>
      </c>
      <c r="AM27" s="924" t="str">
        <f t="shared" si="41"/>
        <v/>
      </c>
      <c r="AN27" s="924" t="str">
        <f t="shared" si="41"/>
        <v/>
      </c>
      <c r="AO27" s="924" t="str">
        <f t="shared" si="41"/>
        <v/>
      </c>
      <c r="AP27" s="924" t="str">
        <f t="shared" si="41"/>
        <v/>
      </c>
      <c r="AQ27" s="924" t="str">
        <f t="shared" si="41"/>
        <v/>
      </c>
      <c r="AR27" s="924" t="str">
        <f t="shared" si="41"/>
        <v/>
      </c>
      <c r="AS27" s="924" t="str">
        <f t="shared" si="41"/>
        <v/>
      </c>
      <c r="AT27" s="924" t="str">
        <f t="shared" si="41"/>
        <v/>
      </c>
      <c r="AU27" s="924" t="str">
        <f t="shared" si="41"/>
        <v/>
      </c>
      <c r="AV27" s="924" t="str">
        <f t="shared" si="41"/>
        <v/>
      </c>
      <c r="AW27" s="924" t="str">
        <f t="shared" si="41"/>
        <v/>
      </c>
    </row>
    <row r="28" spans="1:49">
      <c r="A28" s="2" t="str">
        <f t="shared" ref="A28:AF28" si="42">IF(CHOOSE($A$4,A123,A221,A321)="","",CHOOSE($A$4,A123,A221,A321))</f>
        <v>Investment Banking &amp; Capital Markets</v>
      </c>
      <c r="B28" t="str">
        <f t="shared" si="42"/>
        <v/>
      </c>
      <c r="C28" t="str">
        <f t="shared" si="42"/>
        <v/>
      </c>
      <c r="D28" t="str">
        <f t="shared" si="42"/>
        <v/>
      </c>
      <c r="E28" t="str">
        <f t="shared" si="42"/>
        <v/>
      </c>
      <c r="F28" t="str">
        <f t="shared" si="42"/>
        <v/>
      </c>
      <c r="G28" t="str">
        <f t="shared" si="42"/>
        <v/>
      </c>
      <c r="H28" t="str">
        <f t="shared" si="42"/>
        <v/>
      </c>
      <c r="I28" t="str">
        <f t="shared" si="42"/>
        <v/>
      </c>
      <c r="J28" t="str">
        <f t="shared" si="42"/>
        <v/>
      </c>
      <c r="K28" t="str">
        <f t="shared" si="42"/>
        <v/>
      </c>
      <c r="L28" t="str">
        <f t="shared" si="42"/>
        <v/>
      </c>
      <c r="M28" t="str">
        <f t="shared" si="42"/>
        <v/>
      </c>
      <c r="N28" t="str">
        <f t="shared" si="42"/>
        <v/>
      </c>
      <c r="O28" t="str">
        <f t="shared" si="42"/>
        <v/>
      </c>
      <c r="P28" t="str">
        <f t="shared" si="42"/>
        <v/>
      </c>
      <c r="Q28" t="str">
        <f t="shared" si="42"/>
        <v/>
      </c>
      <c r="R28" t="str">
        <f t="shared" si="42"/>
        <v/>
      </c>
      <c r="S28" t="str">
        <f t="shared" si="42"/>
        <v/>
      </c>
      <c r="T28" t="str">
        <f t="shared" si="42"/>
        <v/>
      </c>
      <c r="U28" t="str">
        <f t="shared" si="42"/>
        <v/>
      </c>
      <c r="V28" t="str">
        <f t="shared" si="42"/>
        <v/>
      </c>
      <c r="W28" t="str">
        <f t="shared" si="42"/>
        <v/>
      </c>
      <c r="X28" t="str">
        <f t="shared" si="42"/>
        <v/>
      </c>
      <c r="Y28" t="str">
        <f t="shared" si="42"/>
        <v/>
      </c>
      <c r="Z28" t="str">
        <f t="shared" si="42"/>
        <v/>
      </c>
      <c r="AA28" s="1224" t="str">
        <f t="shared" si="42"/>
        <v/>
      </c>
      <c r="AB28" s="1226" t="str">
        <f t="shared" si="42"/>
        <v/>
      </c>
      <c r="AC28" s="1226" t="str">
        <f t="shared" si="42"/>
        <v/>
      </c>
      <c r="AD28" s="1226" t="str">
        <f t="shared" si="42"/>
        <v/>
      </c>
      <c r="AE28" s="1226" t="str">
        <f t="shared" si="42"/>
        <v/>
      </c>
      <c r="AF28" s="924" t="str">
        <f t="shared" si="42"/>
        <v/>
      </c>
      <c r="AG28" s="924" t="str">
        <f t="shared" ref="AG28:AW28" si="43">IF(CHOOSE($A$4,AG123,AG221,AG321)="","",CHOOSE($A$4,AG123,AG221,AG321))</f>
        <v/>
      </c>
      <c r="AH28" s="924" t="str">
        <f t="shared" si="43"/>
        <v/>
      </c>
      <c r="AI28" s="924" t="str">
        <f t="shared" si="43"/>
        <v/>
      </c>
      <c r="AJ28" s="924" t="str">
        <f t="shared" si="43"/>
        <v/>
      </c>
      <c r="AK28" s="924" t="str">
        <f t="shared" si="43"/>
        <v/>
      </c>
      <c r="AL28" s="924" t="str">
        <f t="shared" si="43"/>
        <v/>
      </c>
      <c r="AM28" s="924" t="str">
        <f t="shared" si="43"/>
        <v/>
      </c>
      <c r="AN28" s="924" t="str">
        <f t="shared" si="43"/>
        <v/>
      </c>
      <c r="AO28" s="924" t="str">
        <f t="shared" si="43"/>
        <v/>
      </c>
      <c r="AP28" s="924" t="str">
        <f t="shared" si="43"/>
        <v/>
      </c>
      <c r="AQ28" s="924" t="str">
        <f t="shared" si="43"/>
        <v/>
      </c>
      <c r="AR28" s="924" t="str">
        <f t="shared" si="43"/>
        <v/>
      </c>
      <c r="AS28" s="924" t="str">
        <f t="shared" si="43"/>
        <v/>
      </c>
      <c r="AT28" s="924" t="str">
        <f t="shared" si="43"/>
        <v/>
      </c>
      <c r="AU28" s="924" t="str">
        <f t="shared" si="43"/>
        <v/>
      </c>
      <c r="AV28" s="924" t="str">
        <f t="shared" si="43"/>
        <v/>
      </c>
      <c r="AW28" s="924" t="str">
        <f t="shared" si="43"/>
        <v/>
      </c>
    </row>
    <row r="29" spans="1:49">
      <c r="A29" s="851" t="str">
        <f t="shared" ref="A29:AF29" si="44">IF(CHOOSE($A$4,A126,A222,A322)="","",CHOOSE($A$4,A126,A222,A322))</f>
        <v>Cost/income ratio</v>
      </c>
      <c r="B29" s="851" t="str">
        <f t="shared" si="44"/>
        <v/>
      </c>
      <c r="C29" s="851" t="str">
        <f t="shared" si="44"/>
        <v/>
      </c>
      <c r="D29" s="851" t="str">
        <f t="shared" si="44"/>
        <v/>
      </c>
      <c r="E29" s="851" t="str">
        <f t="shared" si="44"/>
        <v/>
      </c>
      <c r="F29" s="851" t="str">
        <f t="shared" si="44"/>
        <v/>
      </c>
      <c r="G29" s="851" t="str">
        <f t="shared" si="44"/>
        <v/>
      </c>
      <c r="H29" s="851" t="str">
        <f t="shared" si="44"/>
        <v/>
      </c>
      <c r="I29" s="851" t="str">
        <f t="shared" si="44"/>
        <v/>
      </c>
      <c r="J29" s="851" t="str">
        <f t="shared" si="44"/>
        <v/>
      </c>
      <c r="K29" s="851" t="str">
        <f t="shared" si="44"/>
        <v/>
      </c>
      <c r="L29" s="851" t="str">
        <f t="shared" si="44"/>
        <v/>
      </c>
      <c r="M29" s="851" t="str">
        <f t="shared" si="44"/>
        <v/>
      </c>
      <c r="N29" s="851" t="str">
        <f t="shared" si="44"/>
        <v/>
      </c>
      <c r="O29" s="851" t="str">
        <f t="shared" si="44"/>
        <v/>
      </c>
      <c r="P29" s="851" t="str">
        <f t="shared" si="44"/>
        <v/>
      </c>
      <c r="Q29" s="851" t="str">
        <f t="shared" si="44"/>
        <v/>
      </c>
      <c r="R29" s="851" t="str">
        <f t="shared" si="44"/>
        <v/>
      </c>
      <c r="S29" s="851" t="str">
        <f t="shared" si="44"/>
        <v/>
      </c>
      <c r="T29" s="851" t="str">
        <f t="shared" si="44"/>
        <v/>
      </c>
      <c r="U29" s="851" t="str">
        <f t="shared" si="44"/>
        <v/>
      </c>
      <c r="V29" s="851" t="str">
        <f t="shared" si="44"/>
        <v/>
      </c>
      <c r="W29" s="851" t="str">
        <f t="shared" si="44"/>
        <v/>
      </c>
      <c r="X29" s="851" t="str">
        <f t="shared" si="44"/>
        <v/>
      </c>
      <c r="Y29" s="851" t="str">
        <f t="shared" si="44"/>
        <v/>
      </c>
      <c r="Z29" s="851" t="str">
        <f t="shared" si="44"/>
        <v/>
      </c>
      <c r="AA29" s="1224" t="str">
        <f t="shared" si="44"/>
        <v/>
      </c>
      <c r="AB29" s="1226">
        <f t="shared" si="44"/>
        <v>0.8357668067226891</v>
      </c>
      <c r="AC29" s="1226">
        <f t="shared" si="44"/>
        <v>0.88663008565310486</v>
      </c>
      <c r="AD29" s="1226">
        <f t="shared" si="44"/>
        <v>0.88663008565310486</v>
      </c>
      <c r="AE29" s="1226">
        <f t="shared" si="44"/>
        <v>0.79444060773480674</v>
      </c>
      <c r="AF29" s="924">
        <f t="shared" si="44"/>
        <v>0.82820000000000005</v>
      </c>
      <c r="AG29" s="924">
        <f t="shared" ref="AG29:AW29" si="45">IF(CHOOSE($A$4,AG126,AG222,AG322)="","",CHOOSE($A$4,AG126,AG222,AG322))</f>
        <v>0.8240590000000001</v>
      </c>
      <c r="AH29" s="924">
        <f t="shared" si="45"/>
        <v>0.8199387050000001</v>
      </c>
      <c r="AI29" s="924">
        <f t="shared" si="45"/>
        <v>0.81583901147500004</v>
      </c>
      <c r="AJ29" s="924">
        <f t="shared" si="45"/>
        <v>0.81175981641762507</v>
      </c>
      <c r="AK29" s="924">
        <f t="shared" si="45"/>
        <v>0.8077010173355369</v>
      </c>
      <c r="AL29" s="924">
        <f t="shared" si="45"/>
        <v>0.80366251224885921</v>
      </c>
      <c r="AM29" s="924">
        <f t="shared" si="45"/>
        <v>0.79964419968761491</v>
      </c>
      <c r="AN29" s="924">
        <f t="shared" si="45"/>
        <v>0.79564597868917686</v>
      </c>
      <c r="AO29" s="924">
        <f t="shared" si="45"/>
        <v>0.79166774879573099</v>
      </c>
      <c r="AP29" s="924">
        <f t="shared" si="45"/>
        <v>0.78770941005175232</v>
      </c>
      <c r="AQ29" s="924">
        <f t="shared" si="45"/>
        <v>0.78377086300149357</v>
      </c>
      <c r="AR29" s="924">
        <f t="shared" si="45"/>
        <v>0.77985200868648608</v>
      </c>
      <c r="AS29" s="924">
        <f t="shared" si="45"/>
        <v>0.77595274864305364</v>
      </c>
      <c r="AT29" s="924">
        <f t="shared" si="45"/>
        <v>0.77207298489983833</v>
      </c>
      <c r="AU29" s="924">
        <f t="shared" si="45"/>
        <v>0.76821261997533918</v>
      </c>
      <c r="AV29" s="924">
        <f t="shared" si="45"/>
        <v>0.76437155687546243</v>
      </c>
      <c r="AW29" s="924">
        <f t="shared" si="45"/>
        <v>0.76054969909108516</v>
      </c>
    </row>
    <row r="30" spans="1:49" s="851" customFormat="1">
      <c r="A30" s="851" t="str">
        <f t="shared" ref="A30:AF30" si="46">IF(CHOOSE($A$4,A127,A223,A323)="","",CHOOSE($A$4,A127,A223,A323))</f>
        <v/>
      </c>
      <c r="B30" s="851" t="str">
        <f t="shared" si="46"/>
        <v/>
      </c>
      <c r="C30" s="851" t="str">
        <f t="shared" si="46"/>
        <v/>
      </c>
      <c r="D30" s="851" t="str">
        <f t="shared" si="46"/>
        <v/>
      </c>
      <c r="E30" s="851" t="str">
        <f t="shared" si="46"/>
        <v/>
      </c>
      <c r="F30" s="851" t="str">
        <f t="shared" si="46"/>
        <v/>
      </c>
      <c r="G30" s="851" t="str">
        <f t="shared" si="46"/>
        <v/>
      </c>
      <c r="H30" s="851" t="str">
        <f t="shared" si="46"/>
        <v/>
      </c>
      <c r="I30" s="851" t="str">
        <f t="shared" si="46"/>
        <v/>
      </c>
      <c r="J30" s="851" t="str">
        <f t="shared" si="46"/>
        <v/>
      </c>
      <c r="K30" s="851" t="str">
        <f t="shared" si="46"/>
        <v/>
      </c>
      <c r="L30" s="851" t="str">
        <f t="shared" si="46"/>
        <v/>
      </c>
      <c r="M30" s="851" t="str">
        <f t="shared" si="46"/>
        <v/>
      </c>
      <c r="N30" s="851" t="str">
        <f t="shared" si="46"/>
        <v/>
      </c>
      <c r="O30" s="851" t="str">
        <f t="shared" si="46"/>
        <v/>
      </c>
      <c r="P30" s="851" t="str">
        <f t="shared" si="46"/>
        <v/>
      </c>
      <c r="Q30" s="851" t="str">
        <f t="shared" si="46"/>
        <v/>
      </c>
      <c r="R30" s="851" t="str">
        <f t="shared" si="46"/>
        <v/>
      </c>
      <c r="S30" s="851" t="str">
        <f t="shared" si="46"/>
        <v/>
      </c>
      <c r="T30" s="851" t="str">
        <f t="shared" si="46"/>
        <v/>
      </c>
      <c r="U30" s="851" t="str">
        <f t="shared" si="46"/>
        <v/>
      </c>
      <c r="V30" s="851" t="str">
        <f t="shared" si="46"/>
        <v/>
      </c>
      <c r="W30" s="851" t="str">
        <f t="shared" si="46"/>
        <v/>
      </c>
      <c r="X30" s="851" t="str">
        <f t="shared" si="46"/>
        <v/>
      </c>
      <c r="Y30" s="851" t="str">
        <f t="shared" si="46"/>
        <v/>
      </c>
      <c r="Z30" s="851" t="str">
        <f t="shared" si="46"/>
        <v/>
      </c>
      <c r="AA30" s="1224" t="str">
        <f t="shared" si="46"/>
        <v/>
      </c>
      <c r="AB30" s="1224" t="str">
        <f t="shared" si="46"/>
        <v/>
      </c>
      <c r="AC30" s="1224" t="str">
        <f t="shared" si="46"/>
        <v/>
      </c>
      <c r="AD30" s="1224" t="str">
        <f t="shared" si="46"/>
        <v/>
      </c>
      <c r="AE30" s="1224" t="str">
        <f t="shared" si="46"/>
        <v/>
      </c>
      <c r="AF30" s="18" t="str">
        <f t="shared" si="46"/>
        <v/>
      </c>
      <c r="AG30" s="18" t="str">
        <f t="shared" ref="AG30:AW30" si="47">IF(CHOOSE($A$4,AG127,AG223,AG323)="","",CHOOSE($A$4,AG127,AG223,AG323))</f>
        <v/>
      </c>
      <c r="AH30" s="18" t="str">
        <f t="shared" si="47"/>
        <v/>
      </c>
      <c r="AI30" s="18" t="str">
        <f t="shared" si="47"/>
        <v/>
      </c>
      <c r="AJ30" s="18" t="str">
        <f t="shared" si="47"/>
        <v/>
      </c>
      <c r="AK30" s="18" t="str">
        <f t="shared" si="47"/>
        <v/>
      </c>
      <c r="AL30" s="18" t="str">
        <f t="shared" si="47"/>
        <v/>
      </c>
      <c r="AM30" s="18" t="str">
        <f t="shared" si="47"/>
        <v/>
      </c>
      <c r="AN30" s="18" t="str">
        <f t="shared" si="47"/>
        <v/>
      </c>
      <c r="AO30" s="18" t="str">
        <f t="shared" si="47"/>
        <v/>
      </c>
      <c r="AP30" s="18" t="str">
        <f t="shared" si="47"/>
        <v/>
      </c>
      <c r="AQ30" s="18" t="str">
        <f t="shared" si="47"/>
        <v/>
      </c>
      <c r="AR30" s="18" t="str">
        <f t="shared" si="47"/>
        <v/>
      </c>
      <c r="AS30" s="18" t="str">
        <f t="shared" si="47"/>
        <v/>
      </c>
      <c r="AT30" s="18" t="str">
        <f t="shared" si="47"/>
        <v/>
      </c>
      <c r="AU30" s="18" t="str">
        <f t="shared" si="47"/>
        <v/>
      </c>
      <c r="AV30" s="18" t="str">
        <f t="shared" si="47"/>
        <v/>
      </c>
      <c r="AW30" s="18" t="str">
        <f t="shared" si="47"/>
        <v/>
      </c>
    </row>
    <row r="31" spans="1:49">
      <c r="A31" s="851" t="str">
        <f t="shared" ref="A31:AF31" si="48">IF(CHOOSE($A$4,A128,A224,A327)="","",CHOOSE($A$4,A128,A224,A327))</f>
        <v/>
      </c>
      <c r="B31" s="851" t="str">
        <f t="shared" si="48"/>
        <v/>
      </c>
      <c r="C31" s="851" t="str">
        <f t="shared" si="48"/>
        <v/>
      </c>
      <c r="D31" s="851" t="str">
        <f t="shared" si="48"/>
        <v/>
      </c>
      <c r="E31" s="851" t="str">
        <f t="shared" si="48"/>
        <v/>
      </c>
      <c r="F31" s="851" t="str">
        <f t="shared" si="48"/>
        <v/>
      </c>
      <c r="G31" s="851" t="str">
        <f t="shared" si="48"/>
        <v/>
      </c>
      <c r="H31" s="851" t="str">
        <f t="shared" si="48"/>
        <v/>
      </c>
      <c r="I31" s="851" t="str">
        <f t="shared" si="48"/>
        <v/>
      </c>
      <c r="J31" s="851" t="str">
        <f t="shared" si="48"/>
        <v/>
      </c>
      <c r="K31" s="851" t="str">
        <f t="shared" si="48"/>
        <v/>
      </c>
      <c r="L31" s="851" t="str">
        <f t="shared" si="48"/>
        <v/>
      </c>
      <c r="M31" s="851" t="str">
        <f t="shared" si="48"/>
        <v/>
      </c>
      <c r="N31" s="851" t="str">
        <f t="shared" si="48"/>
        <v/>
      </c>
      <c r="O31" s="851" t="str">
        <f t="shared" si="48"/>
        <v/>
      </c>
      <c r="P31" s="851" t="str">
        <f t="shared" si="48"/>
        <v/>
      </c>
      <c r="Q31" s="851" t="str">
        <f t="shared" si="48"/>
        <v/>
      </c>
      <c r="R31" s="851" t="str">
        <f t="shared" si="48"/>
        <v/>
      </c>
      <c r="S31" s="851" t="str">
        <f t="shared" si="48"/>
        <v/>
      </c>
      <c r="T31" s="851" t="str">
        <f t="shared" si="48"/>
        <v/>
      </c>
      <c r="U31" s="851" t="str">
        <f t="shared" si="48"/>
        <v/>
      </c>
      <c r="V31" s="851" t="str">
        <f t="shared" si="48"/>
        <v/>
      </c>
      <c r="W31" s="851" t="str">
        <f t="shared" si="48"/>
        <v/>
      </c>
      <c r="X31" s="851" t="str">
        <f t="shared" si="48"/>
        <v/>
      </c>
      <c r="Y31" s="851" t="str">
        <f t="shared" si="48"/>
        <v/>
      </c>
      <c r="Z31" s="851" t="str">
        <f t="shared" si="48"/>
        <v/>
      </c>
      <c r="AA31" s="1224" t="str">
        <f t="shared" si="48"/>
        <v/>
      </c>
      <c r="AB31" s="1224" t="str">
        <f t="shared" si="48"/>
        <v/>
      </c>
      <c r="AC31" s="1224" t="str">
        <f t="shared" si="48"/>
        <v/>
      </c>
      <c r="AD31" s="1224" t="str">
        <f t="shared" si="48"/>
        <v/>
      </c>
      <c r="AE31" s="1224" t="str">
        <f t="shared" si="48"/>
        <v/>
      </c>
      <c r="AF31" s="18" t="str">
        <f t="shared" si="48"/>
        <v/>
      </c>
      <c r="AG31" s="18" t="str">
        <f t="shared" ref="AG31:AW31" si="49">IF(CHOOSE($A$4,AG128,AG224,AG327)="","",CHOOSE($A$4,AG128,AG224,AG327))</f>
        <v/>
      </c>
      <c r="AH31" s="18" t="str">
        <f t="shared" si="49"/>
        <v/>
      </c>
      <c r="AI31" s="18" t="str">
        <f t="shared" si="49"/>
        <v/>
      </c>
      <c r="AJ31" s="18" t="str">
        <f t="shared" si="49"/>
        <v/>
      </c>
      <c r="AK31" s="18" t="str">
        <f t="shared" si="49"/>
        <v/>
      </c>
      <c r="AL31" s="18" t="str">
        <f t="shared" si="49"/>
        <v/>
      </c>
      <c r="AM31" s="18" t="str">
        <f t="shared" si="49"/>
        <v/>
      </c>
      <c r="AN31" s="18" t="str">
        <f t="shared" si="49"/>
        <v/>
      </c>
      <c r="AO31" s="18" t="str">
        <f t="shared" si="49"/>
        <v/>
      </c>
      <c r="AP31" s="18" t="str">
        <f t="shared" si="49"/>
        <v/>
      </c>
      <c r="AQ31" s="18" t="str">
        <f t="shared" si="49"/>
        <v/>
      </c>
      <c r="AR31" s="18" t="str">
        <f t="shared" si="49"/>
        <v/>
      </c>
      <c r="AS31" s="18" t="str">
        <f t="shared" si="49"/>
        <v/>
      </c>
      <c r="AT31" s="18" t="str">
        <f t="shared" si="49"/>
        <v/>
      </c>
      <c r="AU31" s="18" t="str">
        <f t="shared" si="49"/>
        <v/>
      </c>
      <c r="AV31" s="18" t="str">
        <f t="shared" si="49"/>
        <v/>
      </c>
      <c r="AW31" s="18" t="str">
        <f t="shared" si="49"/>
        <v/>
      </c>
    </row>
    <row r="32" spans="1:49" hidden="1">
      <c r="A32" s="851" t="str">
        <f t="shared" ref="A32:AF32" si="50">IF(CHOOSE($A$4,A129,A228,A328)="","",CHOOSE($A$4,A129,A228,A328))</f>
        <v/>
      </c>
      <c r="B32" s="851" t="str">
        <f t="shared" si="50"/>
        <v/>
      </c>
      <c r="C32" s="851" t="str">
        <f t="shared" si="50"/>
        <v/>
      </c>
      <c r="D32" s="851" t="str">
        <f t="shared" si="50"/>
        <v/>
      </c>
      <c r="E32" s="851" t="str">
        <f t="shared" si="50"/>
        <v/>
      </c>
      <c r="F32" s="851" t="str">
        <f t="shared" si="50"/>
        <v/>
      </c>
      <c r="G32" s="851" t="str">
        <f t="shared" si="50"/>
        <v/>
      </c>
      <c r="H32" s="851" t="str">
        <f t="shared" si="50"/>
        <v/>
      </c>
      <c r="I32" s="851" t="str">
        <f t="shared" si="50"/>
        <v/>
      </c>
      <c r="J32" s="851" t="str">
        <f t="shared" si="50"/>
        <v/>
      </c>
      <c r="K32" s="851" t="str">
        <f t="shared" si="50"/>
        <v/>
      </c>
      <c r="L32" s="851" t="str">
        <f t="shared" si="50"/>
        <v/>
      </c>
      <c r="M32" s="851" t="str">
        <f t="shared" si="50"/>
        <v/>
      </c>
      <c r="N32" s="851" t="str">
        <f t="shared" si="50"/>
        <v/>
      </c>
      <c r="O32" s="851" t="str">
        <f t="shared" si="50"/>
        <v/>
      </c>
      <c r="P32" s="851" t="str">
        <f t="shared" si="50"/>
        <v/>
      </c>
      <c r="Q32" s="851" t="str">
        <f t="shared" si="50"/>
        <v/>
      </c>
      <c r="R32" s="851" t="str">
        <f t="shared" si="50"/>
        <v/>
      </c>
      <c r="S32" s="851" t="str">
        <f t="shared" si="50"/>
        <v/>
      </c>
      <c r="T32" s="851" t="str">
        <f t="shared" si="50"/>
        <v/>
      </c>
      <c r="U32" s="851" t="str">
        <f t="shared" si="50"/>
        <v/>
      </c>
      <c r="V32" s="851" t="str">
        <f t="shared" si="50"/>
        <v/>
      </c>
      <c r="W32" s="851" t="str">
        <f t="shared" si="50"/>
        <v/>
      </c>
      <c r="X32" s="851" t="str">
        <f t="shared" si="50"/>
        <v/>
      </c>
      <c r="Y32" s="851" t="str">
        <f t="shared" si="50"/>
        <v/>
      </c>
      <c r="Z32" s="851" t="str">
        <f t="shared" si="50"/>
        <v/>
      </c>
      <c r="AA32" s="1224" t="str">
        <f t="shared" si="50"/>
        <v/>
      </c>
      <c r="AB32" s="1224" t="str">
        <f t="shared" si="50"/>
        <v/>
      </c>
      <c r="AC32" s="1224" t="str">
        <f t="shared" si="50"/>
        <v/>
      </c>
      <c r="AD32" s="1224" t="str">
        <f t="shared" si="50"/>
        <v/>
      </c>
      <c r="AE32" s="1224" t="str">
        <f t="shared" si="50"/>
        <v/>
      </c>
      <c r="AF32" s="18" t="str">
        <f t="shared" si="50"/>
        <v/>
      </c>
      <c r="AG32" s="18" t="str">
        <f t="shared" ref="AG32:AW32" si="51">IF(CHOOSE($A$4,AG129,AG228,AG328)="","",CHOOSE($A$4,AG129,AG228,AG328))</f>
        <v/>
      </c>
      <c r="AH32" s="18" t="str">
        <f t="shared" si="51"/>
        <v/>
      </c>
      <c r="AI32" s="18" t="str">
        <f t="shared" si="51"/>
        <v/>
      </c>
      <c r="AJ32" s="18" t="str">
        <f t="shared" si="51"/>
        <v/>
      </c>
      <c r="AK32" s="18" t="str">
        <f t="shared" si="51"/>
        <v/>
      </c>
      <c r="AL32" s="18" t="str">
        <f t="shared" si="51"/>
        <v/>
      </c>
      <c r="AM32" s="18" t="str">
        <f t="shared" si="51"/>
        <v/>
      </c>
      <c r="AN32" s="18" t="str">
        <f t="shared" si="51"/>
        <v/>
      </c>
      <c r="AO32" s="18" t="str">
        <f t="shared" si="51"/>
        <v/>
      </c>
      <c r="AP32" s="18" t="str">
        <f t="shared" si="51"/>
        <v/>
      </c>
      <c r="AQ32" s="18" t="str">
        <f t="shared" si="51"/>
        <v/>
      </c>
      <c r="AR32" s="18" t="str">
        <f t="shared" si="51"/>
        <v/>
      </c>
      <c r="AS32" s="18" t="str">
        <f t="shared" si="51"/>
        <v/>
      </c>
      <c r="AT32" s="18" t="str">
        <f t="shared" si="51"/>
        <v/>
      </c>
      <c r="AU32" s="18" t="str">
        <f t="shared" si="51"/>
        <v/>
      </c>
      <c r="AV32" s="18" t="str">
        <f t="shared" si="51"/>
        <v/>
      </c>
      <c r="AW32" s="18" t="str">
        <f t="shared" si="51"/>
        <v/>
      </c>
    </row>
    <row r="33" spans="27:49" s="851" customFormat="1" hidden="1">
      <c r="AA33" s="1224"/>
      <c r="AB33" s="1224"/>
      <c r="AC33" s="1224"/>
      <c r="AD33" s="1224"/>
      <c r="AE33" s="1224"/>
      <c r="AF33" s="18"/>
      <c r="AG33" s="18"/>
      <c r="AH33" s="18"/>
      <c r="AI33" s="18"/>
      <c r="AJ33" s="18"/>
      <c r="AK33" s="18"/>
      <c r="AL33" s="18"/>
      <c r="AM33" s="18"/>
      <c r="AN33" s="18"/>
      <c r="AO33" s="18"/>
      <c r="AP33" s="18"/>
      <c r="AQ33" s="18"/>
      <c r="AR33" s="18"/>
      <c r="AS33" s="18"/>
      <c r="AT33" s="18"/>
      <c r="AU33" s="18"/>
      <c r="AV33" s="18"/>
      <c r="AW33" s="18"/>
    </row>
    <row r="34" spans="27:49" s="851" customFormat="1" hidden="1">
      <c r="AA34" s="1224"/>
      <c r="AB34" s="1224"/>
      <c r="AC34" s="1224"/>
      <c r="AD34" s="1224"/>
      <c r="AE34" s="1224"/>
      <c r="AF34" s="18"/>
      <c r="AG34" s="18"/>
      <c r="AH34" s="18"/>
      <c r="AI34" s="18"/>
      <c r="AJ34" s="18"/>
      <c r="AK34" s="18"/>
      <c r="AL34" s="18"/>
      <c r="AM34" s="18"/>
      <c r="AN34" s="18"/>
      <c r="AO34" s="18"/>
      <c r="AP34" s="18"/>
      <c r="AQ34" s="18"/>
      <c r="AR34" s="18"/>
      <c r="AS34" s="18"/>
      <c r="AT34" s="18"/>
      <c r="AU34" s="18"/>
      <c r="AV34" s="18"/>
      <c r="AW34" s="18"/>
    </row>
    <row r="35" spans="27:49" s="851" customFormat="1" hidden="1">
      <c r="AA35" s="1224"/>
      <c r="AB35" s="1224"/>
      <c r="AC35" s="1224"/>
      <c r="AD35" s="1224"/>
      <c r="AE35" s="1224"/>
      <c r="AF35" s="18"/>
      <c r="AG35" s="18"/>
      <c r="AH35" s="18"/>
      <c r="AI35" s="18"/>
      <c r="AJ35" s="18"/>
      <c r="AK35" s="18"/>
      <c r="AL35" s="18"/>
      <c r="AM35" s="18"/>
      <c r="AN35" s="18"/>
      <c r="AO35" s="18"/>
      <c r="AP35" s="18"/>
      <c r="AQ35" s="18"/>
      <c r="AR35" s="18"/>
      <c r="AS35" s="18"/>
      <c r="AT35" s="18"/>
      <c r="AU35" s="18"/>
      <c r="AV35" s="18"/>
      <c r="AW35" s="18"/>
    </row>
    <row r="36" spans="27:49" s="851" customFormat="1" hidden="1">
      <c r="AA36" s="1224"/>
      <c r="AB36" s="1224"/>
      <c r="AC36" s="1224"/>
      <c r="AD36" s="1224"/>
      <c r="AE36" s="1224"/>
      <c r="AF36" s="18"/>
      <c r="AG36" s="18"/>
      <c r="AH36" s="18"/>
      <c r="AI36" s="18"/>
      <c r="AJ36" s="18"/>
      <c r="AK36" s="18"/>
      <c r="AL36" s="18"/>
      <c r="AM36" s="18"/>
      <c r="AN36" s="18"/>
      <c r="AO36" s="18"/>
      <c r="AP36" s="18"/>
      <c r="AQ36" s="18"/>
      <c r="AR36" s="18"/>
      <c r="AS36" s="18"/>
      <c r="AT36" s="18"/>
      <c r="AU36" s="18"/>
      <c r="AV36" s="18"/>
      <c r="AW36" s="18"/>
    </row>
    <row r="37" spans="27:49" s="851" customFormat="1" hidden="1">
      <c r="AA37" s="1224"/>
      <c r="AB37" s="1224"/>
      <c r="AC37" s="1224"/>
      <c r="AD37" s="1224"/>
      <c r="AE37" s="1224"/>
      <c r="AF37" s="18"/>
      <c r="AG37" s="18"/>
      <c r="AH37" s="18"/>
      <c r="AI37" s="18"/>
      <c r="AJ37" s="18"/>
      <c r="AK37" s="18"/>
      <c r="AL37" s="18"/>
      <c r="AM37" s="18"/>
      <c r="AN37" s="18"/>
      <c r="AO37" s="18"/>
      <c r="AP37" s="18"/>
      <c r="AQ37" s="18"/>
      <c r="AR37" s="18"/>
      <c r="AS37" s="18"/>
      <c r="AT37" s="18"/>
      <c r="AU37" s="18"/>
      <c r="AV37" s="18"/>
      <c r="AW37" s="18"/>
    </row>
    <row r="38" spans="27:49" s="851" customFormat="1" hidden="1">
      <c r="AA38" s="1224"/>
      <c r="AB38" s="1224"/>
      <c r="AC38" s="1224"/>
      <c r="AD38" s="1224"/>
      <c r="AE38" s="1224"/>
      <c r="AF38" s="18"/>
      <c r="AG38" s="18"/>
      <c r="AH38" s="18"/>
      <c r="AI38" s="18"/>
      <c r="AJ38" s="18"/>
      <c r="AK38" s="18"/>
      <c r="AL38" s="18"/>
      <c r="AM38" s="18"/>
      <c r="AN38" s="18"/>
      <c r="AO38" s="18"/>
      <c r="AP38" s="18"/>
      <c r="AQ38" s="18"/>
      <c r="AR38" s="18"/>
      <c r="AS38" s="18"/>
      <c r="AT38" s="18"/>
      <c r="AU38" s="18"/>
      <c r="AV38" s="18"/>
      <c r="AW38" s="18"/>
    </row>
    <row r="39" spans="27:49" s="851" customFormat="1" hidden="1">
      <c r="AA39" s="1224"/>
      <c r="AB39" s="1224"/>
      <c r="AC39" s="1224"/>
      <c r="AD39" s="1224"/>
      <c r="AE39" s="1224"/>
      <c r="AF39" s="18"/>
      <c r="AG39" s="18"/>
      <c r="AH39" s="18"/>
      <c r="AI39" s="18"/>
      <c r="AJ39" s="18"/>
      <c r="AK39" s="18"/>
      <c r="AL39" s="18"/>
      <c r="AM39" s="18"/>
      <c r="AN39" s="18"/>
      <c r="AO39" s="18"/>
      <c r="AP39" s="18"/>
      <c r="AQ39" s="18"/>
      <c r="AR39" s="18"/>
      <c r="AS39" s="18"/>
      <c r="AT39" s="18"/>
      <c r="AU39" s="18"/>
      <c r="AV39" s="18"/>
      <c r="AW39" s="18"/>
    </row>
    <row r="40" spans="27:49" s="851" customFormat="1" hidden="1">
      <c r="AA40" s="1224"/>
      <c r="AB40" s="1224"/>
      <c r="AC40" s="1224"/>
      <c r="AD40" s="1224"/>
      <c r="AE40" s="1224"/>
      <c r="AF40" s="18"/>
      <c r="AG40" s="18"/>
      <c r="AH40" s="18"/>
      <c r="AI40" s="18"/>
      <c r="AJ40" s="18"/>
      <c r="AK40" s="18"/>
      <c r="AL40" s="18"/>
      <c r="AM40" s="18"/>
      <c r="AN40" s="18"/>
      <c r="AO40" s="18"/>
      <c r="AP40" s="18"/>
      <c r="AQ40" s="18"/>
      <c r="AR40" s="18"/>
      <c r="AS40" s="18"/>
      <c r="AT40" s="18"/>
      <c r="AU40" s="18"/>
      <c r="AV40" s="18"/>
      <c r="AW40" s="18"/>
    </row>
    <row r="41" spans="27:49" s="851" customFormat="1" hidden="1">
      <c r="AA41" s="1224"/>
      <c r="AB41" s="1224"/>
      <c r="AC41" s="1224"/>
      <c r="AD41" s="1224"/>
      <c r="AE41" s="1224"/>
      <c r="AF41" s="18"/>
      <c r="AG41" s="18"/>
      <c r="AH41" s="18"/>
      <c r="AI41" s="18"/>
      <c r="AJ41" s="18"/>
      <c r="AK41" s="18"/>
      <c r="AL41" s="18"/>
      <c r="AM41" s="18"/>
      <c r="AN41" s="18"/>
      <c r="AO41" s="18"/>
      <c r="AP41" s="18"/>
      <c r="AQ41" s="18"/>
      <c r="AR41" s="18"/>
      <c r="AS41" s="18"/>
      <c r="AT41" s="18"/>
      <c r="AU41" s="18"/>
      <c r="AV41" s="18"/>
      <c r="AW41" s="18"/>
    </row>
    <row r="42" spans="27:49" s="851" customFormat="1" hidden="1">
      <c r="AA42" s="1224"/>
      <c r="AB42" s="1224"/>
      <c r="AC42" s="1224"/>
      <c r="AD42" s="1224"/>
      <c r="AE42" s="1224"/>
      <c r="AF42" s="18"/>
      <c r="AG42" s="18"/>
      <c r="AH42" s="18"/>
      <c r="AI42" s="18"/>
      <c r="AJ42" s="18"/>
      <c r="AK42" s="18"/>
      <c r="AL42" s="18"/>
      <c r="AM42" s="18"/>
      <c r="AN42" s="18"/>
      <c r="AO42" s="18"/>
      <c r="AP42" s="18"/>
      <c r="AQ42" s="18"/>
      <c r="AR42" s="18"/>
      <c r="AS42" s="18"/>
      <c r="AT42" s="18"/>
      <c r="AU42" s="18"/>
      <c r="AV42" s="18"/>
      <c r="AW42" s="18"/>
    </row>
    <row r="43" spans="27:49" s="851" customFormat="1" hidden="1">
      <c r="AA43" s="1224"/>
      <c r="AB43" s="1224"/>
      <c r="AC43" s="1224"/>
      <c r="AD43" s="1224"/>
      <c r="AE43" s="1224"/>
      <c r="AF43" s="18"/>
      <c r="AG43" s="18"/>
      <c r="AH43" s="18"/>
      <c r="AI43" s="18"/>
      <c r="AJ43" s="18"/>
      <c r="AK43" s="18"/>
      <c r="AL43" s="18"/>
      <c r="AM43" s="18"/>
      <c r="AN43" s="18"/>
      <c r="AO43" s="18"/>
      <c r="AP43" s="18"/>
      <c r="AQ43" s="18"/>
      <c r="AR43" s="18"/>
      <c r="AS43" s="18"/>
      <c r="AT43" s="18"/>
      <c r="AU43" s="18"/>
      <c r="AV43" s="18"/>
      <c r="AW43" s="18"/>
    </row>
    <row r="44" spans="27:49" s="851" customFormat="1" hidden="1">
      <c r="AA44" s="1224"/>
      <c r="AB44" s="1224"/>
      <c r="AC44" s="1224"/>
      <c r="AD44" s="1224"/>
      <c r="AE44" s="1224"/>
      <c r="AF44" s="18"/>
      <c r="AG44" s="18"/>
      <c r="AH44" s="18"/>
      <c r="AI44" s="18"/>
      <c r="AJ44" s="18"/>
      <c r="AK44" s="18"/>
      <c r="AL44" s="18"/>
      <c r="AM44" s="18"/>
      <c r="AN44" s="18"/>
      <c r="AO44" s="18"/>
      <c r="AP44" s="18"/>
      <c r="AQ44" s="18"/>
      <c r="AR44" s="18"/>
      <c r="AS44" s="18"/>
      <c r="AT44" s="18"/>
      <c r="AU44" s="18"/>
      <c r="AV44" s="18"/>
      <c r="AW44" s="18"/>
    </row>
    <row r="45" spans="27:49" s="851" customFormat="1" hidden="1">
      <c r="AA45" s="1224"/>
      <c r="AB45" s="1224"/>
      <c r="AC45" s="1224"/>
      <c r="AD45" s="1224"/>
      <c r="AE45" s="1224"/>
      <c r="AF45" s="18"/>
      <c r="AG45" s="18"/>
      <c r="AH45" s="18"/>
      <c r="AI45" s="18"/>
      <c r="AJ45" s="18"/>
      <c r="AK45" s="18"/>
      <c r="AL45" s="18"/>
      <c r="AM45" s="18"/>
      <c r="AN45" s="18"/>
      <c r="AO45" s="18"/>
      <c r="AP45" s="18"/>
      <c r="AQ45" s="18"/>
      <c r="AR45" s="18"/>
      <c r="AS45" s="18"/>
      <c r="AT45" s="18"/>
      <c r="AU45" s="18"/>
      <c r="AV45" s="18"/>
      <c r="AW45" s="18"/>
    </row>
    <row r="46" spans="27:49" s="851" customFormat="1" hidden="1">
      <c r="AA46" s="1224"/>
      <c r="AB46" s="1224"/>
      <c r="AC46" s="1224"/>
      <c r="AD46" s="1224"/>
      <c r="AE46" s="1224"/>
      <c r="AF46" s="18"/>
      <c r="AG46" s="18"/>
      <c r="AH46" s="18"/>
      <c r="AI46" s="18"/>
      <c r="AJ46" s="18"/>
      <c r="AK46" s="18"/>
      <c r="AL46" s="18"/>
      <c r="AM46" s="18"/>
      <c r="AN46" s="18"/>
      <c r="AO46" s="18"/>
      <c r="AP46" s="18"/>
      <c r="AQ46" s="18"/>
      <c r="AR46" s="18"/>
      <c r="AS46" s="18"/>
      <c r="AT46" s="18"/>
      <c r="AU46" s="18"/>
      <c r="AV46" s="18"/>
      <c r="AW46" s="18"/>
    </row>
    <row r="47" spans="27:49" s="851" customFormat="1" hidden="1">
      <c r="AA47" s="1224"/>
      <c r="AB47" s="1224"/>
      <c r="AC47" s="1224"/>
      <c r="AD47" s="1224"/>
      <c r="AE47" s="1224"/>
      <c r="AF47" s="18"/>
      <c r="AG47" s="18"/>
      <c r="AH47" s="18"/>
      <c r="AI47" s="18"/>
      <c r="AJ47" s="18"/>
      <c r="AK47" s="18"/>
      <c r="AL47" s="18"/>
      <c r="AM47" s="18"/>
      <c r="AN47" s="18"/>
      <c r="AO47" s="18"/>
      <c r="AP47" s="18"/>
      <c r="AQ47" s="18"/>
      <c r="AR47" s="18"/>
      <c r="AS47" s="18"/>
      <c r="AT47" s="18"/>
      <c r="AU47" s="18"/>
      <c r="AV47" s="18"/>
      <c r="AW47" s="18"/>
    </row>
    <row r="48" spans="27:49" s="851" customFormat="1" hidden="1">
      <c r="AA48" s="1224"/>
      <c r="AB48" s="1224"/>
      <c r="AC48" s="1224"/>
      <c r="AD48" s="1224"/>
      <c r="AE48" s="1224"/>
      <c r="AF48" s="18"/>
      <c r="AG48" s="18"/>
      <c r="AH48" s="18"/>
      <c r="AI48" s="18"/>
      <c r="AJ48" s="18"/>
      <c r="AK48" s="18"/>
      <c r="AL48" s="18"/>
      <c r="AM48" s="18"/>
      <c r="AN48" s="18"/>
      <c r="AO48" s="18"/>
      <c r="AP48" s="18"/>
      <c r="AQ48" s="18"/>
      <c r="AR48" s="18"/>
      <c r="AS48" s="18"/>
      <c r="AT48" s="18"/>
      <c r="AU48" s="18"/>
      <c r="AV48" s="18"/>
      <c r="AW48" s="18"/>
    </row>
    <row r="49" spans="27:49" s="851" customFormat="1" hidden="1">
      <c r="AA49" s="1224"/>
      <c r="AB49" s="1224"/>
      <c r="AC49" s="1224"/>
      <c r="AD49" s="1224"/>
      <c r="AE49" s="1224"/>
      <c r="AF49" s="18"/>
      <c r="AG49" s="18"/>
      <c r="AH49" s="18"/>
      <c r="AI49" s="18"/>
      <c r="AJ49" s="18"/>
      <c r="AK49" s="18"/>
      <c r="AL49" s="18"/>
      <c r="AM49" s="18"/>
      <c r="AN49" s="18"/>
      <c r="AO49" s="18"/>
      <c r="AP49" s="18"/>
      <c r="AQ49" s="18"/>
      <c r="AR49" s="18"/>
      <c r="AS49" s="18"/>
      <c r="AT49" s="18"/>
      <c r="AU49" s="18"/>
      <c r="AV49" s="18"/>
      <c r="AW49" s="18"/>
    </row>
    <row r="50" spans="27:49" s="851" customFormat="1" hidden="1">
      <c r="AA50" s="1224"/>
      <c r="AB50" s="1224"/>
      <c r="AC50" s="1224"/>
      <c r="AD50" s="1224"/>
      <c r="AE50" s="1224"/>
      <c r="AF50" s="18"/>
      <c r="AG50" s="18"/>
      <c r="AH50" s="18"/>
      <c r="AI50" s="18"/>
      <c r="AJ50" s="18"/>
      <c r="AK50" s="18"/>
      <c r="AL50" s="18"/>
      <c r="AM50" s="18"/>
      <c r="AN50" s="18"/>
      <c r="AO50" s="18"/>
      <c r="AP50" s="18"/>
      <c r="AQ50" s="18"/>
      <c r="AR50" s="18"/>
      <c r="AS50" s="18"/>
      <c r="AT50" s="18"/>
      <c r="AU50" s="18"/>
      <c r="AV50" s="18"/>
      <c r="AW50" s="18"/>
    </row>
    <row r="51" spans="27:49" s="851" customFormat="1" hidden="1">
      <c r="AA51" s="1224"/>
      <c r="AB51" s="1224"/>
      <c r="AC51" s="1224"/>
      <c r="AD51" s="1224"/>
      <c r="AE51" s="1224"/>
      <c r="AF51" s="18"/>
      <c r="AG51" s="18"/>
      <c r="AH51" s="18"/>
      <c r="AI51" s="18"/>
      <c r="AJ51" s="18"/>
      <c r="AK51" s="18"/>
      <c r="AL51" s="18"/>
      <c r="AM51" s="18"/>
      <c r="AN51" s="18"/>
      <c r="AO51" s="18"/>
      <c r="AP51" s="18"/>
      <c r="AQ51" s="18"/>
      <c r="AR51" s="18"/>
      <c r="AS51" s="18"/>
      <c r="AT51" s="18"/>
      <c r="AU51" s="18"/>
      <c r="AV51" s="18"/>
      <c r="AW51" s="18"/>
    </row>
    <row r="52" spans="27:49" s="851" customFormat="1" hidden="1">
      <c r="AA52" s="1224"/>
      <c r="AB52" s="1224"/>
      <c r="AC52" s="1224"/>
      <c r="AD52" s="1224"/>
      <c r="AE52" s="1224"/>
      <c r="AF52" s="18"/>
      <c r="AG52" s="18"/>
      <c r="AH52" s="18"/>
      <c r="AI52" s="18"/>
      <c r="AJ52" s="18"/>
      <c r="AK52" s="18"/>
      <c r="AL52" s="18"/>
      <c r="AM52" s="18"/>
      <c r="AN52" s="18"/>
      <c r="AO52" s="18"/>
      <c r="AP52" s="18"/>
      <c r="AQ52" s="18"/>
      <c r="AR52" s="18"/>
      <c r="AS52" s="18"/>
      <c r="AT52" s="18"/>
      <c r="AU52" s="18"/>
      <c r="AV52" s="18"/>
      <c r="AW52" s="18"/>
    </row>
    <row r="53" spans="27:49" s="851" customFormat="1" hidden="1">
      <c r="AA53" s="1224"/>
      <c r="AB53" s="1224"/>
      <c r="AC53" s="1224"/>
      <c r="AD53" s="1224"/>
      <c r="AE53" s="1224"/>
      <c r="AF53" s="18"/>
      <c r="AG53" s="18"/>
      <c r="AH53" s="18"/>
      <c r="AI53" s="18"/>
      <c r="AJ53" s="18"/>
      <c r="AK53" s="18"/>
      <c r="AL53" s="18"/>
      <c r="AM53" s="18"/>
      <c r="AN53" s="18"/>
      <c r="AO53" s="18"/>
      <c r="AP53" s="18"/>
      <c r="AQ53" s="18"/>
      <c r="AR53" s="18"/>
      <c r="AS53" s="18"/>
      <c r="AT53" s="18"/>
      <c r="AU53" s="18"/>
      <c r="AV53" s="18"/>
      <c r="AW53" s="18"/>
    </row>
    <row r="54" spans="27:49" s="851" customFormat="1" hidden="1">
      <c r="AA54" s="1224"/>
      <c r="AB54" s="1224"/>
      <c r="AC54" s="1224"/>
      <c r="AD54" s="1224"/>
      <c r="AE54" s="1224"/>
      <c r="AF54" s="18"/>
      <c r="AG54" s="18"/>
      <c r="AH54" s="18"/>
      <c r="AI54" s="18"/>
      <c r="AJ54" s="18"/>
      <c r="AK54" s="18"/>
      <c r="AL54" s="18"/>
      <c r="AM54" s="18"/>
      <c r="AN54" s="18"/>
      <c r="AO54" s="18"/>
      <c r="AP54" s="18"/>
      <c r="AQ54" s="18"/>
      <c r="AR54" s="18"/>
      <c r="AS54" s="18"/>
      <c r="AT54" s="18"/>
      <c r="AU54" s="18"/>
      <c r="AV54" s="18"/>
      <c r="AW54" s="18"/>
    </row>
    <row r="55" spans="27:49" s="851" customFormat="1" hidden="1">
      <c r="AA55" s="1224"/>
      <c r="AB55" s="1224"/>
      <c r="AC55" s="1224"/>
      <c r="AD55" s="1224"/>
      <c r="AE55" s="1224"/>
      <c r="AF55" s="18"/>
      <c r="AG55" s="18"/>
      <c r="AH55" s="18"/>
      <c r="AI55" s="18"/>
      <c r="AJ55" s="18"/>
      <c r="AK55" s="18"/>
      <c r="AL55" s="18"/>
      <c r="AM55" s="18"/>
      <c r="AN55" s="18"/>
      <c r="AO55" s="18"/>
      <c r="AP55" s="18"/>
      <c r="AQ55" s="18"/>
      <c r="AR55" s="18"/>
      <c r="AS55" s="18"/>
      <c r="AT55" s="18"/>
      <c r="AU55" s="18"/>
      <c r="AV55" s="18"/>
      <c r="AW55" s="18"/>
    </row>
    <row r="56" spans="27:49" s="851" customFormat="1" hidden="1">
      <c r="AA56" s="1224"/>
      <c r="AB56" s="1224"/>
      <c r="AC56" s="1224"/>
      <c r="AD56" s="1224"/>
      <c r="AE56" s="1224"/>
      <c r="AF56" s="18"/>
      <c r="AG56" s="18"/>
      <c r="AH56" s="18"/>
      <c r="AI56" s="18"/>
      <c r="AJ56" s="18"/>
      <c r="AK56" s="18"/>
      <c r="AL56" s="18"/>
      <c r="AM56" s="18"/>
      <c r="AN56" s="18"/>
      <c r="AO56" s="18"/>
      <c r="AP56" s="18"/>
      <c r="AQ56" s="18"/>
      <c r="AR56" s="18"/>
      <c r="AS56" s="18"/>
      <c r="AT56" s="18"/>
      <c r="AU56" s="18"/>
      <c r="AV56" s="18"/>
      <c r="AW56" s="18"/>
    </row>
    <row r="57" spans="27:49" s="851" customFormat="1" hidden="1">
      <c r="AA57" s="1224"/>
      <c r="AB57" s="1224"/>
      <c r="AC57" s="1224"/>
      <c r="AD57" s="1224"/>
      <c r="AE57" s="1224"/>
      <c r="AF57" s="18"/>
      <c r="AG57" s="18"/>
      <c r="AH57" s="18"/>
      <c r="AI57" s="18"/>
      <c r="AJ57" s="18"/>
      <c r="AK57" s="18"/>
      <c r="AL57" s="18"/>
      <c r="AM57" s="18"/>
      <c r="AN57" s="18"/>
      <c r="AO57" s="18"/>
      <c r="AP57" s="18"/>
      <c r="AQ57" s="18"/>
      <c r="AR57" s="18"/>
      <c r="AS57" s="18"/>
      <c r="AT57" s="18"/>
      <c r="AU57" s="18"/>
      <c r="AV57" s="18"/>
      <c r="AW57" s="18"/>
    </row>
    <row r="58" spans="27:49" s="851" customFormat="1" hidden="1">
      <c r="AA58" s="1224"/>
      <c r="AB58" s="1224"/>
      <c r="AC58" s="1224"/>
      <c r="AD58" s="1224"/>
      <c r="AE58" s="1224"/>
      <c r="AF58" s="18"/>
      <c r="AG58" s="18"/>
      <c r="AH58" s="18"/>
      <c r="AI58" s="18"/>
      <c r="AJ58" s="18"/>
      <c r="AK58" s="18"/>
      <c r="AL58" s="18"/>
      <c r="AM58" s="18"/>
      <c r="AN58" s="18"/>
      <c r="AO58" s="18"/>
      <c r="AP58" s="18"/>
      <c r="AQ58" s="18"/>
      <c r="AR58" s="18"/>
      <c r="AS58" s="18"/>
      <c r="AT58" s="18"/>
      <c r="AU58" s="18"/>
      <c r="AV58" s="18"/>
      <c r="AW58" s="18"/>
    </row>
    <row r="59" spans="27:49" s="851" customFormat="1" hidden="1">
      <c r="AA59" s="1224"/>
      <c r="AB59" s="1224"/>
      <c r="AC59" s="1224"/>
      <c r="AD59" s="1224"/>
      <c r="AE59" s="1224"/>
      <c r="AF59" s="18"/>
      <c r="AG59" s="18"/>
      <c r="AH59" s="18"/>
      <c r="AI59" s="18"/>
      <c r="AJ59" s="18"/>
      <c r="AK59" s="18"/>
      <c r="AL59" s="18"/>
      <c r="AM59" s="18"/>
      <c r="AN59" s="18"/>
      <c r="AO59" s="18"/>
      <c r="AP59" s="18"/>
      <c r="AQ59" s="18"/>
      <c r="AR59" s="18"/>
      <c r="AS59" s="18"/>
      <c r="AT59" s="18"/>
      <c r="AU59" s="18"/>
      <c r="AV59" s="18"/>
      <c r="AW59" s="18"/>
    </row>
    <row r="60" spans="27:49" s="851" customFormat="1" hidden="1">
      <c r="AA60" s="1224"/>
      <c r="AB60" s="1224"/>
      <c r="AC60" s="1224"/>
      <c r="AD60" s="1224"/>
      <c r="AE60" s="1224"/>
      <c r="AF60" s="18"/>
      <c r="AG60" s="18"/>
      <c r="AH60" s="18"/>
      <c r="AI60" s="18"/>
      <c r="AJ60" s="18"/>
      <c r="AK60" s="18"/>
      <c r="AL60" s="18"/>
      <c r="AM60" s="18"/>
      <c r="AN60" s="18"/>
      <c r="AO60" s="18"/>
      <c r="AP60" s="18"/>
      <c r="AQ60" s="18"/>
      <c r="AR60" s="18"/>
      <c r="AS60" s="18"/>
      <c r="AT60" s="18"/>
      <c r="AU60" s="18"/>
      <c r="AV60" s="18"/>
      <c r="AW60" s="18"/>
    </row>
    <row r="61" spans="27:49" s="851" customFormat="1" hidden="1">
      <c r="AA61" s="1224"/>
      <c r="AB61" s="1224"/>
      <c r="AC61" s="1224"/>
      <c r="AD61" s="1224"/>
      <c r="AE61" s="1224"/>
      <c r="AF61" s="18"/>
      <c r="AG61" s="18"/>
      <c r="AH61" s="18"/>
      <c r="AI61" s="18"/>
      <c r="AJ61" s="18"/>
      <c r="AK61" s="18"/>
      <c r="AL61" s="18"/>
      <c r="AM61" s="18"/>
      <c r="AN61" s="18"/>
      <c r="AO61" s="18"/>
      <c r="AP61" s="18"/>
      <c r="AQ61" s="18"/>
      <c r="AR61" s="18"/>
      <c r="AS61" s="18"/>
      <c r="AT61" s="18"/>
      <c r="AU61" s="18"/>
      <c r="AV61" s="18"/>
      <c r="AW61" s="18"/>
    </row>
    <row r="62" spans="27:49" s="851" customFormat="1" hidden="1">
      <c r="AA62" s="1224"/>
      <c r="AB62" s="1224"/>
      <c r="AC62" s="1224"/>
      <c r="AD62" s="1224"/>
      <c r="AE62" s="1224"/>
      <c r="AF62" s="18"/>
      <c r="AG62" s="18"/>
      <c r="AH62" s="18"/>
      <c r="AI62" s="18"/>
      <c r="AJ62" s="18"/>
      <c r="AK62" s="18"/>
      <c r="AL62" s="18"/>
      <c r="AM62" s="18"/>
      <c r="AN62" s="18"/>
      <c r="AO62" s="18"/>
      <c r="AP62" s="18"/>
      <c r="AQ62" s="18"/>
      <c r="AR62" s="18"/>
      <c r="AS62" s="18"/>
      <c r="AT62" s="18"/>
      <c r="AU62" s="18"/>
      <c r="AV62" s="18"/>
      <c r="AW62" s="18"/>
    </row>
    <row r="63" spans="27:49" s="851" customFormat="1" hidden="1">
      <c r="AA63" s="1224"/>
      <c r="AB63" s="1224"/>
      <c r="AC63" s="1224"/>
      <c r="AD63" s="1224"/>
      <c r="AE63" s="1224"/>
      <c r="AF63" s="18"/>
      <c r="AG63" s="18"/>
      <c r="AH63" s="18"/>
      <c r="AI63" s="18"/>
      <c r="AJ63" s="18"/>
      <c r="AK63" s="18"/>
      <c r="AL63" s="18"/>
      <c r="AM63" s="18"/>
      <c r="AN63" s="18"/>
      <c r="AO63" s="18"/>
      <c r="AP63" s="18"/>
      <c r="AQ63" s="18"/>
      <c r="AR63" s="18"/>
      <c r="AS63" s="18"/>
      <c r="AT63" s="18"/>
      <c r="AU63" s="18"/>
      <c r="AV63" s="18"/>
      <c r="AW63" s="18"/>
    </row>
    <row r="64" spans="27:49" s="851" customFormat="1" hidden="1">
      <c r="AA64" s="1224"/>
      <c r="AB64" s="1224"/>
      <c r="AC64" s="1224"/>
      <c r="AD64" s="1224"/>
      <c r="AE64" s="1224"/>
      <c r="AF64" s="18"/>
      <c r="AG64" s="18"/>
      <c r="AH64" s="18"/>
      <c r="AI64" s="18"/>
      <c r="AJ64" s="18"/>
      <c r="AK64" s="18"/>
      <c r="AL64" s="18"/>
      <c r="AM64" s="18"/>
      <c r="AN64" s="18"/>
      <c r="AO64" s="18"/>
      <c r="AP64" s="18"/>
      <c r="AQ64" s="18"/>
      <c r="AR64" s="18"/>
      <c r="AS64" s="18"/>
      <c r="AT64" s="18"/>
      <c r="AU64" s="18"/>
      <c r="AV64" s="18"/>
      <c r="AW64" s="18"/>
    </row>
    <row r="65" spans="27:49" s="851" customFormat="1" hidden="1">
      <c r="AA65" s="1224"/>
      <c r="AB65" s="1224"/>
      <c r="AC65" s="1224"/>
      <c r="AD65" s="1224"/>
      <c r="AE65" s="1224"/>
      <c r="AF65" s="18"/>
      <c r="AG65" s="18"/>
      <c r="AH65" s="18"/>
      <c r="AI65" s="18"/>
      <c r="AJ65" s="18"/>
      <c r="AK65" s="18"/>
      <c r="AL65" s="18"/>
      <c r="AM65" s="18"/>
      <c r="AN65" s="18"/>
      <c r="AO65" s="18"/>
      <c r="AP65" s="18"/>
      <c r="AQ65" s="18"/>
      <c r="AR65" s="18"/>
      <c r="AS65" s="18"/>
      <c r="AT65" s="18"/>
      <c r="AU65" s="18"/>
      <c r="AV65" s="18"/>
      <c r="AW65" s="18"/>
    </row>
    <row r="66" spans="27:49" s="851" customFormat="1" hidden="1">
      <c r="AA66" s="1224"/>
      <c r="AB66" s="1224"/>
      <c r="AC66" s="1224"/>
      <c r="AD66" s="1224"/>
      <c r="AE66" s="1224"/>
      <c r="AF66" s="18"/>
      <c r="AG66" s="18"/>
      <c r="AH66" s="18"/>
      <c r="AI66" s="18"/>
      <c r="AJ66" s="18"/>
      <c r="AK66" s="18"/>
      <c r="AL66" s="18"/>
      <c r="AM66" s="18"/>
      <c r="AN66" s="18"/>
      <c r="AO66" s="18"/>
      <c r="AP66" s="18"/>
      <c r="AQ66" s="18"/>
      <c r="AR66" s="18"/>
      <c r="AS66" s="18"/>
      <c r="AT66" s="18"/>
      <c r="AU66" s="18"/>
      <c r="AV66" s="18"/>
      <c r="AW66" s="18"/>
    </row>
    <row r="67" spans="27:49" s="851" customFormat="1" hidden="1">
      <c r="AA67" s="1224"/>
      <c r="AB67" s="1224"/>
      <c r="AC67" s="1224"/>
      <c r="AD67" s="1224"/>
      <c r="AE67" s="1224"/>
      <c r="AF67" s="18"/>
      <c r="AG67" s="18"/>
      <c r="AH67" s="18"/>
      <c r="AI67" s="18"/>
      <c r="AJ67" s="18"/>
      <c r="AK67" s="18"/>
      <c r="AL67" s="18"/>
      <c r="AM67" s="18"/>
      <c r="AN67" s="18"/>
      <c r="AO67" s="18"/>
      <c r="AP67" s="18"/>
      <c r="AQ67" s="18"/>
      <c r="AR67" s="18"/>
      <c r="AS67" s="18"/>
      <c r="AT67" s="18"/>
      <c r="AU67" s="18"/>
      <c r="AV67" s="18"/>
      <c r="AW67" s="18"/>
    </row>
    <row r="68" spans="27:49" s="851" customFormat="1" hidden="1">
      <c r="AA68" s="1224"/>
      <c r="AB68" s="1224"/>
      <c r="AC68" s="1224"/>
      <c r="AD68" s="1224"/>
      <c r="AE68" s="1224"/>
      <c r="AF68" s="18"/>
      <c r="AG68" s="18"/>
      <c r="AH68" s="18"/>
      <c r="AI68" s="18"/>
      <c r="AJ68" s="18"/>
      <c r="AK68" s="18"/>
      <c r="AL68" s="18"/>
      <c r="AM68" s="18"/>
      <c r="AN68" s="18"/>
      <c r="AO68" s="18"/>
      <c r="AP68" s="18"/>
      <c r="AQ68" s="18"/>
      <c r="AR68" s="18"/>
      <c r="AS68" s="18"/>
      <c r="AT68" s="18"/>
      <c r="AU68" s="18"/>
      <c r="AV68" s="18"/>
      <c r="AW68" s="18"/>
    </row>
    <row r="69" spans="27:49" s="851" customFormat="1" hidden="1">
      <c r="AA69" s="1224"/>
      <c r="AB69" s="1224"/>
      <c r="AC69" s="1224"/>
      <c r="AD69" s="1224"/>
      <c r="AE69" s="1224"/>
      <c r="AF69" s="18"/>
      <c r="AG69" s="18"/>
      <c r="AH69" s="18"/>
      <c r="AI69" s="18"/>
      <c r="AJ69" s="18"/>
      <c r="AK69" s="18"/>
      <c r="AL69" s="18"/>
      <c r="AM69" s="18"/>
      <c r="AN69" s="18"/>
      <c r="AO69" s="18"/>
      <c r="AP69" s="18"/>
      <c r="AQ69" s="18"/>
      <c r="AR69" s="18"/>
      <c r="AS69" s="18"/>
      <c r="AT69" s="18"/>
      <c r="AU69" s="18"/>
      <c r="AV69" s="18"/>
      <c r="AW69" s="18"/>
    </row>
    <row r="70" spans="27:49" s="851" customFormat="1" hidden="1">
      <c r="AA70" s="1224"/>
      <c r="AB70" s="1224"/>
      <c r="AC70" s="1224"/>
      <c r="AD70" s="1224"/>
      <c r="AE70" s="1224"/>
      <c r="AF70" s="18"/>
      <c r="AG70" s="18"/>
      <c r="AH70" s="18"/>
      <c r="AI70" s="18"/>
      <c r="AJ70" s="18"/>
      <c r="AK70" s="18"/>
      <c r="AL70" s="18"/>
      <c r="AM70" s="18"/>
      <c r="AN70" s="18"/>
      <c r="AO70" s="18"/>
      <c r="AP70" s="18"/>
      <c r="AQ70" s="18"/>
      <c r="AR70" s="18"/>
      <c r="AS70" s="18"/>
      <c r="AT70" s="18"/>
      <c r="AU70" s="18"/>
      <c r="AV70" s="18"/>
      <c r="AW70" s="18"/>
    </row>
    <row r="71" spans="27:49" s="851" customFormat="1" hidden="1">
      <c r="AA71" s="1224"/>
      <c r="AB71" s="1224"/>
      <c r="AC71" s="1224"/>
      <c r="AD71" s="1224"/>
      <c r="AE71" s="1224"/>
      <c r="AF71" s="18"/>
      <c r="AG71" s="18"/>
      <c r="AH71" s="18"/>
      <c r="AI71" s="18"/>
      <c r="AJ71" s="18"/>
      <c r="AK71" s="18"/>
      <c r="AL71" s="18"/>
      <c r="AM71" s="18"/>
      <c r="AN71" s="18"/>
      <c r="AO71" s="18"/>
      <c r="AP71" s="18"/>
      <c r="AQ71" s="18"/>
      <c r="AR71" s="18"/>
      <c r="AS71" s="18"/>
      <c r="AT71" s="18"/>
      <c r="AU71" s="18"/>
      <c r="AV71" s="18"/>
      <c r="AW71" s="18"/>
    </row>
    <row r="72" spans="27:49" s="851" customFormat="1" hidden="1">
      <c r="AA72" s="1224"/>
      <c r="AB72" s="1224"/>
      <c r="AC72" s="1224"/>
      <c r="AD72" s="1224"/>
      <c r="AE72" s="1224"/>
      <c r="AF72" s="18"/>
      <c r="AG72" s="18"/>
      <c r="AH72" s="18"/>
      <c r="AI72" s="18"/>
      <c r="AJ72" s="18"/>
      <c r="AK72" s="18"/>
      <c r="AL72" s="18"/>
      <c r="AM72" s="18"/>
      <c r="AN72" s="18"/>
      <c r="AO72" s="18"/>
      <c r="AP72" s="18"/>
      <c r="AQ72" s="18"/>
      <c r="AR72" s="18"/>
      <c r="AS72" s="18"/>
      <c r="AT72" s="18"/>
      <c r="AU72" s="18"/>
      <c r="AV72" s="18"/>
      <c r="AW72" s="18"/>
    </row>
    <row r="73" spans="27:49" s="851" customFormat="1" hidden="1">
      <c r="AA73" s="1224"/>
      <c r="AB73" s="1224"/>
      <c r="AC73" s="1224"/>
      <c r="AD73" s="1224"/>
      <c r="AE73" s="1224"/>
      <c r="AF73" s="18"/>
      <c r="AG73" s="18"/>
      <c r="AH73" s="18"/>
      <c r="AI73" s="18"/>
      <c r="AJ73" s="18"/>
      <c r="AK73" s="18"/>
      <c r="AL73" s="18"/>
      <c r="AM73" s="18"/>
      <c r="AN73" s="18"/>
      <c r="AO73" s="18"/>
      <c r="AP73" s="18"/>
      <c r="AQ73" s="18"/>
      <c r="AR73" s="18"/>
      <c r="AS73" s="18"/>
      <c r="AT73" s="18"/>
      <c r="AU73" s="18"/>
      <c r="AV73" s="18"/>
      <c r="AW73" s="18"/>
    </row>
    <row r="74" spans="27:49" s="851" customFormat="1" hidden="1">
      <c r="AA74" s="1224"/>
      <c r="AB74" s="1224"/>
      <c r="AC74" s="1224"/>
      <c r="AD74" s="1224"/>
      <c r="AE74" s="1224"/>
      <c r="AF74" s="18"/>
      <c r="AG74" s="18"/>
      <c r="AH74" s="18"/>
      <c r="AI74" s="18"/>
      <c r="AJ74" s="18"/>
      <c r="AK74" s="18"/>
      <c r="AL74" s="18"/>
      <c r="AM74" s="18"/>
      <c r="AN74" s="18"/>
      <c r="AO74" s="18"/>
      <c r="AP74" s="18"/>
      <c r="AQ74" s="18"/>
      <c r="AR74" s="18"/>
      <c r="AS74" s="18"/>
      <c r="AT74" s="18"/>
      <c r="AU74" s="18"/>
      <c r="AV74" s="18"/>
      <c r="AW74" s="18"/>
    </row>
    <row r="75" spans="27:49" s="851" customFormat="1" hidden="1">
      <c r="AA75" s="1224"/>
      <c r="AB75" s="1224"/>
      <c r="AC75" s="1224"/>
      <c r="AD75" s="1224"/>
      <c r="AE75" s="1224"/>
      <c r="AF75" s="18"/>
      <c r="AG75" s="18"/>
      <c r="AH75" s="18"/>
      <c r="AI75" s="18"/>
      <c r="AJ75" s="18"/>
      <c r="AK75" s="18"/>
      <c r="AL75" s="18"/>
      <c r="AM75" s="18"/>
      <c r="AN75" s="18"/>
      <c r="AO75" s="18"/>
      <c r="AP75" s="18"/>
      <c r="AQ75" s="18"/>
      <c r="AR75" s="18"/>
      <c r="AS75" s="18"/>
      <c r="AT75" s="18"/>
      <c r="AU75" s="18"/>
      <c r="AV75" s="18"/>
      <c r="AW75" s="18"/>
    </row>
    <row r="76" spans="27:49" s="851" customFormat="1" hidden="1">
      <c r="AA76" s="1224"/>
      <c r="AB76" s="1224"/>
      <c r="AC76" s="1224"/>
      <c r="AD76" s="1224"/>
      <c r="AE76" s="1224"/>
      <c r="AF76" s="18"/>
      <c r="AG76" s="18"/>
      <c r="AH76" s="18"/>
      <c r="AI76" s="18"/>
      <c r="AJ76" s="18"/>
      <c r="AK76" s="18"/>
      <c r="AL76" s="18"/>
      <c r="AM76" s="18"/>
      <c r="AN76" s="18"/>
      <c r="AO76" s="18"/>
      <c r="AP76" s="18"/>
      <c r="AQ76" s="18"/>
      <c r="AR76" s="18"/>
      <c r="AS76" s="18"/>
      <c r="AT76" s="18"/>
      <c r="AU76" s="18"/>
      <c r="AV76" s="18"/>
      <c r="AW76" s="18"/>
    </row>
    <row r="77" spans="27:49" s="851" customFormat="1" hidden="1">
      <c r="AA77" s="1224"/>
      <c r="AB77" s="1224"/>
      <c r="AC77" s="1224"/>
      <c r="AD77" s="1224"/>
      <c r="AE77" s="1224"/>
      <c r="AF77" s="18"/>
      <c r="AG77" s="18"/>
      <c r="AH77" s="18"/>
      <c r="AI77" s="18"/>
      <c r="AJ77" s="18"/>
      <c r="AK77" s="18"/>
      <c r="AL77" s="18"/>
      <c r="AM77" s="18"/>
      <c r="AN77" s="18"/>
      <c r="AO77" s="18"/>
      <c r="AP77" s="18"/>
      <c r="AQ77" s="18"/>
      <c r="AR77" s="18"/>
      <c r="AS77" s="18"/>
      <c r="AT77" s="18"/>
      <c r="AU77" s="18"/>
      <c r="AV77" s="18"/>
      <c r="AW77" s="18"/>
    </row>
    <row r="78" spans="27:49" s="851" customFormat="1" hidden="1">
      <c r="AA78" s="1224"/>
      <c r="AB78" s="1224"/>
      <c r="AC78" s="1224"/>
      <c r="AD78" s="1224"/>
      <c r="AE78" s="1224"/>
      <c r="AF78" s="18"/>
      <c r="AG78" s="18"/>
      <c r="AH78" s="18"/>
      <c r="AI78" s="18"/>
      <c r="AJ78" s="18"/>
      <c r="AK78" s="18"/>
      <c r="AL78" s="18"/>
      <c r="AM78" s="18"/>
      <c r="AN78" s="18"/>
      <c r="AO78" s="18"/>
      <c r="AP78" s="18"/>
      <c r="AQ78" s="18"/>
      <c r="AR78" s="18"/>
      <c r="AS78" s="18"/>
      <c r="AT78" s="18"/>
      <c r="AU78" s="18"/>
      <c r="AV78" s="18"/>
      <c r="AW78" s="18"/>
    </row>
    <row r="79" spans="27:49" s="851" customFormat="1" hidden="1">
      <c r="AA79" s="1224"/>
      <c r="AB79" s="1224"/>
      <c r="AC79" s="1224"/>
      <c r="AD79" s="1224"/>
      <c r="AE79" s="1224"/>
      <c r="AF79" s="18"/>
      <c r="AG79" s="18"/>
      <c r="AH79" s="18"/>
      <c r="AI79" s="18"/>
      <c r="AJ79" s="18"/>
      <c r="AK79" s="18"/>
      <c r="AL79" s="18"/>
      <c r="AM79" s="18"/>
      <c r="AN79" s="18"/>
      <c r="AO79" s="18"/>
      <c r="AP79" s="18"/>
      <c r="AQ79" s="18"/>
      <c r="AR79" s="18"/>
      <c r="AS79" s="18"/>
      <c r="AT79" s="18"/>
      <c r="AU79" s="18"/>
      <c r="AV79" s="18"/>
      <c r="AW79" s="18"/>
    </row>
    <row r="80" spans="27:49" s="851" customFormat="1" hidden="1">
      <c r="AA80" s="1224"/>
      <c r="AB80" s="1224"/>
      <c r="AC80" s="1224"/>
      <c r="AD80" s="1224"/>
      <c r="AE80" s="1224"/>
      <c r="AF80" s="18"/>
      <c r="AG80" s="18"/>
      <c r="AH80" s="18"/>
      <c r="AI80" s="18"/>
      <c r="AJ80" s="18"/>
      <c r="AK80" s="18"/>
      <c r="AL80" s="18"/>
      <c r="AM80" s="18"/>
      <c r="AN80" s="18"/>
      <c r="AO80" s="18"/>
      <c r="AP80" s="18"/>
      <c r="AQ80" s="18"/>
      <c r="AR80" s="18"/>
      <c r="AS80" s="18"/>
      <c r="AT80" s="18"/>
      <c r="AU80" s="18"/>
      <c r="AV80" s="18"/>
      <c r="AW80" s="18"/>
    </row>
    <row r="81" spans="27:49" s="851" customFormat="1" hidden="1">
      <c r="AA81" s="1224"/>
      <c r="AB81" s="1224"/>
      <c r="AC81" s="1224"/>
      <c r="AD81" s="1224"/>
      <c r="AE81" s="1224"/>
      <c r="AF81" s="18"/>
      <c r="AG81" s="18"/>
      <c r="AH81" s="18"/>
      <c r="AI81" s="18"/>
      <c r="AJ81" s="18"/>
      <c r="AK81" s="18"/>
      <c r="AL81" s="18"/>
      <c r="AM81" s="18"/>
      <c r="AN81" s="18"/>
      <c r="AO81" s="18"/>
      <c r="AP81" s="18"/>
      <c r="AQ81" s="18"/>
      <c r="AR81" s="18"/>
      <c r="AS81" s="18"/>
      <c r="AT81" s="18"/>
      <c r="AU81" s="18"/>
      <c r="AV81" s="18"/>
      <c r="AW81" s="18"/>
    </row>
    <row r="82" spans="27:49" s="851" customFormat="1" hidden="1">
      <c r="AA82" s="1224"/>
      <c r="AB82" s="1224"/>
      <c r="AC82" s="1224"/>
      <c r="AD82" s="1224"/>
      <c r="AE82" s="1224"/>
      <c r="AF82" s="18"/>
      <c r="AG82" s="18"/>
      <c r="AH82" s="18"/>
      <c r="AI82" s="18"/>
      <c r="AJ82" s="18"/>
      <c r="AK82" s="18"/>
      <c r="AL82" s="18"/>
      <c r="AM82" s="18"/>
      <c r="AN82" s="18"/>
      <c r="AO82" s="18"/>
      <c r="AP82" s="18"/>
      <c r="AQ82" s="18"/>
      <c r="AR82" s="18"/>
      <c r="AS82" s="18"/>
      <c r="AT82" s="18"/>
      <c r="AU82" s="18"/>
      <c r="AV82" s="18"/>
      <c r="AW82" s="18"/>
    </row>
    <row r="83" spans="27:49" s="851" customFormat="1" hidden="1">
      <c r="AA83" s="1224"/>
      <c r="AB83" s="1224"/>
      <c r="AC83" s="1224"/>
      <c r="AD83" s="1224"/>
      <c r="AE83" s="1224"/>
      <c r="AF83" s="18"/>
      <c r="AG83" s="18"/>
      <c r="AH83" s="18"/>
      <c r="AI83" s="18"/>
      <c r="AJ83" s="18"/>
      <c r="AK83" s="18"/>
      <c r="AL83" s="18"/>
      <c r="AM83" s="18"/>
      <c r="AN83" s="18"/>
      <c r="AO83" s="18"/>
      <c r="AP83" s="18"/>
      <c r="AQ83" s="18"/>
      <c r="AR83" s="18"/>
      <c r="AS83" s="18"/>
      <c r="AT83" s="18"/>
      <c r="AU83" s="18"/>
      <c r="AV83" s="18"/>
      <c r="AW83" s="18"/>
    </row>
    <row r="84" spans="27:49" s="851" customFormat="1" hidden="1">
      <c r="AA84" s="1224"/>
      <c r="AB84" s="1224"/>
      <c r="AC84" s="1224"/>
      <c r="AD84" s="1224"/>
      <c r="AE84" s="1224"/>
      <c r="AF84" s="18"/>
      <c r="AG84" s="18"/>
      <c r="AH84" s="18"/>
      <c r="AI84" s="18"/>
      <c r="AJ84" s="18"/>
      <c r="AK84" s="18"/>
      <c r="AL84" s="18"/>
      <c r="AM84" s="18"/>
      <c r="AN84" s="18"/>
      <c r="AO84" s="18"/>
      <c r="AP84" s="18"/>
      <c r="AQ84" s="18"/>
      <c r="AR84" s="18"/>
      <c r="AS84" s="18"/>
      <c r="AT84" s="18"/>
      <c r="AU84" s="18"/>
      <c r="AV84" s="18"/>
      <c r="AW84" s="18"/>
    </row>
    <row r="85" spans="27:49" s="851" customFormat="1" hidden="1">
      <c r="AA85" s="1224"/>
      <c r="AB85" s="1224"/>
      <c r="AC85" s="1224"/>
      <c r="AD85" s="1224"/>
      <c r="AE85" s="1224"/>
      <c r="AF85" s="18"/>
      <c r="AG85" s="18"/>
      <c r="AH85" s="18"/>
      <c r="AI85" s="18"/>
      <c r="AJ85" s="18"/>
      <c r="AK85" s="18"/>
      <c r="AL85" s="18"/>
      <c r="AM85" s="18"/>
      <c r="AN85" s="18"/>
      <c r="AO85" s="18"/>
      <c r="AP85" s="18"/>
      <c r="AQ85" s="18"/>
      <c r="AR85" s="18"/>
      <c r="AS85" s="18"/>
      <c r="AT85" s="18"/>
      <c r="AU85" s="18"/>
      <c r="AV85" s="18"/>
      <c r="AW85" s="18"/>
    </row>
    <row r="86" spans="27:49" s="851" customFormat="1" hidden="1">
      <c r="AA86" s="1224"/>
      <c r="AB86" s="1224"/>
      <c r="AC86" s="1224"/>
      <c r="AD86" s="1224"/>
      <c r="AE86" s="1224"/>
      <c r="AF86" s="18"/>
      <c r="AG86" s="18"/>
      <c r="AH86" s="18"/>
      <c r="AI86" s="18"/>
      <c r="AJ86" s="18"/>
      <c r="AK86" s="18"/>
      <c r="AL86" s="18"/>
      <c r="AM86" s="18"/>
      <c r="AN86" s="18"/>
      <c r="AO86" s="18"/>
      <c r="AP86" s="18"/>
      <c r="AQ86" s="18"/>
      <c r="AR86" s="18"/>
      <c r="AS86" s="18"/>
      <c r="AT86" s="18"/>
      <c r="AU86" s="18"/>
      <c r="AV86" s="18"/>
      <c r="AW86" s="18"/>
    </row>
    <row r="87" spans="27:49" s="851" customFormat="1" hidden="1">
      <c r="AA87" s="1224"/>
      <c r="AB87" s="1224"/>
      <c r="AC87" s="1224"/>
      <c r="AD87" s="1224"/>
      <c r="AE87" s="1224"/>
      <c r="AF87" s="18"/>
      <c r="AG87" s="18"/>
      <c r="AH87" s="18"/>
      <c r="AI87" s="18"/>
      <c r="AJ87" s="18"/>
      <c r="AK87" s="18"/>
      <c r="AL87" s="18"/>
      <c r="AM87" s="18"/>
      <c r="AN87" s="18"/>
      <c r="AO87" s="18"/>
      <c r="AP87" s="18"/>
      <c r="AQ87" s="18"/>
      <c r="AR87" s="18"/>
      <c r="AS87" s="18"/>
      <c r="AT87" s="18"/>
      <c r="AU87" s="18"/>
      <c r="AV87" s="18"/>
      <c r="AW87" s="18"/>
    </row>
    <row r="88" spans="27:49" s="851" customFormat="1" hidden="1">
      <c r="AA88" s="1224"/>
      <c r="AB88" s="1224"/>
      <c r="AC88" s="1224"/>
      <c r="AD88" s="1224"/>
      <c r="AE88" s="1224"/>
      <c r="AF88" s="18"/>
      <c r="AG88" s="18"/>
      <c r="AH88" s="18"/>
      <c r="AI88" s="18"/>
      <c r="AJ88" s="18"/>
      <c r="AK88" s="18"/>
      <c r="AL88" s="18"/>
      <c r="AM88" s="18"/>
      <c r="AN88" s="18"/>
      <c r="AO88" s="18"/>
      <c r="AP88" s="18"/>
      <c r="AQ88" s="18"/>
      <c r="AR88" s="18"/>
      <c r="AS88" s="18"/>
      <c r="AT88" s="18"/>
      <c r="AU88" s="18"/>
      <c r="AV88" s="18"/>
      <c r="AW88" s="18"/>
    </row>
    <row r="89" spans="27:49" s="851" customFormat="1" hidden="1">
      <c r="AA89" s="1224"/>
      <c r="AB89" s="1224"/>
      <c r="AC89" s="1224"/>
      <c r="AD89" s="1224"/>
      <c r="AE89" s="1224"/>
      <c r="AF89" s="18"/>
      <c r="AG89" s="18"/>
      <c r="AH89" s="18"/>
      <c r="AI89" s="18"/>
      <c r="AJ89" s="18"/>
      <c r="AK89" s="18"/>
      <c r="AL89" s="18"/>
      <c r="AM89" s="18"/>
      <c r="AN89" s="18"/>
      <c r="AO89" s="18"/>
      <c r="AP89" s="18"/>
      <c r="AQ89" s="18"/>
      <c r="AR89" s="18"/>
      <c r="AS89" s="18"/>
      <c r="AT89" s="18"/>
      <c r="AU89" s="18"/>
      <c r="AV89" s="18"/>
      <c r="AW89" s="18"/>
    </row>
    <row r="90" spans="27:49" s="851" customFormat="1" hidden="1">
      <c r="AA90" s="1224"/>
      <c r="AB90" s="1224"/>
      <c r="AC90" s="1224"/>
      <c r="AD90" s="1224"/>
      <c r="AE90" s="1224"/>
      <c r="AF90" s="18"/>
      <c r="AG90" s="18"/>
      <c r="AH90" s="18"/>
      <c r="AI90" s="18"/>
      <c r="AJ90" s="18"/>
      <c r="AK90" s="18"/>
      <c r="AL90" s="18"/>
      <c r="AM90" s="18"/>
      <c r="AN90" s="18"/>
      <c r="AO90" s="18"/>
      <c r="AP90" s="18"/>
      <c r="AQ90" s="18"/>
      <c r="AR90" s="18"/>
      <c r="AS90" s="18"/>
      <c r="AT90" s="18"/>
      <c r="AU90" s="18"/>
      <c r="AV90" s="18"/>
      <c r="AW90" s="18"/>
    </row>
    <row r="91" spans="27:49" s="851" customFormat="1" hidden="1">
      <c r="AA91" s="1224"/>
      <c r="AB91" s="1224"/>
      <c r="AC91" s="1224"/>
      <c r="AD91" s="1224"/>
      <c r="AE91" s="1224"/>
      <c r="AF91" s="18"/>
      <c r="AG91" s="18"/>
      <c r="AH91" s="18"/>
      <c r="AI91" s="18"/>
      <c r="AJ91" s="18"/>
      <c r="AK91" s="18"/>
      <c r="AL91" s="18"/>
      <c r="AM91" s="18"/>
      <c r="AN91" s="18"/>
      <c r="AO91" s="18"/>
      <c r="AP91" s="18"/>
      <c r="AQ91" s="18"/>
      <c r="AR91" s="18"/>
      <c r="AS91" s="18"/>
      <c r="AT91" s="18"/>
      <c r="AU91" s="18"/>
      <c r="AV91" s="18"/>
      <c r="AW91" s="18"/>
    </row>
    <row r="92" spans="27:49" s="851" customFormat="1" hidden="1">
      <c r="AA92" s="1224"/>
      <c r="AB92" s="1224"/>
      <c r="AC92" s="1224"/>
      <c r="AD92" s="1224"/>
      <c r="AE92" s="1224"/>
      <c r="AF92" s="18"/>
      <c r="AG92" s="18"/>
      <c r="AH92" s="18"/>
      <c r="AI92" s="18"/>
      <c r="AJ92" s="18"/>
      <c r="AK92" s="18"/>
      <c r="AL92" s="18"/>
      <c r="AM92" s="18"/>
      <c r="AN92" s="18"/>
      <c r="AO92" s="18"/>
      <c r="AP92" s="18"/>
      <c r="AQ92" s="18"/>
      <c r="AR92" s="18"/>
      <c r="AS92" s="18"/>
      <c r="AT92" s="18"/>
      <c r="AU92" s="18"/>
      <c r="AV92" s="18"/>
      <c r="AW92" s="18"/>
    </row>
    <row r="93" spans="27:49" s="851" customFormat="1" hidden="1">
      <c r="AA93" s="1224"/>
      <c r="AB93" s="1224"/>
      <c r="AC93" s="1224"/>
      <c r="AD93" s="1224"/>
      <c r="AE93" s="1224"/>
      <c r="AF93" s="18"/>
      <c r="AG93" s="18"/>
      <c r="AH93" s="18"/>
      <c r="AI93" s="18"/>
      <c r="AJ93" s="18"/>
      <c r="AK93" s="18"/>
      <c r="AL93" s="18"/>
      <c r="AM93" s="18"/>
      <c r="AN93" s="18"/>
      <c r="AO93" s="18"/>
      <c r="AP93" s="18"/>
      <c r="AQ93" s="18"/>
      <c r="AR93" s="18"/>
      <c r="AS93" s="18"/>
      <c r="AT93" s="18"/>
      <c r="AU93" s="18"/>
      <c r="AV93" s="18"/>
      <c r="AW93" s="18"/>
    </row>
    <row r="94" spans="27:49" s="851" customFormat="1" hidden="1">
      <c r="AA94" s="1224"/>
      <c r="AB94" s="1224"/>
      <c r="AC94" s="1224"/>
      <c r="AD94" s="1224"/>
      <c r="AE94" s="1224"/>
      <c r="AF94" s="18"/>
      <c r="AG94" s="18"/>
      <c r="AH94" s="18"/>
      <c r="AI94" s="18"/>
      <c r="AJ94" s="18"/>
      <c r="AK94" s="18"/>
      <c r="AL94" s="18"/>
      <c r="AM94" s="18"/>
      <c r="AN94" s="18"/>
      <c r="AO94" s="18"/>
      <c r="AP94" s="18"/>
      <c r="AQ94" s="18"/>
      <c r="AR94" s="18"/>
      <c r="AS94" s="18"/>
      <c r="AT94" s="18"/>
      <c r="AU94" s="18"/>
      <c r="AV94" s="18"/>
      <c r="AW94" s="18"/>
    </row>
    <row r="95" spans="27:49" s="851" customFormat="1" hidden="1">
      <c r="AA95" s="1224"/>
      <c r="AB95" s="1224"/>
      <c r="AC95" s="1224"/>
      <c r="AD95" s="1224"/>
      <c r="AE95" s="1224"/>
      <c r="AF95" s="18"/>
      <c r="AG95" s="18"/>
      <c r="AH95" s="18"/>
      <c r="AI95" s="18"/>
      <c r="AJ95" s="18"/>
      <c r="AK95" s="18"/>
      <c r="AL95" s="18"/>
      <c r="AM95" s="18"/>
      <c r="AN95" s="18"/>
      <c r="AO95" s="18"/>
      <c r="AP95" s="18"/>
      <c r="AQ95" s="18"/>
      <c r="AR95" s="18"/>
      <c r="AS95" s="18"/>
      <c r="AT95" s="18"/>
      <c r="AU95" s="18"/>
      <c r="AV95" s="18"/>
      <c r="AW95" s="18"/>
    </row>
    <row r="96" spans="27:49" s="851" customFormat="1" hidden="1">
      <c r="AA96" s="1224"/>
      <c r="AB96" s="1224"/>
      <c r="AC96" s="1224"/>
      <c r="AD96" s="1224"/>
      <c r="AE96" s="1224"/>
      <c r="AF96" s="18"/>
      <c r="AG96" s="18"/>
      <c r="AH96" s="18"/>
      <c r="AI96" s="18"/>
      <c r="AJ96" s="18"/>
      <c r="AK96" s="18"/>
      <c r="AL96" s="18"/>
      <c r="AM96" s="18"/>
      <c r="AN96" s="18"/>
      <c r="AO96" s="18"/>
      <c r="AP96" s="18"/>
      <c r="AQ96" s="18"/>
      <c r="AR96" s="18"/>
      <c r="AS96" s="18"/>
      <c r="AT96" s="18"/>
      <c r="AU96" s="18"/>
      <c r="AV96" s="18"/>
      <c r="AW96" s="18"/>
    </row>
    <row r="97" spans="1:49" s="851" customFormat="1" hidden="1">
      <c r="AA97" s="1224"/>
      <c r="AB97" s="1224"/>
      <c r="AC97" s="1224"/>
      <c r="AD97" s="1224"/>
      <c r="AE97" s="1224"/>
      <c r="AF97" s="18"/>
      <c r="AG97" s="18"/>
      <c r="AH97" s="18"/>
      <c r="AI97" s="18"/>
      <c r="AJ97" s="18"/>
      <c r="AK97" s="18"/>
      <c r="AL97" s="18"/>
      <c r="AM97" s="18"/>
      <c r="AN97" s="18"/>
      <c r="AO97" s="18"/>
      <c r="AP97" s="18"/>
      <c r="AQ97" s="18"/>
      <c r="AR97" s="18"/>
      <c r="AS97" s="18"/>
      <c r="AT97" s="18"/>
      <c r="AU97" s="18"/>
      <c r="AV97" s="18"/>
      <c r="AW97" s="18"/>
    </row>
    <row r="98" spans="1:49" s="851" customFormat="1" hidden="1">
      <c r="AA98" s="1224"/>
      <c r="AB98" s="1224"/>
      <c r="AC98" s="1224"/>
      <c r="AD98" s="1224"/>
      <c r="AE98" s="1224"/>
      <c r="AF98" s="18"/>
      <c r="AG98" s="18"/>
      <c r="AH98" s="18"/>
      <c r="AI98" s="18"/>
      <c r="AJ98" s="18"/>
      <c r="AK98" s="18"/>
      <c r="AL98" s="18"/>
      <c r="AM98" s="18"/>
      <c r="AN98" s="18"/>
      <c r="AO98" s="18"/>
      <c r="AP98" s="18"/>
      <c r="AQ98" s="18"/>
      <c r="AR98" s="18"/>
      <c r="AS98" s="18"/>
      <c r="AT98" s="18"/>
      <c r="AU98" s="18"/>
      <c r="AV98" s="18"/>
      <c r="AW98" s="18"/>
    </row>
    <row r="99" spans="1:49" s="851" customFormat="1">
      <c r="AA99" s="1224"/>
      <c r="AB99" s="1224"/>
      <c r="AC99" s="1224"/>
      <c r="AD99" s="1224"/>
      <c r="AE99" s="1224"/>
      <c r="AF99" s="18"/>
      <c r="AG99" s="18"/>
      <c r="AH99" s="18"/>
      <c r="AI99" s="18"/>
      <c r="AJ99" s="18"/>
      <c r="AK99" s="18"/>
      <c r="AL99" s="18"/>
      <c r="AM99" s="18"/>
      <c r="AN99" s="18"/>
      <c r="AO99" s="18"/>
      <c r="AP99" s="18"/>
      <c r="AQ99" s="18"/>
      <c r="AR99" s="18"/>
      <c r="AS99" s="18"/>
      <c r="AT99" s="18"/>
      <c r="AU99" s="18"/>
      <c r="AV99" s="18"/>
      <c r="AW99" s="18"/>
    </row>
    <row r="100" spans="1:49" s="1018" customFormat="1" ht="21">
      <c r="A100" s="1018" t="s">
        <v>572</v>
      </c>
      <c r="B100" s="1019"/>
      <c r="C100" s="1019"/>
      <c r="D100" s="1019"/>
      <c r="E100" s="1019"/>
      <c r="F100" s="1019"/>
      <c r="G100" s="1019"/>
      <c r="H100" s="1019"/>
      <c r="I100" s="1019"/>
      <c r="J100" s="1019"/>
      <c r="K100" s="1019"/>
      <c r="L100" s="1019"/>
      <c r="M100" s="1019"/>
      <c r="N100" s="1019"/>
      <c r="O100" s="1019"/>
      <c r="P100" s="1019"/>
      <c r="Q100" s="1019"/>
      <c r="R100" s="1019"/>
      <c r="S100" s="1019"/>
      <c r="T100" s="1019"/>
      <c r="U100" s="1019"/>
      <c r="V100" s="1019"/>
      <c r="W100" s="1019"/>
      <c r="X100" s="1019"/>
      <c r="Y100" s="1019"/>
      <c r="Z100" s="1019"/>
      <c r="AA100" s="1227"/>
      <c r="AB100" s="1227"/>
      <c r="AC100" s="1227"/>
      <c r="AD100" s="1227"/>
      <c r="AE100" s="1227"/>
      <c r="AF100" s="1020"/>
      <c r="AG100" s="1020"/>
      <c r="AH100" s="1020"/>
      <c r="AI100" s="1020"/>
      <c r="AJ100" s="1020"/>
      <c r="AK100" s="1020"/>
      <c r="AL100" s="1020"/>
      <c r="AM100" s="1020"/>
      <c r="AN100" s="1020"/>
      <c r="AO100" s="1020"/>
      <c r="AP100" s="1020"/>
      <c r="AQ100" s="1020"/>
      <c r="AR100" s="1020"/>
      <c r="AS100" s="1020"/>
      <c r="AT100" s="1020"/>
      <c r="AU100" s="1020"/>
      <c r="AV100" s="1020"/>
      <c r="AW100" s="1020"/>
    </row>
    <row r="101" spans="1:49" s="851" customFormat="1" hidden="1" outlineLevel="1">
      <c r="A101" s="2" t="s">
        <v>81</v>
      </c>
      <c r="AA101" s="1224"/>
      <c r="AB101" s="1224"/>
      <c r="AC101" s="1224"/>
      <c r="AD101" s="1224"/>
      <c r="AE101" s="1224"/>
      <c r="AF101" s="18"/>
      <c r="AG101" s="18"/>
      <c r="AH101" s="18"/>
      <c r="AI101" s="18"/>
      <c r="AJ101" s="18"/>
      <c r="AK101" s="18"/>
      <c r="AL101" s="18"/>
      <c r="AM101" s="18"/>
      <c r="AN101" s="18"/>
      <c r="AO101" s="18"/>
      <c r="AP101" s="18"/>
      <c r="AQ101" s="18"/>
      <c r="AR101" s="18"/>
      <c r="AS101" s="18"/>
      <c r="AT101" s="18"/>
      <c r="AU101" s="18"/>
      <c r="AV101" s="18"/>
      <c r="AW101" s="18"/>
    </row>
    <row r="102" spans="1:49" s="851" customFormat="1" hidden="1" outlineLevel="1">
      <c r="A102" s="851" t="s">
        <v>90</v>
      </c>
      <c r="AA102" s="1224"/>
      <c r="AB102" s="1226">
        <f>AVERAGE(Model!T211:AA211)</f>
        <v>0.66107238223524911</v>
      </c>
      <c r="AC102" s="1226">
        <f>AVERAGE(Model!U211:AB211)</f>
        <v>0.64407235016073905</v>
      </c>
      <c r="AD102" s="1226">
        <f>AVERAGE(Model!V211:AC211)</f>
        <v>0.66142940583719712</v>
      </c>
      <c r="AE102" s="1226">
        <f>AVERAGE(Model!W211:AD211)</f>
        <v>0.66481646006804762</v>
      </c>
      <c r="AF102" s="924">
        <f>AVERAGE(Model!X211:AE211)</f>
        <v>0.65982669138477357</v>
      </c>
      <c r="AG102" s="924">
        <f>Model!AC211*0.9</f>
        <v>0.63238027162258759</v>
      </c>
      <c r="AH102" s="924">
        <f>Model!AD211*0.9</f>
        <v>0.62481536189069431</v>
      </c>
      <c r="AI102" s="924">
        <f>Model!AE211*0.9</f>
        <v>0.5553736654804271</v>
      </c>
      <c r="AJ102" s="924">
        <f>Model!AF211*0.9</f>
        <v>0.59977255496588322</v>
      </c>
      <c r="AK102" s="924">
        <f t="shared" ref="AK102:AS102" si="52">AJ102-0.1%</f>
        <v>0.59877255496588322</v>
      </c>
      <c r="AL102" s="924">
        <f t="shared" si="52"/>
        <v>0.59777255496588322</v>
      </c>
      <c r="AM102" s="924">
        <f t="shared" si="52"/>
        <v>0.59677255496588322</v>
      </c>
      <c r="AN102" s="924">
        <f t="shared" si="52"/>
        <v>0.59577255496588322</v>
      </c>
      <c r="AO102" s="924">
        <f t="shared" si="52"/>
        <v>0.59477255496588322</v>
      </c>
      <c r="AP102" s="924">
        <f t="shared" si="52"/>
        <v>0.59377255496588321</v>
      </c>
      <c r="AQ102" s="924">
        <f t="shared" si="52"/>
        <v>0.59277255496588321</v>
      </c>
      <c r="AR102" s="924">
        <f t="shared" si="52"/>
        <v>0.59177255496588321</v>
      </c>
      <c r="AS102" s="924">
        <f t="shared" si="52"/>
        <v>0.59077255496588321</v>
      </c>
      <c r="AT102" s="924">
        <f t="shared" ref="AT102" si="53">AS102-0.1%</f>
        <v>0.58977255496588321</v>
      </c>
      <c r="AU102" s="924">
        <f t="shared" ref="AU102" si="54">AT102-0.1%</f>
        <v>0.58877255496588321</v>
      </c>
      <c r="AV102" s="924">
        <f t="shared" ref="AV102" si="55">AU102-0.1%</f>
        <v>0.58777255496588321</v>
      </c>
      <c r="AW102" s="924">
        <f t="shared" ref="AW102" si="56">AV102-0.1%</f>
        <v>0.58677255496588321</v>
      </c>
    </row>
    <row r="103" spans="1:49" s="851" customFormat="1" hidden="1" outlineLevel="1">
      <c r="A103" s="851" t="s">
        <v>569</v>
      </c>
      <c r="AA103" s="1224"/>
      <c r="AB103" s="1226" t="s">
        <v>743</v>
      </c>
      <c r="AC103" s="1226">
        <f>LOOKUP(AC$2,'Growth Calculations'!$B$1:$I$1,'Growth Calculations'!$B$41:$I$41)</f>
        <v>1.1235689478759803E-2</v>
      </c>
      <c r="AD103" s="1226">
        <f>LOOKUP(AD$2,'Growth Calculations'!$B$1:$I$1,'Growth Calculations'!$B$41:$I$41)</f>
        <v>1.2235298138943862E-2</v>
      </c>
      <c r="AE103" s="1226">
        <f>LOOKUP(AE$2,'Growth Calculations'!$B$1:$I$1,'Growth Calculations'!$B$41:$I$41)</f>
        <v>1.2235298138943862E-2</v>
      </c>
      <c r="AF103" s="924">
        <f>LOOKUP(AF$2,'Growth Calculations'!$B$1:$I$1,'Growth Calculations'!$B$41:$I$41)</f>
        <v>1.2235298138943862E-2</v>
      </c>
      <c r="AG103" s="924">
        <f>LOOKUP(AG$2,'Growth Calculations'!$B$1:$I$1,'Growth Calculations'!$B$41:$I$41)</f>
        <v>1.2235298138943862E-2</v>
      </c>
      <c r="AH103" s="924">
        <f>LOOKUP(AH$2,'Growth Calculations'!$B$1:$I$1,'Growth Calculations'!$B$41:$I$41)</f>
        <v>1.0936987845341972E-2</v>
      </c>
      <c r="AI103" s="924">
        <f>LOOKUP(AI$2,'Growth Calculations'!$B$1:$I$1,'Growth Calculations'!$B$41:$I$41)</f>
        <v>1.0936987845341972E-2</v>
      </c>
      <c r="AJ103" s="924">
        <f>LOOKUP(AJ$2,'Growth Calculations'!$B$1:$I$1,'Growth Calculations'!$B$41:$I$41)</f>
        <v>1.0936987845341972E-2</v>
      </c>
      <c r="AK103" s="924">
        <f>LOOKUP(AK$2,'Growth Calculations'!$B$1:$I$1,'Growth Calculations'!$B$41:$I$41)</f>
        <v>1.0936987845341972E-2</v>
      </c>
      <c r="AL103" s="924">
        <f>LOOKUP(AL$2,'Growth Calculations'!$B$1:$I$1,'Growth Calculations'!$B$41:$I$41)</f>
        <v>1.0607585452034496E-2</v>
      </c>
      <c r="AM103" s="924">
        <f>LOOKUP(AM$2,'Growth Calculations'!$B$1:$I$1,'Growth Calculations'!$B$41:$I$41)</f>
        <v>1.0607585452034496E-2</v>
      </c>
      <c r="AN103" s="924">
        <f>LOOKUP(AN$2,'Growth Calculations'!$B$1:$I$1,'Growth Calculations'!$B$41:$I$41)</f>
        <v>1.0607585452034496E-2</v>
      </c>
      <c r="AO103" s="924">
        <f>LOOKUP(AO$2,'Growth Calculations'!$B$1:$I$1,'Growth Calculations'!$B$41:$I$41)</f>
        <v>1.0607585452034496E-2</v>
      </c>
      <c r="AP103" s="924">
        <f>LOOKUP(AP$2,'Growth Calculations'!$B$1:$I$1,'Growth Calculations'!$B$41:$I$41)</f>
        <v>1.0249374581586257E-2</v>
      </c>
      <c r="AQ103" s="924">
        <f>LOOKUP(AQ$2,'Growth Calculations'!$B$1:$I$1,'Growth Calculations'!$B$41:$I$41)</f>
        <v>1.0249374581586257E-2</v>
      </c>
      <c r="AR103" s="924">
        <f>LOOKUP(AR$2,'Growth Calculations'!$B$1:$I$1,'Growth Calculations'!$B$41:$I$41)</f>
        <v>1.0249374581586257E-2</v>
      </c>
      <c r="AS103" s="924">
        <f>LOOKUP(AS$2,'Growth Calculations'!$B$1:$I$1,'Growth Calculations'!$B$41:$I$41)</f>
        <v>1.0249374581586257E-2</v>
      </c>
      <c r="AT103" s="924">
        <f>LOOKUP(AT$2,'Growth Calculations'!$B$1:$I$1,'Growth Calculations'!$B$41:$I$41)</f>
        <v>9.8893027648077059E-3</v>
      </c>
      <c r="AU103" s="924">
        <f>LOOKUP(AU$2,'Growth Calculations'!$B$1:$I$1,'Growth Calculations'!$B$41:$I$41)</f>
        <v>9.8893027648077059E-3</v>
      </c>
      <c r="AV103" s="924">
        <f>LOOKUP(AV$2,'Growth Calculations'!$B$1:$I$1,'Growth Calculations'!$B$41:$I$41)</f>
        <v>9.8893027648077059E-3</v>
      </c>
      <c r="AW103" s="924">
        <f>LOOKUP(AW$2,'Growth Calculations'!$B$1:$I$1,'Growth Calculations'!$B$41:$I$41)</f>
        <v>9.8893027648077059E-3</v>
      </c>
    </row>
    <row r="104" spans="1:49" s="851" customFormat="1" hidden="1" outlineLevel="1">
      <c r="A104" s="851" t="s">
        <v>570</v>
      </c>
      <c r="AA104" s="1224"/>
      <c r="AB104" s="1226">
        <f>4%^1/4</f>
        <v>0.01</v>
      </c>
      <c r="AC104" s="1226">
        <f t="shared" ref="AC104:AE104" si="57">4%^1/4</f>
        <v>0.01</v>
      </c>
      <c r="AD104" s="1226">
        <f t="shared" si="57"/>
        <v>0.01</v>
      </c>
      <c r="AE104" s="1226">
        <f t="shared" si="57"/>
        <v>0.01</v>
      </c>
      <c r="AF104" s="924">
        <f>'Growth Calculations'!H340^1/4</f>
        <v>4.5998440367560622E-3</v>
      </c>
      <c r="AG104" s="924">
        <f>AF104</f>
        <v>4.5998440367560622E-3</v>
      </c>
      <c r="AH104" s="924">
        <f t="shared" ref="AH104:AS104" si="58">AG104</f>
        <v>4.5998440367560622E-3</v>
      </c>
      <c r="AI104" s="924">
        <f t="shared" si="58"/>
        <v>4.5998440367560622E-3</v>
      </c>
      <c r="AJ104" s="924">
        <f t="shared" si="58"/>
        <v>4.5998440367560622E-3</v>
      </c>
      <c r="AK104" s="924">
        <f t="shared" si="58"/>
        <v>4.5998440367560622E-3</v>
      </c>
      <c r="AL104" s="924">
        <f t="shared" si="58"/>
        <v>4.5998440367560622E-3</v>
      </c>
      <c r="AM104" s="924">
        <f t="shared" si="58"/>
        <v>4.5998440367560622E-3</v>
      </c>
      <c r="AN104" s="924">
        <f t="shared" si="58"/>
        <v>4.5998440367560622E-3</v>
      </c>
      <c r="AO104" s="924">
        <f t="shared" si="58"/>
        <v>4.5998440367560622E-3</v>
      </c>
      <c r="AP104" s="924">
        <f t="shared" si="58"/>
        <v>4.5998440367560622E-3</v>
      </c>
      <c r="AQ104" s="924">
        <f t="shared" si="58"/>
        <v>4.5998440367560622E-3</v>
      </c>
      <c r="AR104" s="924">
        <f t="shared" si="58"/>
        <v>4.5998440367560622E-3</v>
      </c>
      <c r="AS104" s="924">
        <f t="shared" si="58"/>
        <v>4.5998440367560622E-3</v>
      </c>
      <c r="AT104" s="924">
        <f t="shared" ref="AT104" si="59">AS104</f>
        <v>4.5998440367560622E-3</v>
      </c>
      <c r="AU104" s="924">
        <f t="shared" ref="AU104" si="60">AT104</f>
        <v>4.5998440367560622E-3</v>
      </c>
      <c r="AV104" s="924">
        <f t="shared" ref="AV104" si="61">AU104</f>
        <v>4.5998440367560622E-3</v>
      </c>
      <c r="AW104" s="924">
        <f t="shared" ref="AW104" si="62">AV104</f>
        <v>4.5998440367560622E-3</v>
      </c>
    </row>
    <row r="105" spans="1:49" s="851" customFormat="1" hidden="1" outlineLevel="1">
      <c r="AA105" s="1224"/>
      <c r="AB105" s="1224"/>
      <c r="AC105" s="1224"/>
      <c r="AD105" s="1224"/>
      <c r="AE105" s="1224"/>
      <c r="AF105" s="18"/>
      <c r="AG105" s="18"/>
      <c r="AH105" s="18"/>
      <c r="AI105" s="18"/>
      <c r="AJ105" s="18"/>
      <c r="AK105" s="18"/>
      <c r="AL105" s="18"/>
      <c r="AM105" s="18"/>
      <c r="AN105" s="18"/>
      <c r="AO105" s="18"/>
      <c r="AP105" s="18"/>
      <c r="AQ105" s="18"/>
      <c r="AR105" s="18"/>
      <c r="AS105" s="18"/>
      <c r="AT105" s="18"/>
      <c r="AU105" s="18"/>
      <c r="AV105" s="18"/>
      <c r="AW105" s="18"/>
    </row>
    <row r="106" spans="1:49" s="851" customFormat="1" hidden="1" outlineLevel="1">
      <c r="A106" s="2" t="s">
        <v>101</v>
      </c>
      <c r="AA106" s="1224"/>
      <c r="AB106" s="1224"/>
      <c r="AC106" s="1224"/>
      <c r="AD106" s="1224"/>
      <c r="AE106" s="1224"/>
      <c r="AF106" s="18"/>
      <c r="AG106" s="18"/>
      <c r="AH106" s="18"/>
      <c r="AI106" s="18"/>
      <c r="AJ106" s="18"/>
      <c r="AK106" s="18"/>
      <c r="AL106" s="18"/>
      <c r="AM106" s="18"/>
      <c r="AN106" s="18"/>
      <c r="AO106" s="18"/>
      <c r="AP106" s="18"/>
      <c r="AQ106" s="18"/>
      <c r="AR106" s="18"/>
      <c r="AS106" s="18"/>
      <c r="AT106" s="18"/>
      <c r="AU106" s="18"/>
      <c r="AV106" s="18"/>
      <c r="AW106" s="18"/>
    </row>
    <row r="107" spans="1:49" s="851" customFormat="1" hidden="1" outlineLevel="1">
      <c r="A107" s="851" t="s">
        <v>90</v>
      </c>
      <c r="AA107" s="1224"/>
      <c r="AB107" s="1226">
        <f>AVERAGE(Model!T299:AA299)</f>
        <v>0.78860426619109569</v>
      </c>
      <c r="AC107" s="1226">
        <f>AVERAGE(Model!U299:AB299)</f>
        <v>0.78892208509189088</v>
      </c>
      <c r="AD107" s="1226">
        <f>AVERAGE(Model!V299:AC299)</f>
        <v>0.79821375175855758</v>
      </c>
      <c r="AE107" s="1226">
        <f>AVERAGE(Model!W299:AD299)</f>
        <v>0.79943587486292866</v>
      </c>
      <c r="AF107" s="924">
        <f>Model!AC299*0.1+Model!AD299*0.2+Model!AE299*0.3+Model!AF299*0.4</f>
        <v>0.72399999999999998</v>
      </c>
      <c r="AG107" s="924">
        <f>AF107*(1+AG108)</f>
        <v>0.71866288620274765</v>
      </c>
      <c r="AH107" s="924">
        <f t="shared" ref="AH107:AS107" si="63">AG107*(1+AH108)</f>
        <v>0.71336511602936947</v>
      </c>
      <c r="AI107" s="924">
        <f t="shared" si="63"/>
        <v>0.70810639945031029</v>
      </c>
      <c r="AJ107" s="924">
        <f t="shared" si="63"/>
        <v>0.70288644857402727</v>
      </c>
      <c r="AK107" s="924">
        <f t="shared" si="63"/>
        <v>0.69770497763122874</v>
      </c>
      <c r="AL107" s="924">
        <f t="shared" si="63"/>
        <v>0.69256170295922981</v>
      </c>
      <c r="AM107" s="924">
        <f t="shared" si="63"/>
        <v>0.68745634298642289</v>
      </c>
      <c r="AN107" s="924">
        <f t="shared" si="63"/>
        <v>0.68238861821686292</v>
      </c>
      <c r="AO107" s="924">
        <f t="shared" si="63"/>
        <v>0.67735825121496629</v>
      </c>
      <c r="AP107" s="924">
        <f t="shared" si="63"/>
        <v>0.67236496659032252</v>
      </c>
      <c r="AQ107" s="924">
        <f t="shared" si="63"/>
        <v>0.66740849098261767</v>
      </c>
      <c r="AR107" s="924">
        <f t="shared" si="63"/>
        <v>0.6624885530466692</v>
      </c>
      <c r="AS107" s="924">
        <f t="shared" si="63"/>
        <v>0.65760488343757106</v>
      </c>
      <c r="AT107" s="924">
        <f t="shared" ref="AT107" si="64">AS107*(1+AT108)</f>
        <v>0.65275721479594795</v>
      </c>
      <c r="AU107" s="924">
        <f t="shared" ref="AU107" si="65">AT107*(1+AU108)</f>
        <v>0.64794528173331889</v>
      </c>
      <c r="AV107" s="924">
        <f t="shared" ref="AV107" si="66">AU107*(1+AV108)</f>
        <v>0.64316882081756832</v>
      </c>
      <c r="AW107" s="924">
        <f t="shared" ref="AW107" si="67">AV107*(1+AW108)</f>
        <v>0.63842757055852417</v>
      </c>
    </row>
    <row r="108" spans="1:49" s="851" customFormat="1" hidden="1" outlineLevel="1">
      <c r="A108" s="851" t="s">
        <v>615</v>
      </c>
      <c r="AA108" s="1224"/>
      <c r="AB108" s="1226"/>
      <c r="AC108" s="1226"/>
      <c r="AD108" s="1226"/>
      <c r="AE108" s="1226"/>
      <c r="AF108" s="924">
        <f>(Model!AF299/Model!N299)^(1/COUNT(Model!$O295:AF295))-1</f>
        <v>-7.3717041398512206E-3</v>
      </c>
      <c r="AG108" s="924">
        <f>AF108</f>
        <v>-7.3717041398512206E-3</v>
      </c>
      <c r="AH108" s="924">
        <f t="shared" ref="AH108:AS108" si="68">AG108</f>
        <v>-7.3717041398512206E-3</v>
      </c>
      <c r="AI108" s="924">
        <f t="shared" si="68"/>
        <v>-7.3717041398512206E-3</v>
      </c>
      <c r="AJ108" s="924">
        <f t="shared" si="68"/>
        <v>-7.3717041398512206E-3</v>
      </c>
      <c r="AK108" s="924">
        <f t="shared" si="68"/>
        <v>-7.3717041398512206E-3</v>
      </c>
      <c r="AL108" s="924">
        <f t="shared" si="68"/>
        <v>-7.3717041398512206E-3</v>
      </c>
      <c r="AM108" s="924">
        <f t="shared" si="68"/>
        <v>-7.3717041398512206E-3</v>
      </c>
      <c r="AN108" s="924">
        <f t="shared" si="68"/>
        <v>-7.3717041398512206E-3</v>
      </c>
      <c r="AO108" s="924">
        <f t="shared" si="68"/>
        <v>-7.3717041398512206E-3</v>
      </c>
      <c r="AP108" s="924">
        <f t="shared" si="68"/>
        <v>-7.3717041398512206E-3</v>
      </c>
      <c r="AQ108" s="924">
        <f t="shared" si="68"/>
        <v>-7.3717041398512206E-3</v>
      </c>
      <c r="AR108" s="924">
        <f t="shared" si="68"/>
        <v>-7.3717041398512206E-3</v>
      </c>
      <c r="AS108" s="924">
        <f t="shared" si="68"/>
        <v>-7.3717041398512206E-3</v>
      </c>
      <c r="AT108" s="924">
        <f t="shared" ref="AT108" si="69">AS108</f>
        <v>-7.3717041398512206E-3</v>
      </c>
      <c r="AU108" s="924">
        <f t="shared" ref="AU108" si="70">AT108</f>
        <v>-7.3717041398512206E-3</v>
      </c>
      <c r="AV108" s="924">
        <f t="shared" ref="AV108" si="71">AU108</f>
        <v>-7.3717041398512206E-3</v>
      </c>
      <c r="AW108" s="924">
        <f t="shared" ref="AW108" si="72">AV108</f>
        <v>-7.3717041398512206E-3</v>
      </c>
    </row>
    <row r="109" spans="1:49" s="851" customFormat="1" hidden="1" outlineLevel="1">
      <c r="A109" s="851" t="s">
        <v>569</v>
      </c>
      <c r="AA109" s="1224"/>
      <c r="AB109" s="1226">
        <f>LOOKUP(AB$2,'Growth Calculations'!$AG$1:$AN$1,'Growth Calculations'!$AF$333:$AM$333)</f>
        <v>1.1931467091168591E-2</v>
      </c>
      <c r="AC109" s="1226">
        <f>LOOKUP(AC$2,'Growth Calculations'!$AG$1:$AN$1,'Growth Calculations'!$AF$333:$AM$333)</f>
        <v>1.1931467091168591E-2</v>
      </c>
      <c r="AD109" s="1226">
        <f>LOOKUP(AD$2,'Growth Calculations'!$AG$1:$AN$1,'Growth Calculations'!$AF$333:$AM$333)</f>
        <v>1.0697734151279394E-2</v>
      </c>
      <c r="AE109" s="1226">
        <f>LOOKUP(AE$2,'Growth Calculations'!$AG$1:$AN$1,'Growth Calculations'!$AF$333:$AM$333)</f>
        <v>1.0697734151279394E-2</v>
      </c>
      <c r="AF109" s="924">
        <f>LOOKUP(AF$2,'Growth Calculations'!$AF$1:$AM$1,'Growth Calculations'!$AF$333:$AM$333)</f>
        <v>1.330437129256128E-2</v>
      </c>
      <c r="AG109" s="924">
        <f>LOOKUP(AG$2,'Growth Calculations'!$AF$1:$AM$1,'Growth Calculations'!$AF$333:$AM$333)</f>
        <v>1.330437129256128E-2</v>
      </c>
      <c r="AH109" s="924">
        <f>LOOKUP(AH$2,'Growth Calculations'!$AF$1:$AM$1,'Growth Calculations'!$AF$333:$AM$333)</f>
        <v>1.3963584811956779E-2</v>
      </c>
      <c r="AI109" s="924">
        <f>LOOKUP(AI$2,'Growth Calculations'!$AF$1:$AM$1,'Growth Calculations'!$AF$333:$AM$333)</f>
        <v>1.3963584811956779E-2</v>
      </c>
      <c r="AJ109" s="924">
        <f>LOOKUP(AJ$2,'Growth Calculations'!$AF$1:$AM$1,'Growth Calculations'!$AF$333:$AM$333)</f>
        <v>1.3963584811956779E-2</v>
      </c>
      <c r="AK109" s="924">
        <f>LOOKUP(AK$2,'Growth Calculations'!$AF$1:$AM$1,'Growth Calculations'!$AF$333:$AM$333)</f>
        <v>1.3963584811956779E-2</v>
      </c>
      <c r="AL109" s="924">
        <f>LOOKUP(AL$2,'Growth Calculations'!$AF$1:$AM$1,'Growth Calculations'!$AF$333:$AM$333)</f>
        <v>1.4155074365028031E-2</v>
      </c>
      <c r="AM109" s="924">
        <f>LOOKUP(AM$2,'Growth Calculations'!$AF$1:$AM$1,'Growth Calculations'!$AF$333:$AM$333)</f>
        <v>1.4155074365028031E-2</v>
      </c>
      <c r="AN109" s="924">
        <f>LOOKUP(AN$2,'Growth Calculations'!$AF$1:$AM$1,'Growth Calculations'!$AF$333:$AM$333)</f>
        <v>1.4155074365028031E-2</v>
      </c>
      <c r="AO109" s="924">
        <f>LOOKUP(AO$2,'Growth Calculations'!$AF$1:$AM$1,'Growth Calculations'!$AF$333:$AM$333)</f>
        <v>1.4155074365028031E-2</v>
      </c>
      <c r="AP109" s="924">
        <f>LOOKUP(AP$2,'Growth Calculations'!$AF$1:$AM$1,'Growth Calculations'!$AF$333:$AM$333)</f>
        <v>1.4092022542133119E-2</v>
      </c>
      <c r="AQ109" s="924">
        <f>LOOKUP(AQ$2,'Growth Calculations'!$AF$1:$AM$1,'Growth Calculations'!$AF$333:$AM$333)</f>
        <v>1.4092022542133119E-2</v>
      </c>
      <c r="AR109" s="924">
        <f>LOOKUP(AR$2,'Growth Calculations'!$AF$1:$AM$1,'Growth Calculations'!$AF$333:$AM$333)</f>
        <v>1.4092022542133119E-2</v>
      </c>
      <c r="AS109" s="924">
        <f>LOOKUP(AS$2,'Growth Calculations'!$AF$1:$AM$1,'Growth Calculations'!$AF$333:$AM$333)</f>
        <v>1.4092022542133119E-2</v>
      </c>
      <c r="AT109" s="924">
        <f>LOOKUP(AT$2,'Growth Calculations'!$AF$1:$AM$1,'Growth Calculations'!$AF$333:$AM$333)</f>
        <v>1.3940725044951261E-2</v>
      </c>
      <c r="AU109" s="924">
        <f>LOOKUP(AU$2,'Growth Calculations'!$AF$1:$AM$1,'Growth Calculations'!$AF$333:$AM$333)</f>
        <v>1.3940725044951261E-2</v>
      </c>
      <c r="AV109" s="924">
        <f>LOOKUP(AV$2,'Growth Calculations'!$AF$1:$AM$1,'Growth Calculations'!$AF$333:$AM$333)</f>
        <v>1.3940725044951261E-2</v>
      </c>
      <c r="AW109" s="924">
        <f>LOOKUP(AW$2,'Growth Calculations'!$AF$1:$AM$1,'Growth Calculations'!$AF$333:$AM$333)</f>
        <v>1.3940725044951261E-2</v>
      </c>
    </row>
    <row r="110" spans="1:49" s="851" customFormat="1" hidden="1" outlineLevel="1">
      <c r="A110" s="851" t="s">
        <v>570</v>
      </c>
      <c r="AA110" s="1224"/>
      <c r="AB110" s="1226">
        <f>(('Growth Calculations'!$H$339+1)^(1/4))-1</f>
        <v>1.2669272758174532E-2</v>
      </c>
      <c r="AC110" s="1226">
        <f>(('Growth Calculations'!$H$339+1)^(1/4))-1</f>
        <v>1.2669272758174532E-2</v>
      </c>
      <c r="AD110" s="1226">
        <f>(('Growth Calculations'!$H$339+1)^(1/4))-1</f>
        <v>1.2669272758174532E-2</v>
      </c>
      <c r="AE110" s="1226">
        <f>(('Growth Calculations'!$H$339+1)^(1/4))-1</f>
        <v>1.2669272758174532E-2</v>
      </c>
      <c r="AF110" s="924">
        <f>(('Growth Calculations'!$H$339+1)^(1/4))-1</f>
        <v>1.2669272758174532E-2</v>
      </c>
      <c r="AG110" s="924">
        <f>(('Growth Calculations'!$H$339+1)^(1/4))-1</f>
        <v>1.2669272758174532E-2</v>
      </c>
      <c r="AH110" s="924">
        <f>(('Growth Calculations'!$H$339+1)^(1/4))-1</f>
        <v>1.2669272758174532E-2</v>
      </c>
      <c r="AI110" s="924">
        <f>(('Growth Calculations'!$H$339+1)^(1/4))-1</f>
        <v>1.2669272758174532E-2</v>
      </c>
      <c r="AJ110" s="924">
        <f>(('Growth Calculations'!$H$339+1)^(1/4))-1</f>
        <v>1.2669272758174532E-2</v>
      </c>
      <c r="AK110" s="924">
        <f>(('Growth Calculations'!$H$339+1)^(1/4))-1</f>
        <v>1.2669272758174532E-2</v>
      </c>
      <c r="AL110" s="924">
        <f>(('Growth Calculations'!$H$339+1)^(1/4))-1</f>
        <v>1.2669272758174532E-2</v>
      </c>
      <c r="AM110" s="924">
        <f>(('Growth Calculations'!$H$339+1)^(1/4))-1</f>
        <v>1.2669272758174532E-2</v>
      </c>
      <c r="AN110" s="924">
        <f>(('Growth Calculations'!$H$339+1)^(1/4))-1</f>
        <v>1.2669272758174532E-2</v>
      </c>
      <c r="AO110" s="924">
        <f>(('Growth Calculations'!$H$339+1)^(1/4))-1</f>
        <v>1.2669272758174532E-2</v>
      </c>
      <c r="AP110" s="924">
        <f>(('Growth Calculations'!$H$339+1)^(1/4))-1</f>
        <v>1.2669272758174532E-2</v>
      </c>
      <c r="AQ110" s="924">
        <f>(('Growth Calculations'!$H$339+1)^(1/4))-1</f>
        <v>1.2669272758174532E-2</v>
      </c>
      <c r="AR110" s="924">
        <f>(('Growth Calculations'!$H$339+1)^(1/4))-1</f>
        <v>1.2669272758174532E-2</v>
      </c>
      <c r="AS110" s="924">
        <f>(('Growth Calculations'!$H$339+1)^(1/4))-1</f>
        <v>1.2669272758174532E-2</v>
      </c>
      <c r="AT110" s="924">
        <f>(('Growth Calculations'!$H$339+1)^(1/4))-1</f>
        <v>1.2669272758174532E-2</v>
      </c>
      <c r="AU110" s="924">
        <f>(('Growth Calculations'!$H$339+1)^(1/4))-1</f>
        <v>1.2669272758174532E-2</v>
      </c>
      <c r="AV110" s="924">
        <f>(('Growth Calculations'!$H$339+1)^(1/4))-1</f>
        <v>1.2669272758174532E-2</v>
      </c>
      <c r="AW110" s="924">
        <f>(('Growth Calculations'!$H$339+1)^(1/4))-1</f>
        <v>1.2669272758174532E-2</v>
      </c>
    </row>
    <row r="111" spans="1:49" s="851" customFormat="1" hidden="1" outlineLevel="1">
      <c r="AA111" s="1224"/>
      <c r="AB111" s="1224"/>
      <c r="AC111" s="1224"/>
      <c r="AD111" s="1224"/>
      <c r="AE111" s="1224"/>
      <c r="AF111" s="18"/>
      <c r="AG111" s="18"/>
      <c r="AH111" s="18"/>
      <c r="AI111" s="18"/>
      <c r="AJ111" s="18"/>
      <c r="AK111" s="18"/>
      <c r="AL111" s="18"/>
      <c r="AM111" s="18"/>
      <c r="AN111" s="18"/>
      <c r="AO111" s="18"/>
      <c r="AP111" s="18"/>
      <c r="AQ111" s="18"/>
      <c r="AR111" s="18"/>
      <c r="AS111" s="18"/>
      <c r="AT111" s="18"/>
      <c r="AU111" s="18"/>
      <c r="AV111" s="18"/>
      <c r="AW111" s="18"/>
    </row>
    <row r="112" spans="1:49" s="851" customFormat="1" hidden="1" outlineLevel="1">
      <c r="A112" s="2" t="s">
        <v>116</v>
      </c>
      <c r="AA112" s="1224"/>
      <c r="AB112" s="1224"/>
      <c r="AC112" s="1224"/>
      <c r="AD112" s="1224"/>
      <c r="AE112" s="1224"/>
      <c r="AF112" s="18"/>
      <c r="AG112" s="18"/>
      <c r="AH112" s="18"/>
      <c r="AI112" s="18"/>
      <c r="AJ112" s="18"/>
      <c r="AK112" s="18"/>
      <c r="AL112" s="18"/>
      <c r="AM112" s="18"/>
      <c r="AN112" s="18"/>
      <c r="AO112" s="18"/>
      <c r="AP112" s="18"/>
      <c r="AQ112" s="18"/>
      <c r="AR112" s="18"/>
      <c r="AS112" s="18"/>
      <c r="AT112" s="18"/>
      <c r="AU112" s="18"/>
      <c r="AV112" s="18"/>
      <c r="AW112" s="18"/>
    </row>
    <row r="113" spans="1:49" s="851" customFormat="1" hidden="1" outlineLevel="1">
      <c r="A113" s="851" t="s">
        <v>90</v>
      </c>
      <c r="AA113" s="1224"/>
      <c r="AB113" s="1226">
        <f>AVERAGE(Model!T421:AA421)</f>
        <v>0.83835420654332871</v>
      </c>
      <c r="AC113" s="1226">
        <f>AVERAGE(Model!U421:AB421)</f>
        <v>0.85918205597739039</v>
      </c>
      <c r="AD113" s="1226">
        <f>AVERAGE(Model!V421:AC421)</f>
        <v>0.86425134945565119</v>
      </c>
      <c r="AE113" s="1226">
        <f>AVERAGE(Model!W421:AD421)</f>
        <v>0.89595539357329834</v>
      </c>
      <c r="AF113" s="924">
        <f>Model!AC421*0.1+Model!AD421*0.2+Model!AE421*0.3+Model!AF421*0.4</f>
        <v>0.78590000000000004</v>
      </c>
      <c r="AG113" s="924">
        <f>AF113</f>
        <v>0.78590000000000004</v>
      </c>
      <c r="AH113" s="924">
        <f t="shared" ref="AH113:AS113" si="73">AG113</f>
        <v>0.78590000000000004</v>
      </c>
      <c r="AI113" s="924">
        <f t="shared" si="73"/>
        <v>0.78590000000000004</v>
      </c>
      <c r="AJ113" s="924">
        <f t="shared" si="73"/>
        <v>0.78590000000000004</v>
      </c>
      <c r="AK113" s="924">
        <f t="shared" si="73"/>
        <v>0.78590000000000004</v>
      </c>
      <c r="AL113" s="924">
        <f t="shared" si="73"/>
        <v>0.78590000000000004</v>
      </c>
      <c r="AM113" s="924">
        <f t="shared" si="73"/>
        <v>0.78590000000000004</v>
      </c>
      <c r="AN113" s="924">
        <f t="shared" si="73"/>
        <v>0.78590000000000004</v>
      </c>
      <c r="AO113" s="924">
        <f t="shared" si="73"/>
        <v>0.78590000000000004</v>
      </c>
      <c r="AP113" s="924">
        <f t="shared" si="73"/>
        <v>0.78590000000000004</v>
      </c>
      <c r="AQ113" s="924">
        <f t="shared" si="73"/>
        <v>0.78590000000000004</v>
      </c>
      <c r="AR113" s="924">
        <f t="shared" si="73"/>
        <v>0.78590000000000004</v>
      </c>
      <c r="AS113" s="924">
        <f t="shared" si="73"/>
        <v>0.78590000000000004</v>
      </c>
      <c r="AT113" s="924">
        <f t="shared" ref="AT113" si="74">AS113</f>
        <v>0.78590000000000004</v>
      </c>
      <c r="AU113" s="924">
        <f t="shared" ref="AU113" si="75">AT113</f>
        <v>0.78590000000000004</v>
      </c>
      <c r="AV113" s="924">
        <f t="shared" ref="AV113" si="76">AU113</f>
        <v>0.78590000000000004</v>
      </c>
      <c r="AW113" s="924">
        <f t="shared" ref="AW113" si="77">AV113</f>
        <v>0.78590000000000004</v>
      </c>
    </row>
    <row r="114" spans="1:49" s="851" customFormat="1" hidden="1" outlineLevel="1">
      <c r="A114" s="851" t="s">
        <v>569</v>
      </c>
      <c r="AA114" s="1224"/>
      <c r="AB114" s="1226">
        <f>LOOKUP(AB$2,'Growth Calculations'!$AF$1:$AM$1,'Growth Calculations'!$AF$332:$AM$332)</f>
        <v>4.2790936605117576E-2</v>
      </c>
      <c r="AC114" s="1226">
        <f>LOOKUP(AC$2,'Growth Calculations'!$AF$1:$AM$1,'Growth Calculations'!$AF$332:$AM$332)</f>
        <v>4.2790936605117576E-2</v>
      </c>
      <c r="AD114" s="1226">
        <f>LOOKUP(AD$2,'Growth Calculations'!$AF$1:$AM$1,'Growth Calculations'!$AF$332:$AM$332)</f>
        <v>5.3217485170245118E-2</v>
      </c>
      <c r="AE114" s="1226">
        <f>LOOKUP(AE$2,'Growth Calculations'!$AF$1:$AM$1,'Growth Calculations'!$AF$332:$AM$332)</f>
        <v>5.3217485170245118E-2</v>
      </c>
      <c r="AF114" s="924">
        <f>LOOKUP(AF$2,'Growth Calculations'!$AF$1:$AM$1,'Growth Calculations'!$AF$332:$AM$332)</f>
        <v>5.3217485170245118E-2</v>
      </c>
      <c r="AG114" s="924">
        <f>LOOKUP(AG$2,'Growth Calculations'!$AF$1:$AM$1,'Growth Calculations'!$AF$332:$AM$332)</f>
        <v>5.3217485170245118E-2</v>
      </c>
      <c r="AH114" s="924">
        <f>LOOKUP(AH$2,'Growth Calculations'!$AF$1:$AM$1,'Growth Calculations'!$AF$332:$AM$332)</f>
        <v>5.5854339247827116E-2</v>
      </c>
      <c r="AI114" s="924">
        <f>LOOKUP(AI$2,'Growth Calculations'!$AF$1:$AM$1,'Growth Calculations'!$AF$332:$AM$332)</f>
        <v>5.5854339247827116E-2</v>
      </c>
      <c r="AJ114" s="924">
        <f>LOOKUP(AJ$2,'Growth Calculations'!$AF$1:$AM$1,'Growth Calculations'!$AF$332:$AM$332)</f>
        <v>5.5854339247827116E-2</v>
      </c>
      <c r="AK114" s="924">
        <f>LOOKUP(AK$2,'Growth Calculations'!$AF$1:$AM$1,'Growth Calculations'!$AF$332:$AM$332)</f>
        <v>5.5854339247827116E-2</v>
      </c>
      <c r="AL114" s="924">
        <f>LOOKUP(AL$2,'Growth Calculations'!$AF$1:$AM$1,'Growth Calculations'!$AF$332:$AM$332)</f>
        <v>5.6620297460112122E-2</v>
      </c>
      <c r="AM114" s="924">
        <f>LOOKUP(AM$2,'Growth Calculations'!$AF$1:$AM$1,'Growth Calculations'!$AF$332:$AM$332)</f>
        <v>5.6620297460112122E-2</v>
      </c>
      <c r="AN114" s="924">
        <f>LOOKUP(AN$2,'Growth Calculations'!$AF$1:$AM$1,'Growth Calculations'!$AF$332:$AM$332)</f>
        <v>5.6620297460112122E-2</v>
      </c>
      <c r="AO114" s="924">
        <f>LOOKUP(AO$2,'Growth Calculations'!$AF$1:$AM$1,'Growth Calculations'!$AF$332:$AM$332)</f>
        <v>5.6620297460112122E-2</v>
      </c>
      <c r="AP114" s="924">
        <f>LOOKUP(AP$2,'Growth Calculations'!$AF$1:$AM$1,'Growth Calculations'!$AF$332:$AM$332)</f>
        <v>5.6368090168532475E-2</v>
      </c>
      <c r="AQ114" s="924">
        <f>LOOKUP(AQ$2,'Growth Calculations'!$AF$1:$AM$1,'Growth Calculations'!$AF$332:$AM$332)</f>
        <v>5.6368090168532475E-2</v>
      </c>
      <c r="AR114" s="924">
        <f>LOOKUP(AR$2,'Growth Calculations'!$AF$1:$AM$1,'Growth Calculations'!$AF$332:$AM$332)</f>
        <v>5.6368090168532475E-2</v>
      </c>
      <c r="AS114" s="924">
        <f>LOOKUP(AS$2,'Growth Calculations'!$AF$1:$AM$1,'Growth Calculations'!$AF$332:$AM$332)</f>
        <v>5.6368090168532475E-2</v>
      </c>
      <c r="AT114" s="924">
        <f>LOOKUP(AT$2,'Growth Calculations'!$AF$1:$AM$1,'Growth Calculations'!$AF$332:$AM$332)</f>
        <v>5.5762900179805043E-2</v>
      </c>
      <c r="AU114" s="924">
        <f>LOOKUP(AU$2,'Growth Calculations'!$AF$1:$AM$1,'Growth Calculations'!$AF$332:$AM$332)</f>
        <v>5.5762900179805043E-2</v>
      </c>
      <c r="AV114" s="924">
        <f>LOOKUP(AV$2,'Growth Calculations'!$AF$1:$AM$1,'Growth Calculations'!$AF$332:$AM$332)</f>
        <v>5.5762900179805043E-2</v>
      </c>
      <c r="AW114" s="924">
        <f>LOOKUP(AW$2,'Growth Calculations'!$AF$1:$AM$1,'Growth Calculations'!$AF$332:$AM$332)</f>
        <v>5.5762900179805043E-2</v>
      </c>
    </row>
    <row r="115" spans="1:49" s="851" customFormat="1" hidden="1" outlineLevel="1">
      <c r="A115" s="851" t="s">
        <v>570</v>
      </c>
      <c r="AA115" s="1224"/>
      <c r="AB115" s="1226">
        <f>(1+'Growth Calculations'!$H$338)^(1/4)-1</f>
        <v>1.9880607971384912E-2</v>
      </c>
      <c r="AC115" s="1226">
        <f>(1+'Growth Calculations'!$H$338)^(1/4)-1</f>
        <v>1.9880607971384912E-2</v>
      </c>
      <c r="AD115" s="1226">
        <f>(1+'Growth Calculations'!$H$338)^(1/4)-1</f>
        <v>1.9880607971384912E-2</v>
      </c>
      <c r="AE115" s="1226">
        <f>(1+'Growth Calculations'!$H$338)^(1/4)-1</f>
        <v>1.9880607971384912E-2</v>
      </c>
      <c r="AF115" s="924">
        <f>(1+'Growth Calculations'!$H$338)^(1/4)-1</f>
        <v>1.9880607971384912E-2</v>
      </c>
      <c r="AG115" s="924">
        <f>(1+'Growth Calculations'!$H$338)^(1/4)-1</f>
        <v>1.9880607971384912E-2</v>
      </c>
      <c r="AH115" s="924">
        <f>(1+'Growth Calculations'!$H$338)^(1/4)-1</f>
        <v>1.9880607971384912E-2</v>
      </c>
      <c r="AI115" s="924">
        <f>(1+'Growth Calculations'!$H$338)^(1/4)-1</f>
        <v>1.9880607971384912E-2</v>
      </c>
      <c r="AJ115" s="924">
        <f>(1+'Growth Calculations'!$H$338)^(1/4)-1</f>
        <v>1.9880607971384912E-2</v>
      </c>
      <c r="AK115" s="924">
        <f>(1+'Growth Calculations'!$H$338)^(1/4)-1</f>
        <v>1.9880607971384912E-2</v>
      </c>
      <c r="AL115" s="924">
        <f>(1+'Growth Calculations'!$H$338)^(1/4)-1</f>
        <v>1.9880607971384912E-2</v>
      </c>
      <c r="AM115" s="924">
        <f>(1+'Growth Calculations'!$H$338)^(1/4)-1</f>
        <v>1.9880607971384912E-2</v>
      </c>
      <c r="AN115" s="924">
        <f>(1+'Growth Calculations'!$H$338)^(1/4)-1</f>
        <v>1.9880607971384912E-2</v>
      </c>
      <c r="AO115" s="924">
        <f>(1+'Growth Calculations'!$H$338)^(1/4)-1</f>
        <v>1.9880607971384912E-2</v>
      </c>
      <c r="AP115" s="924">
        <f>(1+'Growth Calculations'!$H$338)^(1/4)-1</f>
        <v>1.9880607971384912E-2</v>
      </c>
      <c r="AQ115" s="924">
        <f>(1+'Growth Calculations'!$H$338)^(1/4)-1</f>
        <v>1.9880607971384912E-2</v>
      </c>
      <c r="AR115" s="924">
        <f>(1+'Growth Calculations'!$H$338)^(1/4)-1</f>
        <v>1.9880607971384912E-2</v>
      </c>
      <c r="AS115" s="924">
        <f>(1+'Growth Calculations'!$H$338)^(1/4)-1</f>
        <v>1.9880607971384912E-2</v>
      </c>
      <c r="AT115" s="924">
        <f>(1+'Growth Calculations'!$H$338)^(1/4)-1</f>
        <v>1.9880607971384912E-2</v>
      </c>
      <c r="AU115" s="924">
        <f>(1+'Growth Calculations'!$H$338)^(1/4)-1</f>
        <v>1.9880607971384912E-2</v>
      </c>
      <c r="AV115" s="924">
        <f>(1+'Growth Calculations'!$H$338)^(1/4)-1</f>
        <v>1.9880607971384912E-2</v>
      </c>
      <c r="AW115" s="924">
        <f>(1+'Growth Calculations'!$H$338)^(1/4)-1</f>
        <v>1.9880607971384912E-2</v>
      </c>
    </row>
    <row r="116" spans="1:49" s="851" customFormat="1" hidden="1" outlineLevel="1">
      <c r="AA116" s="1224"/>
      <c r="AB116" s="1224"/>
      <c r="AC116" s="1224"/>
      <c r="AD116" s="1224"/>
      <c r="AE116" s="1224"/>
      <c r="AF116" s="18"/>
      <c r="AG116" s="18"/>
      <c r="AH116" s="18"/>
      <c r="AI116" s="18"/>
      <c r="AJ116" s="18"/>
      <c r="AK116" s="18"/>
      <c r="AL116" s="18"/>
      <c r="AM116" s="18"/>
      <c r="AN116" s="18"/>
      <c r="AO116" s="18"/>
      <c r="AP116" s="18"/>
      <c r="AQ116" s="18"/>
      <c r="AR116" s="18"/>
      <c r="AS116" s="18"/>
      <c r="AT116" s="18"/>
      <c r="AU116" s="18"/>
      <c r="AV116" s="18"/>
      <c r="AW116" s="18"/>
    </row>
    <row r="117" spans="1:49" s="851" customFormat="1" hidden="1" outlineLevel="1">
      <c r="A117" s="2" t="s">
        <v>121</v>
      </c>
      <c r="AA117" s="1224"/>
      <c r="AB117" s="1224"/>
      <c r="AC117" s="1224"/>
      <c r="AD117" s="1224"/>
      <c r="AE117" s="1224"/>
      <c r="AF117" s="18"/>
      <c r="AG117" s="18"/>
      <c r="AH117" s="18"/>
      <c r="AI117" s="18"/>
      <c r="AJ117" s="18"/>
      <c r="AK117" s="18"/>
      <c r="AL117" s="18"/>
      <c r="AM117" s="18"/>
      <c r="AN117" s="18"/>
      <c r="AO117" s="18"/>
      <c r="AP117" s="18"/>
      <c r="AQ117" s="18"/>
      <c r="AR117" s="18"/>
      <c r="AS117" s="18"/>
      <c r="AT117" s="18"/>
      <c r="AU117" s="18"/>
      <c r="AV117" s="18"/>
      <c r="AW117" s="18"/>
    </row>
    <row r="118" spans="1:49" s="851" customFormat="1" hidden="1" outlineLevel="1">
      <c r="A118" s="851" t="s">
        <v>571</v>
      </c>
      <c r="AA118" s="1224"/>
      <c r="AB118" s="1226">
        <f>AVERAGE(Model!$O$468:$AA$468)</f>
        <v>-2.3181703801814689E-2</v>
      </c>
      <c r="AC118" s="1226">
        <f>AVERAGE(Model!$O$468:$AA$468)</f>
        <v>-2.3181703801814689E-2</v>
      </c>
      <c r="AD118" s="1226">
        <f>AVERAGE(Model!$O$468:$AA$468)</f>
        <v>-2.3181703801814689E-2</v>
      </c>
      <c r="AE118" s="1226">
        <f>AVERAGE(Model!$O$468:$AA$468)</f>
        <v>-2.3181703801814689E-2</v>
      </c>
      <c r="AF118" s="924">
        <f>AF119/2</f>
        <v>-1.5169947119837546E-2</v>
      </c>
      <c r="AG118" s="924">
        <f>AF118</f>
        <v>-1.5169947119837546E-2</v>
      </c>
      <c r="AH118" s="924">
        <f t="shared" ref="AH118:AS118" si="78">AG118</f>
        <v>-1.5169947119837546E-2</v>
      </c>
      <c r="AI118" s="924">
        <f t="shared" si="78"/>
        <v>-1.5169947119837546E-2</v>
      </c>
      <c r="AJ118" s="924">
        <f t="shared" si="78"/>
        <v>-1.5169947119837546E-2</v>
      </c>
      <c r="AK118" s="924">
        <f t="shared" si="78"/>
        <v>-1.5169947119837546E-2</v>
      </c>
      <c r="AL118" s="924">
        <f t="shared" si="78"/>
        <v>-1.5169947119837546E-2</v>
      </c>
      <c r="AM118" s="924">
        <f t="shared" si="78"/>
        <v>-1.5169947119837546E-2</v>
      </c>
      <c r="AN118" s="924">
        <f t="shared" si="78"/>
        <v>-1.5169947119837546E-2</v>
      </c>
      <c r="AO118" s="924">
        <f t="shared" si="78"/>
        <v>-1.5169947119837546E-2</v>
      </c>
      <c r="AP118" s="924">
        <f t="shared" si="78"/>
        <v>-1.5169947119837546E-2</v>
      </c>
      <c r="AQ118" s="924">
        <f t="shared" si="78"/>
        <v>-1.5169947119837546E-2</v>
      </c>
      <c r="AR118" s="924">
        <f t="shared" si="78"/>
        <v>-1.5169947119837546E-2</v>
      </c>
      <c r="AS118" s="924">
        <f t="shared" si="78"/>
        <v>-1.5169947119837546E-2</v>
      </c>
      <c r="AT118" s="924">
        <f t="shared" ref="AT118" si="79">AS118</f>
        <v>-1.5169947119837546E-2</v>
      </c>
      <c r="AU118" s="924">
        <f t="shared" ref="AU118" si="80">AT118</f>
        <v>-1.5169947119837546E-2</v>
      </c>
      <c r="AV118" s="924">
        <f t="shared" ref="AV118" si="81">AU118</f>
        <v>-1.5169947119837546E-2</v>
      </c>
      <c r="AW118" s="924">
        <f t="shared" ref="AW118" si="82">AV118</f>
        <v>-1.5169947119837546E-2</v>
      </c>
    </row>
    <row r="119" spans="1:49" s="851" customFormat="1" hidden="1" outlineLevel="1">
      <c r="A119" s="851" t="s">
        <v>616</v>
      </c>
      <c r="AA119" s="1224"/>
      <c r="AB119" s="1226"/>
      <c r="AC119" s="1226"/>
      <c r="AD119" s="1226"/>
      <c r="AE119" s="1226"/>
      <c r="AF119" s="924">
        <f>((SUM(Model!AC473:AF473)/SUM(Model!N473:Q473))^(4/COUNT(Model!R473:AF473)))^(1/4)-1</f>
        <v>-3.0339894239675091E-2</v>
      </c>
      <c r="AG119" s="924"/>
      <c r="AH119" s="924"/>
      <c r="AI119" s="924"/>
      <c r="AJ119" s="924"/>
      <c r="AK119" s="924"/>
      <c r="AL119" s="924"/>
      <c r="AM119" s="924"/>
      <c r="AN119" s="924"/>
      <c r="AO119" s="924"/>
      <c r="AP119" s="924"/>
      <c r="AQ119" s="924"/>
      <c r="AR119" s="924"/>
      <c r="AS119" s="924"/>
      <c r="AT119" s="924"/>
      <c r="AU119" s="924"/>
      <c r="AV119" s="924"/>
      <c r="AW119" s="924"/>
    </row>
    <row r="120" spans="1:49" s="851" customFormat="1" hidden="1" outlineLevel="1">
      <c r="A120" s="851" t="s">
        <v>90</v>
      </c>
      <c r="AA120" s="1224"/>
      <c r="AB120" s="1226">
        <f>MEDIAN(Model!T486:AA486)</f>
        <v>0.82292046596524937</v>
      </c>
      <c r="AC120" s="1226">
        <f>MEDIAN(Model!U486:AB486)</f>
        <v>0.87026171724746193</v>
      </c>
      <c r="AD120" s="1226">
        <f>MEDIAN(Model!V486:AC486)</f>
        <v>0.92776175341673039</v>
      </c>
      <c r="AE120" s="1226">
        <f>MEDIAN(Model!W486:AD486)</f>
        <v>0.92776175341673039</v>
      </c>
      <c r="AF120" s="924">
        <f>Model!AC486*0.1+Model!AD486*0.2+Model!AE486*0.3+Model!AF486*0.4</f>
        <v>0.88240000000000007</v>
      </c>
      <c r="AG120" s="924">
        <f>AF120*0.995</f>
        <v>0.8779880000000001</v>
      </c>
      <c r="AH120" s="924">
        <f t="shared" ref="AH120:AS120" si="83">AG120*0.995</f>
        <v>0.87359806000000007</v>
      </c>
      <c r="AI120" s="924">
        <f t="shared" si="83"/>
        <v>0.86923006970000005</v>
      </c>
      <c r="AJ120" s="924">
        <f t="shared" si="83"/>
        <v>0.8648839193515</v>
      </c>
      <c r="AK120" s="924">
        <f t="shared" si="83"/>
        <v>0.86055949975474244</v>
      </c>
      <c r="AL120" s="924">
        <f t="shared" si="83"/>
        <v>0.85625670225596873</v>
      </c>
      <c r="AM120" s="924">
        <f t="shared" si="83"/>
        <v>0.85197541874468885</v>
      </c>
      <c r="AN120" s="924">
        <f t="shared" si="83"/>
        <v>0.84771554165096541</v>
      </c>
      <c r="AO120" s="924">
        <f t="shared" si="83"/>
        <v>0.84347696394271054</v>
      </c>
      <c r="AP120" s="924">
        <f t="shared" si="83"/>
        <v>0.83925957912299698</v>
      </c>
      <c r="AQ120" s="924">
        <f t="shared" si="83"/>
        <v>0.83506328122738194</v>
      </c>
      <c r="AR120" s="924">
        <f t="shared" si="83"/>
        <v>0.83088796482124505</v>
      </c>
      <c r="AS120" s="924">
        <f t="shared" si="83"/>
        <v>0.82673352499713881</v>
      </c>
      <c r="AT120" s="924">
        <f t="shared" ref="AT120" si="84">AS120*0.995</f>
        <v>0.82259985737215313</v>
      </c>
      <c r="AU120" s="924">
        <f t="shared" ref="AU120" si="85">AT120*0.995</f>
        <v>0.81848685808529231</v>
      </c>
      <c r="AV120" s="924">
        <f t="shared" ref="AV120" si="86">AU120*0.995</f>
        <v>0.81439442379486582</v>
      </c>
      <c r="AW120" s="924">
        <f t="shared" ref="AW120" si="87">AV120*0.995</f>
        <v>0.81032245167589145</v>
      </c>
    </row>
    <row r="121" spans="1:49" s="851" customFormat="1" hidden="1" outlineLevel="1">
      <c r="AA121" s="1224"/>
      <c r="AB121" s="1224"/>
      <c r="AC121" s="1224"/>
      <c r="AD121" s="1224"/>
      <c r="AE121" s="1224"/>
      <c r="AF121" s="18"/>
      <c r="AG121" s="18"/>
      <c r="AH121" s="18"/>
      <c r="AI121" s="18"/>
      <c r="AJ121" s="18"/>
      <c r="AK121" s="18"/>
      <c r="AL121" s="18"/>
      <c r="AM121" s="18"/>
      <c r="AN121" s="18"/>
      <c r="AO121" s="18"/>
      <c r="AP121" s="18"/>
      <c r="AQ121" s="18"/>
      <c r="AR121" s="18"/>
      <c r="AS121" s="18"/>
      <c r="AT121" s="18"/>
      <c r="AU121" s="18"/>
      <c r="AV121" s="18"/>
      <c r="AW121" s="18"/>
    </row>
    <row r="122" spans="1:49" s="851" customFormat="1" hidden="1" outlineLevel="1">
      <c r="AA122" s="1224"/>
      <c r="AB122" s="1224"/>
      <c r="AC122" s="1224"/>
      <c r="AD122" s="1224"/>
      <c r="AE122" s="1224"/>
      <c r="AF122" s="18"/>
      <c r="AG122" s="18"/>
      <c r="AH122" s="18"/>
      <c r="AI122" s="18"/>
      <c r="AJ122" s="18"/>
      <c r="AK122" s="18"/>
      <c r="AL122" s="18"/>
      <c r="AM122" s="18"/>
      <c r="AN122" s="18"/>
      <c r="AO122" s="18"/>
      <c r="AP122" s="18"/>
      <c r="AQ122" s="18"/>
      <c r="AR122" s="18"/>
      <c r="AS122" s="18"/>
      <c r="AT122" s="18"/>
      <c r="AU122" s="18"/>
      <c r="AV122" s="18"/>
      <c r="AW122" s="18"/>
    </row>
    <row r="123" spans="1:49" s="563" customFormat="1" hidden="1" outlineLevel="1">
      <c r="A123" s="1216" t="s">
        <v>130</v>
      </c>
      <c r="AA123" s="1224"/>
      <c r="AB123" s="1224"/>
      <c r="AC123" s="1224"/>
      <c r="AD123" s="1224"/>
      <c r="AE123" s="1224"/>
    </row>
    <row r="124" spans="1:49" s="851" customFormat="1" hidden="1" outlineLevel="1">
      <c r="A124" s="851" t="s">
        <v>571</v>
      </c>
      <c r="AA124" s="1224"/>
      <c r="AB124" s="1226"/>
      <c r="AC124" s="1226"/>
      <c r="AD124" s="1226"/>
      <c r="AE124" s="1226"/>
      <c r="AF124" s="924">
        <f>AF125</f>
        <v>4.3035258418959721E-3</v>
      </c>
      <c r="AG124" s="924">
        <f>AF124</f>
        <v>4.3035258418959721E-3</v>
      </c>
      <c r="AH124" s="924">
        <f t="shared" ref="AH124:AS124" si="88">AG124</f>
        <v>4.3035258418959721E-3</v>
      </c>
      <c r="AI124" s="924">
        <f t="shared" si="88"/>
        <v>4.3035258418959721E-3</v>
      </c>
      <c r="AJ124" s="924">
        <f t="shared" si="88"/>
        <v>4.3035258418959721E-3</v>
      </c>
      <c r="AK124" s="924">
        <f t="shared" si="88"/>
        <v>4.3035258418959721E-3</v>
      </c>
      <c r="AL124" s="924">
        <f t="shared" si="88"/>
        <v>4.3035258418959721E-3</v>
      </c>
      <c r="AM124" s="924">
        <f t="shared" si="88"/>
        <v>4.3035258418959721E-3</v>
      </c>
      <c r="AN124" s="924">
        <f t="shared" si="88"/>
        <v>4.3035258418959721E-3</v>
      </c>
      <c r="AO124" s="924">
        <f t="shared" si="88"/>
        <v>4.3035258418959721E-3</v>
      </c>
      <c r="AP124" s="924">
        <f t="shared" si="88"/>
        <v>4.3035258418959721E-3</v>
      </c>
      <c r="AQ124" s="924">
        <f t="shared" si="88"/>
        <v>4.3035258418959721E-3</v>
      </c>
      <c r="AR124" s="924">
        <f t="shared" si="88"/>
        <v>4.3035258418959721E-3</v>
      </c>
      <c r="AS124" s="924">
        <f t="shared" si="88"/>
        <v>4.3035258418959721E-3</v>
      </c>
      <c r="AT124" s="924">
        <f t="shared" ref="AT124" si="89">AS124</f>
        <v>4.3035258418959721E-3</v>
      </c>
      <c r="AU124" s="924">
        <f t="shared" ref="AU124" si="90">AT124</f>
        <v>4.3035258418959721E-3</v>
      </c>
      <c r="AV124" s="924">
        <f t="shared" ref="AV124" si="91">AU124</f>
        <v>4.3035258418959721E-3</v>
      </c>
      <c r="AW124" s="924">
        <f t="shared" ref="AW124" si="92">AV124</f>
        <v>4.3035258418959721E-3</v>
      </c>
    </row>
    <row r="125" spans="1:49" s="851" customFormat="1" hidden="1" outlineLevel="1">
      <c r="A125" s="851" t="s">
        <v>616</v>
      </c>
      <c r="AA125" s="1224"/>
      <c r="AB125" s="1226"/>
      <c r="AC125" s="1226"/>
      <c r="AD125" s="1226"/>
      <c r="AE125" s="1226"/>
      <c r="AF125" s="924">
        <f>((SUM(Model!AC513:AF513)/SUM(Model!N513:Q513))^(4/COUNT(Model!R513:AF513)))^(1/4)-1</f>
        <v>4.3035258418959721E-3</v>
      </c>
      <c r="AG125" s="924"/>
      <c r="AH125" s="924"/>
      <c r="AI125" s="924"/>
      <c r="AJ125" s="924"/>
      <c r="AK125" s="924"/>
      <c r="AL125" s="924"/>
      <c r="AM125" s="924"/>
      <c r="AN125" s="924"/>
      <c r="AO125" s="924"/>
      <c r="AP125" s="924"/>
      <c r="AQ125" s="924"/>
      <c r="AR125" s="924"/>
      <c r="AS125" s="924"/>
      <c r="AT125" s="924"/>
      <c r="AU125" s="924"/>
      <c r="AV125" s="924"/>
      <c r="AW125" s="924"/>
    </row>
    <row r="126" spans="1:49" s="851" customFormat="1" hidden="1" outlineLevel="1">
      <c r="A126" s="851" t="s">
        <v>90</v>
      </c>
      <c r="AA126" s="1224"/>
      <c r="AB126" s="1226">
        <f>MEDIAN(Model!T526:AA526)</f>
        <v>0.8357668067226891</v>
      </c>
      <c r="AC126" s="1226">
        <f>MEDIAN(Model!U526:AB526)</f>
        <v>0.88663008565310486</v>
      </c>
      <c r="AD126" s="1226">
        <f>MEDIAN(Model!V526:AC526)</f>
        <v>0.88663008565310486</v>
      </c>
      <c r="AE126" s="1226">
        <f>MEDIAN(Model!W526:AD526)</f>
        <v>0.79444060773480674</v>
      </c>
      <c r="AF126" s="924">
        <f>Model!AC526*0.1+Model!AD526*0.2+Model!AE526*0.3+Model!AF526*0.4</f>
        <v>0.82820000000000005</v>
      </c>
      <c r="AG126" s="924">
        <f>AF126*0.995</f>
        <v>0.8240590000000001</v>
      </c>
      <c r="AH126" s="924">
        <f t="shared" ref="AH126:AW126" si="93">AG126*0.995</f>
        <v>0.8199387050000001</v>
      </c>
      <c r="AI126" s="924">
        <f t="shared" si="93"/>
        <v>0.81583901147500004</v>
      </c>
      <c r="AJ126" s="924">
        <f t="shared" si="93"/>
        <v>0.81175981641762507</v>
      </c>
      <c r="AK126" s="924">
        <f t="shared" si="93"/>
        <v>0.8077010173355369</v>
      </c>
      <c r="AL126" s="924">
        <f t="shared" si="93"/>
        <v>0.80366251224885921</v>
      </c>
      <c r="AM126" s="924">
        <f t="shared" si="93"/>
        <v>0.79964419968761491</v>
      </c>
      <c r="AN126" s="924">
        <f t="shared" si="93"/>
        <v>0.79564597868917686</v>
      </c>
      <c r="AO126" s="924">
        <f t="shared" si="93"/>
        <v>0.79166774879573099</v>
      </c>
      <c r="AP126" s="924">
        <f t="shared" si="93"/>
        <v>0.78770941005175232</v>
      </c>
      <c r="AQ126" s="924">
        <f t="shared" si="93"/>
        <v>0.78377086300149357</v>
      </c>
      <c r="AR126" s="924">
        <f t="shared" si="93"/>
        <v>0.77985200868648608</v>
      </c>
      <c r="AS126" s="924">
        <f t="shared" si="93"/>
        <v>0.77595274864305364</v>
      </c>
      <c r="AT126" s="924">
        <f t="shared" si="93"/>
        <v>0.77207298489983833</v>
      </c>
      <c r="AU126" s="924">
        <f t="shared" si="93"/>
        <v>0.76821261997533918</v>
      </c>
      <c r="AV126" s="924">
        <f t="shared" si="93"/>
        <v>0.76437155687546243</v>
      </c>
      <c r="AW126" s="924">
        <f t="shared" si="93"/>
        <v>0.76054969909108516</v>
      </c>
    </row>
    <row r="127" spans="1:49" s="851" customFormat="1" hidden="1" outlineLevel="1">
      <c r="AA127" s="1224"/>
      <c r="AB127" s="1226"/>
      <c r="AC127" s="1226"/>
      <c r="AD127" s="1226"/>
      <c r="AE127" s="1226"/>
      <c r="AF127" s="924"/>
      <c r="AG127" s="924"/>
      <c r="AH127" s="924"/>
      <c r="AI127" s="924"/>
      <c r="AJ127" s="924"/>
      <c r="AK127" s="924"/>
      <c r="AL127" s="924"/>
      <c r="AM127" s="924"/>
      <c r="AN127" s="924"/>
      <c r="AO127" s="924"/>
      <c r="AP127" s="924"/>
      <c r="AQ127" s="924"/>
      <c r="AR127" s="924"/>
      <c r="AS127" s="924"/>
      <c r="AT127" s="924"/>
      <c r="AU127" s="924"/>
      <c r="AV127" s="924"/>
      <c r="AW127" s="924"/>
    </row>
    <row r="128" spans="1:49" s="851" customFormat="1" hidden="1" outlineLevel="1">
      <c r="A128" s="2"/>
      <c r="AA128" s="1224"/>
      <c r="AB128" s="1224"/>
      <c r="AC128" s="1224"/>
      <c r="AD128" s="1224"/>
      <c r="AE128" s="1224"/>
      <c r="AF128" s="18"/>
      <c r="AG128" s="18"/>
      <c r="AH128" s="18"/>
      <c r="AI128" s="18"/>
      <c r="AJ128" s="18"/>
      <c r="AK128" s="18"/>
      <c r="AL128" s="18"/>
      <c r="AM128" s="18"/>
      <c r="AN128" s="18"/>
      <c r="AO128" s="18"/>
      <c r="AP128" s="18"/>
      <c r="AQ128" s="18"/>
      <c r="AR128" s="18"/>
      <c r="AS128" s="18"/>
      <c r="AT128" s="18"/>
      <c r="AU128" s="18"/>
      <c r="AV128" s="18"/>
      <c r="AW128" s="18"/>
    </row>
    <row r="129" spans="27:49" s="851" customFormat="1" hidden="1" outlineLevel="1">
      <c r="AA129" s="1224"/>
      <c r="AB129" s="1224"/>
      <c r="AC129" s="1224"/>
      <c r="AD129" s="1224"/>
      <c r="AE129" s="1224"/>
      <c r="AF129" s="18"/>
      <c r="AG129" s="18"/>
      <c r="AH129" s="18"/>
      <c r="AI129" s="18"/>
      <c r="AJ129" s="18"/>
      <c r="AK129" s="18"/>
      <c r="AL129" s="18"/>
      <c r="AM129" s="18"/>
      <c r="AN129" s="18"/>
      <c r="AO129" s="18"/>
      <c r="AP129" s="18"/>
      <c r="AQ129" s="18"/>
      <c r="AR129" s="18"/>
      <c r="AS129" s="18"/>
      <c r="AT129" s="18"/>
      <c r="AU129" s="18"/>
      <c r="AV129" s="18"/>
      <c r="AW129" s="18"/>
    </row>
    <row r="130" spans="27:49" s="851" customFormat="1" hidden="1" outlineLevel="1">
      <c r="AA130" s="1224"/>
      <c r="AB130" s="1224"/>
      <c r="AC130" s="1224"/>
      <c r="AD130" s="1224"/>
      <c r="AE130" s="1224"/>
      <c r="AF130" s="18"/>
      <c r="AG130" s="18"/>
      <c r="AH130" s="18"/>
      <c r="AI130" s="18"/>
      <c r="AJ130" s="18"/>
      <c r="AK130" s="18"/>
      <c r="AL130" s="18"/>
      <c r="AM130" s="18"/>
      <c r="AN130" s="18"/>
      <c r="AO130" s="18"/>
      <c r="AP130" s="18"/>
      <c r="AQ130" s="18"/>
      <c r="AR130" s="18"/>
      <c r="AS130" s="18"/>
      <c r="AT130" s="18"/>
      <c r="AU130" s="18"/>
      <c r="AV130" s="18"/>
      <c r="AW130" s="18"/>
    </row>
    <row r="131" spans="27:49" s="851" customFormat="1" hidden="1" outlineLevel="1">
      <c r="AA131" s="1224"/>
      <c r="AB131" s="1224"/>
      <c r="AC131" s="1224"/>
      <c r="AD131" s="1224"/>
      <c r="AE131" s="1224"/>
      <c r="AF131" s="18"/>
      <c r="AG131" s="18"/>
      <c r="AH131" s="18"/>
      <c r="AI131" s="18"/>
      <c r="AJ131" s="18"/>
      <c r="AK131" s="18"/>
      <c r="AL131" s="18"/>
      <c r="AM131" s="18"/>
      <c r="AN131" s="18"/>
      <c r="AO131" s="18"/>
      <c r="AP131" s="18"/>
      <c r="AQ131" s="18"/>
      <c r="AR131" s="18"/>
      <c r="AS131" s="18"/>
      <c r="AT131" s="18"/>
      <c r="AU131" s="18"/>
      <c r="AV131" s="18"/>
      <c r="AW131" s="18"/>
    </row>
    <row r="132" spans="27:49" s="851" customFormat="1" hidden="1" outlineLevel="1">
      <c r="AA132" s="1224"/>
      <c r="AB132" s="1224"/>
      <c r="AC132" s="1224"/>
      <c r="AD132" s="1224"/>
      <c r="AE132" s="1224"/>
      <c r="AF132" s="18"/>
      <c r="AG132" s="18"/>
      <c r="AH132" s="18"/>
      <c r="AI132" s="18"/>
      <c r="AJ132" s="18"/>
      <c r="AK132" s="18"/>
      <c r="AL132" s="18"/>
      <c r="AM132" s="18"/>
      <c r="AN132" s="18"/>
      <c r="AO132" s="18"/>
      <c r="AP132" s="18"/>
      <c r="AQ132" s="18"/>
      <c r="AR132" s="18"/>
      <c r="AS132" s="18"/>
      <c r="AT132" s="18"/>
      <c r="AU132" s="18"/>
      <c r="AV132" s="18"/>
      <c r="AW132" s="18"/>
    </row>
    <row r="133" spans="27:49" hidden="1" outlineLevel="1">
      <c r="AW133" s="18"/>
    </row>
    <row r="134" spans="27:49" hidden="1" outlineLevel="1">
      <c r="AW134" s="18"/>
    </row>
    <row r="135" spans="27:49" hidden="1" outlineLevel="1">
      <c r="AW135" s="18"/>
    </row>
    <row r="136" spans="27:49" s="851" customFormat="1" hidden="1" outlineLevel="1">
      <c r="AA136" s="1224"/>
      <c r="AB136" s="1224"/>
      <c r="AC136" s="1224"/>
      <c r="AD136" s="1224"/>
      <c r="AE136" s="1224"/>
      <c r="AF136" s="18"/>
      <c r="AG136" s="18"/>
      <c r="AH136" s="18"/>
      <c r="AI136" s="18"/>
      <c r="AJ136" s="18"/>
      <c r="AK136" s="18"/>
      <c r="AL136" s="18"/>
      <c r="AM136" s="18"/>
      <c r="AN136" s="18"/>
      <c r="AO136" s="18"/>
      <c r="AP136" s="18"/>
      <c r="AQ136" s="18"/>
      <c r="AR136" s="18"/>
      <c r="AS136" s="18"/>
      <c r="AT136" s="18"/>
      <c r="AU136" s="18"/>
      <c r="AV136" s="18"/>
      <c r="AW136" s="18"/>
    </row>
    <row r="137" spans="27:49" s="851" customFormat="1" hidden="1" outlineLevel="1">
      <c r="AA137" s="1224"/>
      <c r="AB137" s="1224"/>
      <c r="AC137" s="1224"/>
      <c r="AD137" s="1224"/>
      <c r="AE137" s="1224"/>
      <c r="AF137" s="18"/>
      <c r="AG137" s="18"/>
      <c r="AH137" s="18"/>
      <c r="AI137" s="18"/>
      <c r="AJ137" s="18"/>
      <c r="AK137" s="18"/>
      <c r="AL137" s="18"/>
      <c r="AM137" s="18"/>
      <c r="AN137" s="18"/>
      <c r="AO137" s="18"/>
      <c r="AP137" s="18"/>
      <c r="AQ137" s="18"/>
      <c r="AR137" s="18"/>
      <c r="AS137" s="18"/>
      <c r="AT137" s="18"/>
      <c r="AU137" s="18"/>
      <c r="AV137" s="18"/>
      <c r="AW137" s="18"/>
    </row>
    <row r="138" spans="27:49" s="851" customFormat="1" hidden="1" outlineLevel="1">
      <c r="AA138" s="1224"/>
      <c r="AB138" s="1224"/>
      <c r="AC138" s="1224"/>
      <c r="AD138" s="1224"/>
      <c r="AE138" s="1224"/>
      <c r="AF138" s="18"/>
      <c r="AG138" s="18"/>
      <c r="AH138" s="18"/>
      <c r="AI138" s="18"/>
      <c r="AJ138" s="18"/>
      <c r="AK138" s="18"/>
      <c r="AL138" s="18"/>
      <c r="AM138" s="18"/>
      <c r="AN138" s="18"/>
      <c r="AO138" s="18"/>
      <c r="AP138" s="18"/>
      <c r="AQ138" s="18"/>
      <c r="AR138" s="18"/>
      <c r="AS138" s="18"/>
      <c r="AT138" s="18"/>
      <c r="AU138" s="18"/>
      <c r="AV138" s="18"/>
      <c r="AW138" s="18"/>
    </row>
    <row r="139" spans="27:49" s="851" customFormat="1" hidden="1" outlineLevel="1">
      <c r="AA139" s="1224"/>
      <c r="AB139" s="1224"/>
      <c r="AC139" s="1224"/>
      <c r="AD139" s="1224"/>
      <c r="AE139" s="1224"/>
      <c r="AF139" s="18"/>
      <c r="AG139" s="18"/>
      <c r="AH139" s="18"/>
      <c r="AI139" s="18"/>
      <c r="AJ139" s="18"/>
      <c r="AK139" s="18"/>
      <c r="AL139" s="18"/>
      <c r="AM139" s="18"/>
      <c r="AN139" s="18"/>
      <c r="AO139" s="18"/>
      <c r="AP139" s="18"/>
      <c r="AQ139" s="18"/>
      <c r="AR139" s="18"/>
      <c r="AS139" s="18"/>
      <c r="AT139" s="18"/>
      <c r="AU139" s="18"/>
      <c r="AV139" s="18"/>
      <c r="AW139" s="18"/>
    </row>
    <row r="140" spans="27:49" s="851" customFormat="1" hidden="1" outlineLevel="1">
      <c r="AA140" s="1224"/>
      <c r="AB140" s="1224"/>
      <c r="AC140" s="1224"/>
      <c r="AD140" s="1224"/>
      <c r="AE140" s="1224"/>
      <c r="AF140" s="18"/>
      <c r="AG140" s="18"/>
      <c r="AH140" s="18"/>
      <c r="AI140" s="18"/>
      <c r="AJ140" s="18"/>
      <c r="AK140" s="18"/>
      <c r="AL140" s="18"/>
      <c r="AM140" s="18"/>
      <c r="AN140" s="18"/>
      <c r="AO140" s="18"/>
      <c r="AP140" s="18"/>
      <c r="AQ140" s="18"/>
      <c r="AR140" s="18"/>
      <c r="AS140" s="18"/>
      <c r="AT140" s="18"/>
      <c r="AU140" s="18"/>
      <c r="AV140" s="18"/>
      <c r="AW140" s="18"/>
    </row>
    <row r="141" spans="27:49" s="851" customFormat="1" hidden="1" outlineLevel="1">
      <c r="AA141" s="1224"/>
      <c r="AB141" s="1224"/>
      <c r="AC141" s="1224"/>
      <c r="AD141" s="1224"/>
      <c r="AE141" s="1224"/>
      <c r="AF141" s="18"/>
      <c r="AG141" s="18"/>
      <c r="AH141" s="18"/>
      <c r="AI141" s="18"/>
      <c r="AJ141" s="18"/>
      <c r="AK141" s="18"/>
      <c r="AL141" s="18"/>
      <c r="AM141" s="18"/>
      <c r="AN141" s="18"/>
      <c r="AO141" s="18"/>
      <c r="AP141" s="18"/>
      <c r="AQ141" s="18"/>
      <c r="AR141" s="18"/>
      <c r="AS141" s="18"/>
      <c r="AT141" s="18"/>
      <c r="AU141" s="18"/>
      <c r="AV141" s="18"/>
      <c r="AW141" s="18"/>
    </row>
    <row r="142" spans="27:49" s="851" customFormat="1" hidden="1" outlineLevel="1">
      <c r="AA142" s="1224"/>
      <c r="AB142" s="1224"/>
      <c r="AC142" s="1224"/>
      <c r="AD142" s="1224"/>
      <c r="AE142" s="1224"/>
      <c r="AF142" s="18"/>
      <c r="AG142" s="18"/>
      <c r="AH142" s="18"/>
      <c r="AI142" s="18"/>
      <c r="AJ142" s="18"/>
      <c r="AK142" s="18"/>
      <c r="AL142" s="18"/>
      <c r="AM142" s="18"/>
      <c r="AN142" s="18"/>
      <c r="AO142" s="18"/>
      <c r="AP142" s="18"/>
      <c r="AQ142" s="18"/>
      <c r="AR142" s="18"/>
      <c r="AS142" s="18"/>
      <c r="AT142" s="18"/>
      <c r="AU142" s="18"/>
      <c r="AV142" s="18"/>
      <c r="AW142" s="18"/>
    </row>
    <row r="143" spans="27:49" s="851" customFormat="1" hidden="1" outlineLevel="1">
      <c r="AA143" s="1224"/>
      <c r="AB143" s="1224"/>
      <c r="AC143" s="1224"/>
      <c r="AD143" s="1224"/>
      <c r="AE143" s="1224"/>
      <c r="AF143" s="18"/>
      <c r="AG143" s="18"/>
      <c r="AH143" s="18"/>
      <c r="AI143" s="18"/>
      <c r="AJ143" s="18"/>
      <c r="AK143" s="18"/>
      <c r="AL143" s="18"/>
      <c r="AM143" s="18"/>
      <c r="AN143" s="18"/>
      <c r="AO143" s="18"/>
      <c r="AP143" s="18"/>
      <c r="AQ143" s="18"/>
      <c r="AR143" s="18"/>
      <c r="AS143" s="18"/>
      <c r="AT143" s="18"/>
      <c r="AU143" s="18"/>
      <c r="AV143" s="18"/>
      <c r="AW143" s="18"/>
    </row>
    <row r="144" spans="27:49" s="851" customFormat="1" hidden="1" outlineLevel="1">
      <c r="AA144" s="1224"/>
      <c r="AB144" s="1224"/>
      <c r="AC144" s="1224"/>
      <c r="AD144" s="1224"/>
      <c r="AE144" s="1224"/>
      <c r="AF144" s="18"/>
      <c r="AG144" s="18"/>
      <c r="AH144" s="18"/>
      <c r="AI144" s="18"/>
      <c r="AJ144" s="18"/>
      <c r="AK144" s="18"/>
      <c r="AL144" s="18"/>
      <c r="AM144" s="18"/>
      <c r="AN144" s="18"/>
      <c r="AO144" s="18"/>
      <c r="AP144" s="18"/>
      <c r="AQ144" s="18"/>
      <c r="AR144" s="18"/>
      <c r="AS144" s="18"/>
      <c r="AT144" s="18"/>
      <c r="AU144" s="18"/>
      <c r="AV144" s="18"/>
      <c r="AW144" s="18"/>
    </row>
    <row r="145" spans="27:49" s="851" customFormat="1" hidden="1" outlineLevel="1">
      <c r="AA145" s="1224"/>
      <c r="AB145" s="1224"/>
      <c r="AC145" s="1224"/>
      <c r="AD145" s="1224"/>
      <c r="AE145" s="1224"/>
      <c r="AF145" s="18"/>
      <c r="AG145" s="18"/>
      <c r="AH145" s="18"/>
      <c r="AI145" s="18"/>
      <c r="AJ145" s="18"/>
      <c r="AK145" s="18"/>
      <c r="AL145" s="18"/>
      <c r="AM145" s="18"/>
      <c r="AN145" s="18"/>
      <c r="AO145" s="18"/>
      <c r="AP145" s="18"/>
      <c r="AQ145" s="18"/>
      <c r="AR145" s="18"/>
      <c r="AS145" s="18"/>
      <c r="AT145" s="18"/>
      <c r="AU145" s="18"/>
      <c r="AV145" s="18"/>
      <c r="AW145" s="18"/>
    </row>
    <row r="146" spans="27:49" s="851" customFormat="1" hidden="1" outlineLevel="1">
      <c r="AA146" s="1224"/>
      <c r="AB146" s="1224"/>
      <c r="AC146" s="1224"/>
      <c r="AD146" s="1224"/>
      <c r="AE146" s="1224"/>
      <c r="AF146" s="18"/>
      <c r="AG146" s="18"/>
      <c r="AH146" s="18"/>
      <c r="AI146" s="18"/>
      <c r="AJ146" s="18"/>
      <c r="AK146" s="18"/>
      <c r="AL146" s="18"/>
      <c r="AM146" s="18"/>
      <c r="AN146" s="18"/>
      <c r="AO146" s="18"/>
      <c r="AP146" s="18"/>
      <c r="AQ146" s="18"/>
      <c r="AR146" s="18"/>
      <c r="AS146" s="18"/>
      <c r="AT146" s="18"/>
      <c r="AU146" s="18"/>
      <c r="AV146" s="18"/>
      <c r="AW146" s="18"/>
    </row>
    <row r="147" spans="27:49" s="851" customFormat="1" hidden="1" outlineLevel="1">
      <c r="AA147" s="1224"/>
      <c r="AB147" s="1224"/>
      <c r="AC147" s="1224"/>
      <c r="AD147" s="1224"/>
      <c r="AE147" s="1224"/>
      <c r="AF147" s="18"/>
      <c r="AG147" s="18"/>
      <c r="AH147" s="18"/>
      <c r="AI147" s="18"/>
      <c r="AJ147" s="18"/>
      <c r="AK147" s="18"/>
      <c r="AL147" s="18"/>
      <c r="AM147" s="18"/>
      <c r="AN147" s="18"/>
      <c r="AO147" s="18"/>
      <c r="AP147" s="18"/>
      <c r="AQ147" s="18"/>
      <c r="AR147" s="18"/>
      <c r="AS147" s="18"/>
      <c r="AT147" s="18"/>
      <c r="AU147" s="18"/>
      <c r="AV147" s="18"/>
      <c r="AW147" s="18"/>
    </row>
    <row r="148" spans="27:49" s="851" customFormat="1" hidden="1" outlineLevel="1">
      <c r="AA148" s="1224"/>
      <c r="AB148" s="1224"/>
      <c r="AC148" s="1224"/>
      <c r="AD148" s="1224"/>
      <c r="AE148" s="1224"/>
      <c r="AF148" s="18"/>
      <c r="AG148" s="18"/>
      <c r="AH148" s="18"/>
      <c r="AI148" s="18"/>
      <c r="AJ148" s="18"/>
      <c r="AK148" s="18"/>
      <c r="AL148" s="18"/>
      <c r="AM148" s="18"/>
      <c r="AN148" s="18"/>
      <c r="AO148" s="18"/>
      <c r="AP148" s="18"/>
      <c r="AQ148" s="18"/>
      <c r="AR148" s="18"/>
      <c r="AS148" s="18"/>
      <c r="AT148" s="18"/>
      <c r="AU148" s="18"/>
      <c r="AV148" s="18"/>
      <c r="AW148" s="18"/>
    </row>
    <row r="149" spans="27:49" s="851" customFormat="1" hidden="1" outlineLevel="1">
      <c r="AA149" s="1224"/>
      <c r="AB149" s="1224"/>
      <c r="AC149" s="1224"/>
      <c r="AD149" s="1224"/>
      <c r="AE149" s="1224"/>
      <c r="AF149" s="18"/>
      <c r="AG149" s="18"/>
      <c r="AH149" s="18"/>
      <c r="AI149" s="18"/>
      <c r="AJ149" s="18"/>
      <c r="AK149" s="18"/>
      <c r="AL149" s="18"/>
      <c r="AM149" s="18"/>
      <c r="AN149" s="18"/>
      <c r="AO149" s="18"/>
      <c r="AP149" s="18"/>
      <c r="AQ149" s="18"/>
      <c r="AR149" s="18"/>
      <c r="AS149" s="18"/>
      <c r="AT149" s="18"/>
      <c r="AU149" s="18"/>
      <c r="AV149" s="18"/>
      <c r="AW149" s="18"/>
    </row>
    <row r="150" spans="27:49" s="851" customFormat="1" hidden="1" outlineLevel="1">
      <c r="AA150" s="1224"/>
      <c r="AB150" s="1224"/>
      <c r="AC150" s="1224"/>
      <c r="AD150" s="1224"/>
      <c r="AE150" s="1224"/>
      <c r="AF150" s="18"/>
      <c r="AG150" s="18"/>
      <c r="AH150" s="18"/>
      <c r="AI150" s="18"/>
      <c r="AJ150" s="18"/>
      <c r="AK150" s="18"/>
      <c r="AL150" s="18"/>
      <c r="AM150" s="18"/>
      <c r="AN150" s="18"/>
      <c r="AO150" s="18"/>
      <c r="AP150" s="18"/>
      <c r="AQ150" s="18"/>
      <c r="AR150" s="18"/>
      <c r="AS150" s="18"/>
      <c r="AT150" s="18"/>
      <c r="AU150" s="18"/>
      <c r="AV150" s="18"/>
      <c r="AW150" s="18"/>
    </row>
    <row r="151" spans="27:49" s="851" customFormat="1" hidden="1" outlineLevel="1">
      <c r="AA151" s="1224"/>
      <c r="AB151" s="1224"/>
      <c r="AC151" s="1224"/>
      <c r="AD151" s="1224"/>
      <c r="AE151" s="1224"/>
      <c r="AF151" s="18"/>
      <c r="AG151" s="18"/>
      <c r="AH151" s="18"/>
      <c r="AI151" s="18"/>
      <c r="AJ151" s="18"/>
      <c r="AK151" s="18"/>
      <c r="AL151" s="18"/>
      <c r="AM151" s="18"/>
      <c r="AN151" s="18"/>
      <c r="AO151" s="18"/>
      <c r="AP151" s="18"/>
      <c r="AQ151" s="18"/>
      <c r="AR151" s="18"/>
      <c r="AS151" s="18"/>
      <c r="AT151" s="18"/>
      <c r="AU151" s="18"/>
      <c r="AV151" s="18"/>
      <c r="AW151" s="18"/>
    </row>
    <row r="152" spans="27:49" s="851" customFormat="1" hidden="1" outlineLevel="1">
      <c r="AA152" s="1224"/>
      <c r="AB152" s="1224"/>
      <c r="AC152" s="1224"/>
      <c r="AD152" s="1224"/>
      <c r="AE152" s="1224"/>
      <c r="AF152" s="18"/>
      <c r="AG152" s="18"/>
      <c r="AH152" s="18"/>
      <c r="AI152" s="18"/>
      <c r="AJ152" s="18"/>
      <c r="AK152" s="18"/>
      <c r="AL152" s="18"/>
      <c r="AM152" s="18"/>
      <c r="AN152" s="18"/>
      <c r="AO152" s="18"/>
      <c r="AP152" s="18"/>
      <c r="AQ152" s="18"/>
      <c r="AR152" s="18"/>
      <c r="AS152" s="18"/>
      <c r="AT152" s="18"/>
      <c r="AU152" s="18"/>
      <c r="AV152" s="18"/>
      <c r="AW152" s="18"/>
    </row>
    <row r="153" spans="27:49" s="851" customFormat="1" hidden="1" outlineLevel="1">
      <c r="AA153" s="1224"/>
      <c r="AB153" s="1224"/>
      <c r="AC153" s="1224"/>
      <c r="AD153" s="1224"/>
      <c r="AE153" s="1224"/>
      <c r="AF153" s="18"/>
      <c r="AG153" s="18"/>
      <c r="AH153" s="18"/>
      <c r="AI153" s="18"/>
      <c r="AJ153" s="18"/>
      <c r="AK153" s="18"/>
      <c r="AL153" s="18"/>
      <c r="AM153" s="18"/>
      <c r="AN153" s="18"/>
      <c r="AO153" s="18"/>
      <c r="AP153" s="18"/>
      <c r="AQ153" s="18"/>
      <c r="AR153" s="18"/>
      <c r="AS153" s="18"/>
      <c r="AT153" s="18"/>
      <c r="AU153" s="18"/>
      <c r="AV153" s="18"/>
      <c r="AW153" s="18"/>
    </row>
    <row r="154" spans="27:49" s="851" customFormat="1" hidden="1" outlineLevel="1">
      <c r="AA154" s="1224"/>
      <c r="AB154" s="1224"/>
      <c r="AC154" s="1224"/>
      <c r="AD154" s="1224"/>
      <c r="AE154" s="1224"/>
      <c r="AF154" s="18"/>
      <c r="AG154" s="18"/>
      <c r="AH154" s="18"/>
      <c r="AI154" s="18"/>
      <c r="AJ154" s="18"/>
      <c r="AK154" s="18"/>
      <c r="AL154" s="18"/>
      <c r="AM154" s="18"/>
      <c r="AN154" s="18"/>
      <c r="AO154" s="18"/>
      <c r="AP154" s="18"/>
      <c r="AQ154" s="18"/>
      <c r="AR154" s="18"/>
      <c r="AS154" s="18"/>
      <c r="AT154" s="18"/>
      <c r="AU154" s="18"/>
      <c r="AV154" s="18"/>
      <c r="AW154" s="18"/>
    </row>
    <row r="155" spans="27:49" s="851" customFormat="1" hidden="1" outlineLevel="1">
      <c r="AA155" s="1224"/>
      <c r="AB155" s="1224"/>
      <c r="AC155" s="1224"/>
      <c r="AD155" s="1224"/>
      <c r="AE155" s="1224"/>
      <c r="AF155" s="18"/>
      <c r="AG155" s="18"/>
      <c r="AH155" s="18"/>
      <c r="AI155" s="18"/>
      <c r="AJ155" s="18"/>
      <c r="AK155" s="18"/>
      <c r="AL155" s="18"/>
      <c r="AM155" s="18"/>
      <c r="AN155" s="18"/>
      <c r="AO155" s="18"/>
      <c r="AP155" s="18"/>
      <c r="AQ155" s="18"/>
      <c r="AR155" s="18"/>
      <c r="AS155" s="18"/>
      <c r="AT155" s="18"/>
      <c r="AU155" s="18"/>
      <c r="AV155" s="18"/>
      <c r="AW155" s="18"/>
    </row>
    <row r="156" spans="27:49" s="851" customFormat="1" hidden="1" outlineLevel="1">
      <c r="AA156" s="1224"/>
      <c r="AB156" s="1224"/>
      <c r="AC156" s="1224"/>
      <c r="AD156" s="1224"/>
      <c r="AE156" s="1224"/>
      <c r="AF156" s="18"/>
      <c r="AG156" s="18"/>
      <c r="AH156" s="18"/>
      <c r="AI156" s="18"/>
      <c r="AJ156" s="18"/>
      <c r="AK156" s="18"/>
      <c r="AL156" s="18"/>
      <c r="AM156" s="18"/>
      <c r="AN156" s="18"/>
      <c r="AO156" s="18"/>
      <c r="AP156" s="18"/>
      <c r="AQ156" s="18"/>
      <c r="AR156" s="18"/>
      <c r="AS156" s="18"/>
      <c r="AT156" s="18"/>
      <c r="AU156" s="18"/>
      <c r="AV156" s="18"/>
      <c r="AW156" s="18"/>
    </row>
    <row r="157" spans="27:49" s="851" customFormat="1" hidden="1" outlineLevel="1">
      <c r="AA157" s="1224"/>
      <c r="AB157" s="1224"/>
      <c r="AC157" s="1224"/>
      <c r="AD157" s="1224"/>
      <c r="AE157" s="1224"/>
      <c r="AF157" s="18"/>
      <c r="AG157" s="18"/>
      <c r="AH157" s="18"/>
      <c r="AI157" s="18"/>
      <c r="AJ157" s="18"/>
      <c r="AK157" s="18"/>
      <c r="AL157" s="18"/>
      <c r="AM157" s="18"/>
      <c r="AN157" s="18"/>
      <c r="AO157" s="18"/>
      <c r="AP157" s="18"/>
      <c r="AQ157" s="18"/>
      <c r="AR157" s="18"/>
      <c r="AS157" s="18"/>
      <c r="AT157" s="18"/>
      <c r="AU157" s="18"/>
      <c r="AV157" s="18"/>
      <c r="AW157" s="18"/>
    </row>
    <row r="158" spans="27:49" s="851" customFormat="1" hidden="1" outlineLevel="1">
      <c r="AA158" s="1224"/>
      <c r="AB158" s="1224"/>
      <c r="AC158" s="1224"/>
      <c r="AD158" s="1224"/>
      <c r="AE158" s="1224"/>
      <c r="AF158" s="18"/>
      <c r="AG158" s="18"/>
      <c r="AH158" s="18"/>
      <c r="AI158" s="18"/>
      <c r="AJ158" s="18"/>
      <c r="AK158" s="18"/>
      <c r="AL158" s="18"/>
      <c r="AM158" s="18"/>
      <c r="AN158" s="18"/>
      <c r="AO158" s="18"/>
      <c r="AP158" s="18"/>
      <c r="AQ158" s="18"/>
      <c r="AR158" s="18"/>
      <c r="AS158" s="18"/>
      <c r="AT158" s="18"/>
      <c r="AU158" s="18"/>
      <c r="AV158" s="18"/>
      <c r="AW158" s="18"/>
    </row>
    <row r="159" spans="27:49" s="851" customFormat="1" hidden="1" outlineLevel="1">
      <c r="AA159" s="1224"/>
      <c r="AB159" s="1224"/>
      <c r="AC159" s="1224"/>
      <c r="AD159" s="1224"/>
      <c r="AE159" s="1224"/>
      <c r="AF159" s="18"/>
      <c r="AG159" s="18"/>
      <c r="AH159" s="18"/>
      <c r="AI159" s="18"/>
      <c r="AJ159" s="18"/>
      <c r="AK159" s="18"/>
      <c r="AL159" s="18"/>
      <c r="AM159" s="18"/>
      <c r="AN159" s="18"/>
      <c r="AO159" s="18"/>
      <c r="AP159" s="18"/>
      <c r="AQ159" s="18"/>
      <c r="AR159" s="18"/>
      <c r="AS159" s="18"/>
      <c r="AT159" s="18"/>
      <c r="AU159" s="18"/>
      <c r="AV159" s="18"/>
      <c r="AW159" s="18"/>
    </row>
    <row r="160" spans="27:49" s="851" customFormat="1" hidden="1" outlineLevel="1">
      <c r="AA160" s="1224"/>
      <c r="AB160" s="1224"/>
      <c r="AC160" s="1224"/>
      <c r="AD160" s="1224"/>
      <c r="AE160" s="1224"/>
      <c r="AF160" s="18"/>
      <c r="AG160" s="18"/>
      <c r="AH160" s="18"/>
      <c r="AI160" s="18"/>
      <c r="AJ160" s="18"/>
      <c r="AK160" s="18"/>
      <c r="AL160" s="18"/>
      <c r="AM160" s="18"/>
      <c r="AN160" s="18"/>
      <c r="AO160" s="18"/>
      <c r="AP160" s="18"/>
      <c r="AQ160" s="18"/>
      <c r="AR160" s="18"/>
      <c r="AS160" s="18"/>
      <c r="AT160" s="18"/>
      <c r="AU160" s="18"/>
      <c r="AV160" s="18"/>
      <c r="AW160" s="18"/>
    </row>
    <row r="161" spans="27:49" s="851" customFormat="1" hidden="1" outlineLevel="1">
      <c r="AA161" s="1224"/>
      <c r="AB161" s="1224"/>
      <c r="AC161" s="1224"/>
      <c r="AD161" s="1224"/>
      <c r="AE161" s="1224"/>
      <c r="AF161" s="18"/>
      <c r="AG161" s="18"/>
      <c r="AH161" s="18"/>
      <c r="AI161" s="18"/>
      <c r="AJ161" s="18"/>
      <c r="AK161" s="18"/>
      <c r="AL161" s="18"/>
      <c r="AM161" s="18"/>
      <c r="AN161" s="18"/>
      <c r="AO161" s="18"/>
      <c r="AP161" s="18"/>
      <c r="AQ161" s="18"/>
      <c r="AR161" s="18"/>
      <c r="AS161" s="18"/>
      <c r="AT161" s="18"/>
      <c r="AU161" s="18"/>
      <c r="AV161" s="18"/>
      <c r="AW161" s="18"/>
    </row>
    <row r="162" spans="27:49" s="851" customFormat="1" hidden="1" outlineLevel="1">
      <c r="AA162" s="1224"/>
      <c r="AB162" s="1224"/>
      <c r="AC162" s="1224"/>
      <c r="AD162" s="1224"/>
      <c r="AE162" s="1224"/>
      <c r="AF162" s="18"/>
      <c r="AG162" s="18"/>
      <c r="AH162" s="18"/>
      <c r="AI162" s="18"/>
      <c r="AJ162" s="18"/>
      <c r="AK162" s="18"/>
      <c r="AL162" s="18"/>
      <c r="AM162" s="18"/>
      <c r="AN162" s="18"/>
      <c r="AO162" s="18"/>
      <c r="AP162" s="18"/>
      <c r="AQ162" s="18"/>
      <c r="AR162" s="18"/>
      <c r="AS162" s="18"/>
      <c r="AT162" s="18"/>
      <c r="AU162" s="18"/>
      <c r="AV162" s="18"/>
      <c r="AW162" s="18"/>
    </row>
    <row r="163" spans="27:49" s="851" customFormat="1" hidden="1" outlineLevel="1">
      <c r="AA163" s="1224"/>
      <c r="AB163" s="1224"/>
      <c r="AC163" s="1224"/>
      <c r="AD163" s="1224"/>
      <c r="AE163" s="1224"/>
      <c r="AF163" s="18"/>
      <c r="AG163" s="18"/>
      <c r="AH163" s="18"/>
      <c r="AI163" s="18"/>
      <c r="AJ163" s="18"/>
      <c r="AK163" s="18"/>
      <c r="AL163" s="18"/>
      <c r="AM163" s="18"/>
      <c r="AN163" s="18"/>
      <c r="AO163" s="18"/>
      <c r="AP163" s="18"/>
      <c r="AQ163" s="18"/>
      <c r="AR163" s="18"/>
      <c r="AS163" s="18"/>
      <c r="AT163" s="18"/>
      <c r="AU163" s="18"/>
      <c r="AV163" s="18"/>
      <c r="AW163" s="18"/>
    </row>
    <row r="164" spans="27:49" s="851" customFormat="1" hidden="1" outlineLevel="1">
      <c r="AA164" s="1224"/>
      <c r="AB164" s="1224"/>
      <c r="AC164" s="1224"/>
      <c r="AD164" s="1224"/>
      <c r="AE164" s="1224"/>
      <c r="AF164" s="18"/>
      <c r="AG164" s="18"/>
      <c r="AH164" s="18"/>
      <c r="AI164" s="18"/>
      <c r="AJ164" s="18"/>
      <c r="AK164" s="18"/>
      <c r="AL164" s="18"/>
      <c r="AM164" s="18"/>
      <c r="AN164" s="18"/>
      <c r="AO164" s="18"/>
      <c r="AP164" s="18"/>
      <c r="AQ164" s="18"/>
      <c r="AR164" s="18"/>
      <c r="AS164" s="18"/>
      <c r="AT164" s="18"/>
      <c r="AU164" s="18"/>
      <c r="AV164" s="18"/>
      <c r="AW164" s="18"/>
    </row>
    <row r="165" spans="27:49" s="851" customFormat="1" hidden="1" outlineLevel="1">
      <c r="AA165" s="1224"/>
      <c r="AB165" s="1224"/>
      <c r="AC165" s="1224"/>
      <c r="AD165" s="1224"/>
      <c r="AE165" s="1224"/>
      <c r="AF165" s="18"/>
      <c r="AG165" s="18"/>
      <c r="AH165" s="18"/>
      <c r="AI165" s="18"/>
      <c r="AJ165" s="18"/>
      <c r="AK165" s="18"/>
      <c r="AL165" s="18"/>
      <c r="AM165" s="18"/>
      <c r="AN165" s="18"/>
      <c r="AO165" s="18"/>
      <c r="AP165" s="18"/>
      <c r="AQ165" s="18"/>
      <c r="AR165" s="18"/>
      <c r="AS165" s="18"/>
      <c r="AT165" s="18"/>
      <c r="AU165" s="18"/>
      <c r="AV165" s="18"/>
      <c r="AW165" s="18"/>
    </row>
    <row r="166" spans="27:49" s="851" customFormat="1" hidden="1" outlineLevel="1">
      <c r="AA166" s="1224"/>
      <c r="AB166" s="1224"/>
      <c r="AC166" s="1224"/>
      <c r="AD166" s="1224"/>
      <c r="AE166" s="1224"/>
      <c r="AF166" s="18"/>
      <c r="AG166" s="18"/>
      <c r="AH166" s="18"/>
      <c r="AI166" s="18"/>
      <c r="AJ166" s="18"/>
      <c r="AK166" s="18"/>
      <c r="AL166" s="18"/>
      <c r="AM166" s="18"/>
      <c r="AN166" s="18"/>
      <c r="AO166" s="18"/>
      <c r="AP166" s="18"/>
      <c r="AQ166" s="18"/>
      <c r="AR166" s="18"/>
      <c r="AS166" s="18"/>
      <c r="AT166" s="18"/>
      <c r="AU166" s="18"/>
      <c r="AV166" s="18"/>
      <c r="AW166" s="18"/>
    </row>
    <row r="167" spans="27:49" s="851" customFormat="1" hidden="1" outlineLevel="1">
      <c r="AA167" s="1224"/>
      <c r="AB167" s="1224"/>
      <c r="AC167" s="1224"/>
      <c r="AD167" s="1224"/>
      <c r="AE167" s="1224"/>
      <c r="AF167" s="18"/>
      <c r="AG167" s="18"/>
      <c r="AH167" s="18"/>
      <c r="AI167" s="18"/>
      <c r="AJ167" s="18"/>
      <c r="AK167" s="18"/>
      <c r="AL167" s="18"/>
      <c r="AM167" s="18"/>
      <c r="AN167" s="18"/>
      <c r="AO167" s="18"/>
      <c r="AP167" s="18"/>
      <c r="AQ167" s="18"/>
      <c r="AR167" s="18"/>
      <c r="AS167" s="18"/>
      <c r="AT167" s="18"/>
      <c r="AU167" s="18"/>
      <c r="AV167" s="18"/>
      <c r="AW167" s="18"/>
    </row>
    <row r="168" spans="27:49" s="851" customFormat="1" hidden="1" outlineLevel="1">
      <c r="AA168" s="1224"/>
      <c r="AB168" s="1224"/>
      <c r="AC168" s="1224"/>
      <c r="AD168" s="1224"/>
      <c r="AE168" s="1224"/>
      <c r="AF168" s="18"/>
      <c r="AG168" s="18"/>
      <c r="AH168" s="18"/>
      <c r="AI168" s="18"/>
      <c r="AJ168" s="18"/>
      <c r="AK168" s="18"/>
      <c r="AL168" s="18"/>
      <c r="AM168" s="18"/>
      <c r="AN168" s="18"/>
      <c r="AO168" s="18"/>
      <c r="AP168" s="18"/>
      <c r="AQ168" s="18"/>
      <c r="AR168" s="18"/>
      <c r="AS168" s="18"/>
      <c r="AT168" s="18"/>
      <c r="AU168" s="18"/>
      <c r="AV168" s="18"/>
      <c r="AW168" s="18"/>
    </row>
    <row r="169" spans="27:49" s="851" customFormat="1" hidden="1" outlineLevel="1">
      <c r="AA169" s="1224"/>
      <c r="AB169" s="1224"/>
      <c r="AC169" s="1224"/>
      <c r="AD169" s="1224"/>
      <c r="AE169" s="1224"/>
      <c r="AF169" s="18"/>
      <c r="AG169" s="18"/>
      <c r="AH169" s="18"/>
      <c r="AI169" s="18"/>
      <c r="AJ169" s="18"/>
      <c r="AK169" s="18"/>
      <c r="AL169" s="18"/>
      <c r="AM169" s="18"/>
      <c r="AN169" s="18"/>
      <c r="AO169" s="18"/>
      <c r="AP169" s="18"/>
      <c r="AQ169" s="18"/>
      <c r="AR169" s="18"/>
      <c r="AS169" s="18"/>
      <c r="AT169" s="18"/>
      <c r="AU169" s="18"/>
      <c r="AV169" s="18"/>
      <c r="AW169" s="18"/>
    </row>
    <row r="170" spans="27:49" s="851" customFormat="1" hidden="1" outlineLevel="1">
      <c r="AA170" s="1224"/>
      <c r="AB170" s="1224"/>
      <c r="AC170" s="1224"/>
      <c r="AD170" s="1224"/>
      <c r="AE170" s="1224"/>
      <c r="AF170" s="18"/>
      <c r="AG170" s="18"/>
      <c r="AH170" s="18"/>
      <c r="AI170" s="18"/>
      <c r="AJ170" s="18"/>
      <c r="AK170" s="18"/>
      <c r="AL170" s="18"/>
      <c r="AM170" s="18"/>
      <c r="AN170" s="18"/>
      <c r="AO170" s="18"/>
      <c r="AP170" s="18"/>
      <c r="AQ170" s="18"/>
      <c r="AR170" s="18"/>
      <c r="AS170" s="18"/>
      <c r="AT170" s="18"/>
      <c r="AU170" s="18"/>
      <c r="AV170" s="18"/>
      <c r="AW170" s="18"/>
    </row>
    <row r="171" spans="27:49" s="851" customFormat="1" hidden="1" outlineLevel="1">
      <c r="AA171" s="1224"/>
      <c r="AB171" s="1224"/>
      <c r="AC171" s="1224"/>
      <c r="AD171" s="1224"/>
      <c r="AE171" s="1224"/>
      <c r="AF171" s="18"/>
      <c r="AG171" s="18"/>
      <c r="AH171" s="18"/>
      <c r="AI171" s="18"/>
      <c r="AJ171" s="18"/>
      <c r="AK171" s="18"/>
      <c r="AL171" s="18"/>
      <c r="AM171" s="18"/>
      <c r="AN171" s="18"/>
      <c r="AO171" s="18"/>
      <c r="AP171" s="18"/>
      <c r="AQ171" s="18"/>
      <c r="AR171" s="18"/>
      <c r="AS171" s="18"/>
      <c r="AT171" s="18"/>
      <c r="AU171" s="18"/>
      <c r="AV171" s="18"/>
      <c r="AW171" s="18"/>
    </row>
    <row r="172" spans="27:49" s="851" customFormat="1" hidden="1" outlineLevel="1">
      <c r="AA172" s="1224"/>
      <c r="AB172" s="1224"/>
      <c r="AC172" s="1224"/>
      <c r="AD172" s="1224"/>
      <c r="AE172" s="1224"/>
      <c r="AF172" s="18"/>
      <c r="AG172" s="18"/>
      <c r="AH172" s="18"/>
      <c r="AI172" s="18"/>
      <c r="AJ172" s="18"/>
      <c r="AK172" s="18"/>
      <c r="AL172" s="18"/>
      <c r="AM172" s="18"/>
      <c r="AN172" s="18"/>
      <c r="AO172" s="18"/>
      <c r="AP172" s="18"/>
      <c r="AQ172" s="18"/>
      <c r="AR172" s="18"/>
      <c r="AS172" s="18"/>
      <c r="AT172" s="18"/>
      <c r="AU172" s="18"/>
      <c r="AV172" s="18"/>
      <c r="AW172" s="18"/>
    </row>
    <row r="173" spans="27:49" s="851" customFormat="1" hidden="1" outlineLevel="1">
      <c r="AA173" s="1224"/>
      <c r="AB173" s="1224"/>
      <c r="AC173" s="1224"/>
      <c r="AD173" s="1224"/>
      <c r="AE173" s="1224"/>
      <c r="AF173" s="18"/>
      <c r="AG173" s="18"/>
      <c r="AH173" s="18"/>
      <c r="AI173" s="18"/>
      <c r="AJ173" s="18"/>
      <c r="AK173" s="18"/>
      <c r="AL173" s="18"/>
      <c r="AM173" s="18"/>
      <c r="AN173" s="18"/>
      <c r="AO173" s="18"/>
      <c r="AP173" s="18"/>
      <c r="AQ173" s="18"/>
      <c r="AR173" s="18"/>
      <c r="AS173" s="18"/>
      <c r="AT173" s="18"/>
      <c r="AU173" s="18"/>
      <c r="AV173" s="18"/>
      <c r="AW173" s="18"/>
    </row>
    <row r="174" spans="27:49" s="851" customFormat="1" hidden="1" outlineLevel="1">
      <c r="AA174" s="1224"/>
      <c r="AB174" s="1224"/>
      <c r="AC174" s="1224"/>
      <c r="AD174" s="1224"/>
      <c r="AE174" s="1224"/>
      <c r="AF174" s="18"/>
      <c r="AG174" s="18"/>
      <c r="AH174" s="18"/>
      <c r="AI174" s="18"/>
      <c r="AJ174" s="18"/>
      <c r="AK174" s="18"/>
      <c r="AL174" s="18"/>
      <c r="AM174" s="18"/>
      <c r="AN174" s="18"/>
      <c r="AO174" s="18"/>
      <c r="AP174" s="18"/>
      <c r="AQ174" s="18"/>
      <c r="AR174" s="18"/>
      <c r="AS174" s="18"/>
      <c r="AT174" s="18"/>
      <c r="AU174" s="18"/>
      <c r="AV174" s="18"/>
      <c r="AW174" s="18"/>
    </row>
    <row r="175" spans="27:49" s="851" customFormat="1" hidden="1" outlineLevel="1">
      <c r="AA175" s="1224"/>
      <c r="AB175" s="1224"/>
      <c r="AC175" s="1224"/>
      <c r="AD175" s="1224"/>
      <c r="AE175" s="1224"/>
      <c r="AF175" s="18"/>
      <c r="AG175" s="18"/>
      <c r="AH175" s="18"/>
      <c r="AI175" s="18"/>
      <c r="AJ175" s="18"/>
      <c r="AK175" s="18"/>
      <c r="AL175" s="18"/>
      <c r="AM175" s="18"/>
      <c r="AN175" s="18"/>
      <c r="AO175" s="18"/>
      <c r="AP175" s="18"/>
      <c r="AQ175" s="18"/>
      <c r="AR175" s="18"/>
      <c r="AS175" s="18"/>
      <c r="AT175" s="18"/>
      <c r="AU175" s="18"/>
      <c r="AV175" s="18"/>
      <c r="AW175" s="18"/>
    </row>
    <row r="176" spans="27:49" s="851" customFormat="1" hidden="1" outlineLevel="1">
      <c r="AA176" s="1224"/>
      <c r="AB176" s="1224"/>
      <c r="AC176" s="1224"/>
      <c r="AD176" s="1224"/>
      <c r="AE176" s="1224"/>
      <c r="AF176" s="18"/>
      <c r="AG176" s="18"/>
      <c r="AH176" s="18"/>
      <c r="AI176" s="18"/>
      <c r="AJ176" s="18"/>
      <c r="AK176" s="18"/>
      <c r="AL176" s="18"/>
      <c r="AM176" s="18"/>
      <c r="AN176" s="18"/>
      <c r="AO176" s="18"/>
      <c r="AP176" s="18"/>
      <c r="AQ176" s="18"/>
      <c r="AR176" s="18"/>
      <c r="AS176" s="18"/>
      <c r="AT176" s="18"/>
      <c r="AU176" s="18"/>
      <c r="AV176" s="18"/>
      <c r="AW176" s="18"/>
    </row>
    <row r="177" spans="27:49" s="851" customFormat="1" hidden="1" outlineLevel="1">
      <c r="AA177" s="1224"/>
      <c r="AB177" s="1224"/>
      <c r="AC177" s="1224"/>
      <c r="AD177" s="1224"/>
      <c r="AE177" s="1224"/>
      <c r="AF177" s="18"/>
      <c r="AG177" s="18"/>
      <c r="AH177" s="18"/>
      <c r="AI177" s="18"/>
      <c r="AJ177" s="18"/>
      <c r="AK177" s="18"/>
      <c r="AL177" s="18"/>
      <c r="AM177" s="18"/>
      <c r="AN177" s="18"/>
      <c r="AO177" s="18"/>
      <c r="AP177" s="18"/>
      <c r="AQ177" s="18"/>
      <c r="AR177" s="18"/>
      <c r="AS177" s="18"/>
      <c r="AT177" s="18"/>
      <c r="AU177" s="18"/>
      <c r="AV177" s="18"/>
      <c r="AW177" s="18"/>
    </row>
    <row r="178" spans="27:49" s="851" customFormat="1" hidden="1" outlineLevel="1">
      <c r="AA178" s="1224"/>
      <c r="AB178" s="1224"/>
      <c r="AC178" s="1224"/>
      <c r="AD178" s="1224"/>
      <c r="AE178" s="1224"/>
      <c r="AF178" s="18"/>
      <c r="AG178" s="18"/>
      <c r="AH178" s="18"/>
      <c r="AI178" s="18"/>
      <c r="AJ178" s="18"/>
      <c r="AK178" s="18"/>
      <c r="AL178" s="18"/>
      <c r="AM178" s="18"/>
      <c r="AN178" s="18"/>
      <c r="AO178" s="18"/>
      <c r="AP178" s="18"/>
      <c r="AQ178" s="18"/>
      <c r="AR178" s="18"/>
      <c r="AS178" s="18"/>
      <c r="AT178" s="18"/>
      <c r="AU178" s="18"/>
      <c r="AV178" s="18"/>
      <c r="AW178" s="18"/>
    </row>
    <row r="179" spans="27:49" s="851" customFormat="1" hidden="1" outlineLevel="1">
      <c r="AA179" s="1224"/>
      <c r="AB179" s="1224"/>
      <c r="AC179" s="1224"/>
      <c r="AD179" s="1224"/>
      <c r="AE179" s="1224"/>
      <c r="AF179" s="18"/>
      <c r="AG179" s="18"/>
      <c r="AH179" s="18"/>
      <c r="AI179" s="18"/>
      <c r="AJ179" s="18"/>
      <c r="AK179" s="18"/>
      <c r="AL179" s="18"/>
      <c r="AM179" s="18"/>
      <c r="AN179" s="18"/>
      <c r="AO179" s="18"/>
      <c r="AP179" s="18"/>
      <c r="AQ179" s="18"/>
      <c r="AR179" s="18"/>
      <c r="AS179" s="18"/>
      <c r="AT179" s="18"/>
      <c r="AU179" s="18"/>
      <c r="AV179" s="18"/>
      <c r="AW179" s="18"/>
    </row>
    <row r="180" spans="27:49" s="851" customFormat="1" hidden="1" outlineLevel="1">
      <c r="AA180" s="1224"/>
      <c r="AB180" s="1224"/>
      <c r="AC180" s="1224"/>
      <c r="AD180" s="1224"/>
      <c r="AE180" s="1224"/>
      <c r="AF180" s="18"/>
      <c r="AG180" s="18"/>
      <c r="AH180" s="18"/>
      <c r="AI180" s="18"/>
      <c r="AJ180" s="18"/>
      <c r="AK180" s="18"/>
      <c r="AL180" s="18"/>
      <c r="AM180" s="18"/>
      <c r="AN180" s="18"/>
      <c r="AO180" s="18"/>
      <c r="AP180" s="18"/>
      <c r="AQ180" s="18"/>
      <c r="AR180" s="18"/>
      <c r="AS180" s="18"/>
      <c r="AT180" s="18"/>
      <c r="AU180" s="18"/>
      <c r="AV180" s="18"/>
      <c r="AW180" s="18"/>
    </row>
    <row r="181" spans="27:49" s="851" customFormat="1" hidden="1" outlineLevel="1">
      <c r="AA181" s="1224"/>
      <c r="AB181" s="1224"/>
      <c r="AC181" s="1224"/>
      <c r="AD181" s="1224"/>
      <c r="AE181" s="1224"/>
      <c r="AF181" s="18"/>
      <c r="AG181" s="18"/>
      <c r="AH181" s="18"/>
      <c r="AI181" s="18"/>
      <c r="AJ181" s="18"/>
      <c r="AK181" s="18"/>
      <c r="AL181" s="18"/>
      <c r="AM181" s="18"/>
      <c r="AN181" s="18"/>
      <c r="AO181" s="18"/>
      <c r="AP181" s="18"/>
      <c r="AQ181" s="18"/>
      <c r="AR181" s="18"/>
      <c r="AS181" s="18"/>
      <c r="AT181" s="18"/>
      <c r="AU181" s="18"/>
      <c r="AV181" s="18"/>
      <c r="AW181" s="18"/>
    </row>
    <row r="182" spans="27:49" s="851" customFormat="1" hidden="1" outlineLevel="1">
      <c r="AA182" s="1224"/>
      <c r="AB182" s="1224"/>
      <c r="AC182" s="1224"/>
      <c r="AD182" s="1224"/>
      <c r="AE182" s="1224"/>
      <c r="AF182" s="18"/>
      <c r="AG182" s="18"/>
      <c r="AH182" s="18"/>
      <c r="AI182" s="18"/>
      <c r="AJ182" s="18"/>
      <c r="AK182" s="18"/>
      <c r="AL182" s="18"/>
      <c r="AM182" s="18"/>
      <c r="AN182" s="18"/>
      <c r="AO182" s="18"/>
      <c r="AP182" s="18"/>
      <c r="AQ182" s="18"/>
      <c r="AR182" s="18"/>
      <c r="AS182" s="18"/>
      <c r="AT182" s="18"/>
      <c r="AU182" s="18"/>
      <c r="AV182" s="18"/>
      <c r="AW182" s="18"/>
    </row>
    <row r="183" spans="27:49" s="851" customFormat="1" hidden="1" outlineLevel="1">
      <c r="AA183" s="1224"/>
      <c r="AB183" s="1224"/>
      <c r="AC183" s="1224"/>
      <c r="AD183" s="1224"/>
      <c r="AE183" s="1224"/>
      <c r="AF183" s="18"/>
      <c r="AG183" s="18"/>
      <c r="AH183" s="18"/>
      <c r="AI183" s="18"/>
      <c r="AJ183" s="18"/>
      <c r="AK183" s="18"/>
      <c r="AL183" s="18"/>
      <c r="AM183" s="18"/>
      <c r="AN183" s="18"/>
      <c r="AO183" s="18"/>
      <c r="AP183" s="18"/>
      <c r="AQ183" s="18"/>
      <c r="AR183" s="18"/>
      <c r="AS183" s="18"/>
      <c r="AT183" s="18"/>
      <c r="AU183" s="18"/>
      <c r="AV183" s="18"/>
      <c r="AW183" s="18"/>
    </row>
    <row r="184" spans="27:49" s="851" customFormat="1" hidden="1" outlineLevel="1">
      <c r="AA184" s="1224"/>
      <c r="AB184" s="1224"/>
      <c r="AC184" s="1224"/>
      <c r="AD184" s="1224"/>
      <c r="AE184" s="1224"/>
      <c r="AF184" s="18"/>
      <c r="AG184" s="18"/>
      <c r="AH184" s="18"/>
      <c r="AI184" s="18"/>
      <c r="AJ184" s="18"/>
      <c r="AK184" s="18"/>
      <c r="AL184" s="18"/>
      <c r="AM184" s="18"/>
      <c r="AN184" s="18"/>
      <c r="AO184" s="18"/>
      <c r="AP184" s="18"/>
      <c r="AQ184" s="18"/>
      <c r="AR184" s="18"/>
      <c r="AS184" s="18"/>
      <c r="AT184" s="18"/>
      <c r="AU184" s="18"/>
      <c r="AV184" s="18"/>
      <c r="AW184" s="18"/>
    </row>
    <row r="185" spans="27:49" s="851" customFormat="1" hidden="1" outlineLevel="1">
      <c r="AA185" s="1224"/>
      <c r="AB185" s="1224"/>
      <c r="AC185" s="1224"/>
      <c r="AD185" s="1224"/>
      <c r="AE185" s="1224"/>
      <c r="AF185" s="18"/>
      <c r="AG185" s="18"/>
      <c r="AH185" s="18"/>
      <c r="AI185" s="18"/>
      <c r="AJ185" s="18"/>
      <c r="AK185" s="18"/>
      <c r="AL185" s="18"/>
      <c r="AM185" s="18"/>
      <c r="AN185" s="18"/>
      <c r="AO185" s="18"/>
      <c r="AP185" s="18"/>
      <c r="AQ185" s="18"/>
      <c r="AR185" s="18"/>
      <c r="AS185" s="18"/>
      <c r="AT185" s="18"/>
      <c r="AU185" s="18"/>
      <c r="AV185" s="18"/>
      <c r="AW185" s="18"/>
    </row>
    <row r="186" spans="27:49" s="851" customFormat="1" hidden="1" outlineLevel="1">
      <c r="AA186" s="1224"/>
      <c r="AB186" s="1224"/>
      <c r="AC186" s="1224"/>
      <c r="AD186" s="1224"/>
      <c r="AE186" s="1224"/>
      <c r="AF186" s="18"/>
      <c r="AG186" s="18"/>
      <c r="AH186" s="18"/>
      <c r="AI186" s="18"/>
      <c r="AJ186" s="18"/>
      <c r="AK186" s="18"/>
      <c r="AL186" s="18"/>
      <c r="AM186" s="18"/>
      <c r="AN186" s="18"/>
      <c r="AO186" s="18"/>
      <c r="AP186" s="18"/>
      <c r="AQ186" s="18"/>
      <c r="AR186" s="18"/>
      <c r="AS186" s="18"/>
      <c r="AT186" s="18"/>
      <c r="AU186" s="18"/>
      <c r="AV186" s="18"/>
      <c r="AW186" s="18"/>
    </row>
    <row r="187" spans="27:49" s="851" customFormat="1" hidden="1" outlineLevel="1">
      <c r="AA187" s="1224"/>
      <c r="AB187" s="1224"/>
      <c r="AC187" s="1224"/>
      <c r="AD187" s="1224"/>
      <c r="AE187" s="1224"/>
      <c r="AF187" s="18"/>
      <c r="AG187" s="18"/>
      <c r="AH187" s="18"/>
      <c r="AI187" s="18"/>
      <c r="AJ187" s="18"/>
      <c r="AK187" s="18"/>
      <c r="AL187" s="18"/>
      <c r="AM187" s="18"/>
      <c r="AN187" s="18"/>
      <c r="AO187" s="18"/>
      <c r="AP187" s="18"/>
      <c r="AQ187" s="18"/>
      <c r="AR187" s="18"/>
      <c r="AS187" s="18"/>
      <c r="AT187" s="18"/>
      <c r="AU187" s="18"/>
      <c r="AV187" s="18"/>
      <c r="AW187" s="18"/>
    </row>
    <row r="188" spans="27:49" s="851" customFormat="1" hidden="1" outlineLevel="1">
      <c r="AA188" s="1224"/>
      <c r="AB188" s="1224"/>
      <c r="AC188" s="1224"/>
      <c r="AD188" s="1224"/>
      <c r="AE188" s="1224"/>
      <c r="AF188" s="18"/>
      <c r="AG188" s="18"/>
      <c r="AH188" s="18"/>
      <c r="AI188" s="18"/>
      <c r="AJ188" s="18"/>
      <c r="AK188" s="18"/>
      <c r="AL188" s="18"/>
      <c r="AM188" s="18"/>
      <c r="AN188" s="18"/>
      <c r="AO188" s="18"/>
      <c r="AP188" s="18"/>
      <c r="AQ188" s="18"/>
      <c r="AR188" s="18"/>
      <c r="AS188" s="18"/>
      <c r="AT188" s="18"/>
      <c r="AU188" s="18"/>
      <c r="AV188" s="18"/>
      <c r="AW188" s="18"/>
    </row>
    <row r="189" spans="27:49" s="851" customFormat="1" hidden="1" outlineLevel="1">
      <c r="AA189" s="1224"/>
      <c r="AB189" s="1224"/>
      <c r="AC189" s="1224"/>
      <c r="AD189" s="1224"/>
      <c r="AE189" s="1224"/>
      <c r="AF189" s="18"/>
      <c r="AG189" s="18"/>
      <c r="AH189" s="18"/>
      <c r="AI189" s="18"/>
      <c r="AJ189" s="18"/>
      <c r="AK189" s="18"/>
      <c r="AL189" s="18"/>
      <c r="AM189" s="18"/>
      <c r="AN189" s="18"/>
      <c r="AO189" s="18"/>
      <c r="AP189" s="18"/>
      <c r="AQ189" s="18"/>
      <c r="AR189" s="18"/>
      <c r="AS189" s="18"/>
      <c r="AT189" s="18"/>
      <c r="AU189" s="18"/>
      <c r="AV189" s="18"/>
      <c r="AW189" s="18"/>
    </row>
    <row r="190" spans="27:49" s="851" customFormat="1" hidden="1" outlineLevel="1">
      <c r="AA190" s="1224"/>
      <c r="AB190" s="1224"/>
      <c r="AC190" s="1224"/>
      <c r="AD190" s="1224"/>
      <c r="AE190" s="1224"/>
      <c r="AF190" s="18"/>
      <c r="AG190" s="18"/>
      <c r="AH190" s="18"/>
      <c r="AI190" s="18"/>
      <c r="AJ190" s="18"/>
      <c r="AK190" s="18"/>
      <c r="AL190" s="18"/>
      <c r="AM190" s="18"/>
      <c r="AN190" s="18"/>
      <c r="AO190" s="18"/>
      <c r="AP190" s="18"/>
      <c r="AQ190" s="18"/>
      <c r="AR190" s="18"/>
      <c r="AS190" s="18"/>
      <c r="AT190" s="18"/>
      <c r="AU190" s="18"/>
      <c r="AV190" s="18"/>
      <c r="AW190" s="18"/>
    </row>
    <row r="191" spans="27:49" s="851" customFormat="1" hidden="1" outlineLevel="1">
      <c r="AA191" s="1224"/>
      <c r="AB191" s="1224"/>
      <c r="AC191" s="1224"/>
      <c r="AD191" s="1224"/>
      <c r="AE191" s="1224"/>
      <c r="AF191" s="18"/>
      <c r="AG191" s="18"/>
      <c r="AH191" s="18"/>
      <c r="AI191" s="18"/>
      <c r="AJ191" s="18"/>
      <c r="AK191" s="18"/>
      <c r="AL191" s="18"/>
      <c r="AM191" s="18"/>
      <c r="AN191" s="18"/>
      <c r="AO191" s="18"/>
      <c r="AP191" s="18"/>
      <c r="AQ191" s="18"/>
      <c r="AR191" s="18"/>
      <c r="AS191" s="18"/>
      <c r="AT191" s="18"/>
      <c r="AU191" s="18"/>
      <c r="AV191" s="18"/>
      <c r="AW191" s="18"/>
    </row>
    <row r="192" spans="27:49" s="851" customFormat="1" hidden="1" outlineLevel="1">
      <c r="AA192" s="1224"/>
      <c r="AB192" s="1224"/>
      <c r="AC192" s="1224"/>
      <c r="AD192" s="1224"/>
      <c r="AE192" s="1224"/>
      <c r="AF192" s="18"/>
      <c r="AG192" s="18"/>
      <c r="AH192" s="18"/>
      <c r="AI192" s="18"/>
      <c r="AJ192" s="18"/>
      <c r="AK192" s="18"/>
      <c r="AL192" s="18"/>
      <c r="AM192" s="18"/>
      <c r="AN192" s="18"/>
      <c r="AO192" s="18"/>
      <c r="AP192" s="18"/>
      <c r="AQ192" s="18"/>
      <c r="AR192" s="18"/>
      <c r="AS192" s="18"/>
      <c r="AT192" s="18"/>
      <c r="AU192" s="18"/>
      <c r="AV192" s="18"/>
      <c r="AW192" s="18"/>
    </row>
    <row r="193" spans="1:49" s="851" customFormat="1" hidden="1" outlineLevel="1">
      <c r="AA193" s="1224"/>
      <c r="AB193" s="1224"/>
      <c r="AC193" s="1224"/>
      <c r="AD193" s="1224"/>
      <c r="AE193" s="1224"/>
      <c r="AF193" s="18"/>
      <c r="AG193" s="18"/>
      <c r="AH193" s="18"/>
      <c r="AI193" s="18"/>
      <c r="AJ193" s="18"/>
      <c r="AK193" s="18"/>
      <c r="AL193" s="18"/>
      <c r="AM193" s="18"/>
      <c r="AN193" s="18"/>
      <c r="AO193" s="18"/>
      <c r="AP193" s="18"/>
      <c r="AQ193" s="18"/>
      <c r="AR193" s="18"/>
      <c r="AS193" s="18"/>
      <c r="AT193" s="18"/>
      <c r="AU193" s="18"/>
      <c r="AV193" s="18"/>
      <c r="AW193" s="18"/>
    </row>
    <row r="194" spans="1:49" s="851" customFormat="1" hidden="1" outlineLevel="1">
      <c r="AA194" s="1224"/>
      <c r="AB194" s="1224"/>
      <c r="AC194" s="1224"/>
      <c r="AD194" s="1224"/>
      <c r="AE194" s="1224"/>
      <c r="AF194" s="18"/>
      <c r="AG194" s="18"/>
      <c r="AH194" s="18"/>
      <c r="AI194" s="18"/>
      <c r="AJ194" s="18"/>
      <c r="AK194" s="18"/>
      <c r="AL194" s="18"/>
      <c r="AM194" s="18"/>
      <c r="AN194" s="18"/>
      <c r="AO194" s="18"/>
      <c r="AP194" s="18"/>
      <c r="AQ194" s="18"/>
      <c r="AR194" s="18"/>
      <c r="AS194" s="18"/>
      <c r="AT194" s="18"/>
      <c r="AU194" s="18"/>
      <c r="AV194" s="18"/>
      <c r="AW194" s="18"/>
    </row>
    <row r="195" spans="1:49" s="851" customFormat="1" hidden="1" outlineLevel="1">
      <c r="AA195" s="1224"/>
      <c r="AB195" s="1224"/>
      <c r="AC195" s="1224"/>
      <c r="AD195" s="1224"/>
      <c r="AE195" s="1224"/>
      <c r="AF195" s="18"/>
      <c r="AG195" s="18"/>
      <c r="AH195" s="18"/>
      <c r="AI195" s="18"/>
      <c r="AJ195" s="18"/>
      <c r="AK195" s="18"/>
      <c r="AL195" s="18"/>
      <c r="AM195" s="18"/>
      <c r="AN195" s="18"/>
      <c r="AO195" s="18"/>
      <c r="AP195" s="18"/>
      <c r="AQ195" s="18"/>
      <c r="AR195" s="18"/>
      <c r="AS195" s="18"/>
      <c r="AT195" s="18"/>
      <c r="AU195" s="18"/>
      <c r="AV195" s="18"/>
      <c r="AW195" s="18"/>
    </row>
    <row r="196" spans="1:49" s="851" customFormat="1" hidden="1" outlineLevel="1">
      <c r="AA196" s="1224"/>
      <c r="AB196" s="1224"/>
      <c r="AC196" s="1224"/>
      <c r="AD196" s="1224"/>
      <c r="AE196" s="1224"/>
      <c r="AF196" s="18"/>
      <c r="AG196" s="18"/>
      <c r="AH196" s="18"/>
      <c r="AI196" s="18"/>
      <c r="AJ196" s="18"/>
      <c r="AK196" s="18"/>
      <c r="AL196" s="18"/>
      <c r="AM196" s="18"/>
      <c r="AN196" s="18"/>
      <c r="AO196" s="18"/>
      <c r="AP196" s="18"/>
      <c r="AQ196" s="18"/>
      <c r="AR196" s="18"/>
      <c r="AS196" s="18"/>
      <c r="AT196" s="18"/>
      <c r="AU196" s="18"/>
      <c r="AV196" s="18"/>
      <c r="AW196" s="18"/>
    </row>
    <row r="197" spans="1:49" s="851" customFormat="1" hidden="1" outlineLevel="1">
      <c r="AA197" s="1224"/>
      <c r="AB197" s="1224"/>
      <c r="AC197" s="1224"/>
      <c r="AD197" s="1224"/>
      <c r="AE197" s="1224"/>
      <c r="AF197" s="18"/>
      <c r="AG197" s="18"/>
      <c r="AH197" s="18"/>
      <c r="AI197" s="18"/>
      <c r="AJ197" s="18"/>
      <c r="AK197" s="18"/>
      <c r="AL197" s="18"/>
      <c r="AM197" s="18"/>
      <c r="AN197" s="18"/>
      <c r="AO197" s="18"/>
      <c r="AP197" s="18"/>
      <c r="AQ197" s="18"/>
      <c r="AR197" s="18"/>
      <c r="AS197" s="18"/>
      <c r="AT197" s="18"/>
      <c r="AU197" s="18"/>
      <c r="AV197" s="18"/>
      <c r="AW197" s="18"/>
    </row>
    <row r="198" spans="1:49" s="851" customFormat="1" hidden="1" outlineLevel="1">
      <c r="AA198" s="1224"/>
      <c r="AB198" s="1224"/>
      <c r="AC198" s="1224"/>
      <c r="AD198" s="1224"/>
      <c r="AE198" s="1224"/>
      <c r="AF198" s="18"/>
      <c r="AG198" s="18"/>
      <c r="AH198" s="18"/>
      <c r="AI198" s="18"/>
      <c r="AJ198" s="18"/>
      <c r="AK198" s="18"/>
      <c r="AL198" s="18"/>
      <c r="AM198" s="18"/>
      <c r="AN198" s="18"/>
      <c r="AO198" s="18"/>
      <c r="AP198" s="18"/>
      <c r="AQ198" s="18"/>
      <c r="AR198" s="18"/>
      <c r="AS198" s="18"/>
      <c r="AT198" s="18"/>
      <c r="AU198" s="18"/>
      <c r="AV198" s="18"/>
      <c r="AW198" s="18"/>
    </row>
    <row r="199" spans="1:49" hidden="1" outlineLevel="1">
      <c r="AW199" s="18"/>
    </row>
    <row r="200" spans="1:49" s="1015" customFormat="1" ht="21" collapsed="1">
      <c r="A200" s="1015" t="s">
        <v>573</v>
      </c>
      <c r="B200" s="1016"/>
      <c r="C200" s="1016"/>
      <c r="D200" s="1016"/>
      <c r="E200" s="1016"/>
      <c r="F200" s="1016"/>
      <c r="G200" s="1016"/>
      <c r="H200" s="1016"/>
      <c r="I200" s="1016"/>
      <c r="J200" s="1016"/>
      <c r="K200" s="1016"/>
      <c r="L200" s="1016"/>
      <c r="M200" s="1016"/>
      <c r="N200" s="1016"/>
      <c r="O200" s="1016"/>
      <c r="P200" s="1016"/>
      <c r="Q200" s="1016"/>
      <c r="R200" s="1016"/>
      <c r="S200" s="1016"/>
      <c r="T200" s="1016"/>
      <c r="U200" s="1016"/>
      <c r="V200" s="1016"/>
      <c r="W200" s="1016"/>
      <c r="X200" s="1016"/>
      <c r="Y200" s="1016"/>
      <c r="Z200" s="1016"/>
      <c r="AA200" s="1228"/>
      <c r="AB200" s="1229"/>
      <c r="AC200" s="1228"/>
      <c r="AD200" s="1228"/>
      <c r="AE200" s="1228"/>
      <c r="AF200" s="1017"/>
      <c r="AG200" s="1017"/>
      <c r="AH200" s="1017"/>
      <c r="AI200" s="1017"/>
      <c r="AJ200" s="1017"/>
      <c r="AK200" s="1017"/>
      <c r="AL200" s="1017"/>
      <c r="AM200" s="1017"/>
      <c r="AN200" s="1017"/>
      <c r="AO200" s="1017"/>
      <c r="AP200" s="1017"/>
      <c r="AQ200" s="1017"/>
      <c r="AR200" s="1017"/>
      <c r="AS200" s="1017"/>
      <c r="AT200" s="1017"/>
      <c r="AU200" s="1017"/>
      <c r="AV200" s="1017"/>
      <c r="AW200" s="1017"/>
    </row>
    <row r="201" spans="1:49" s="851" customFormat="1" hidden="1" outlineLevel="1">
      <c r="A201" s="2" t="str">
        <f t="shared" ref="A201:AF201" si="94">IF(A101="","",A101)</f>
        <v>Swiss Universal Bank</v>
      </c>
      <c r="B201" s="851" t="str">
        <f t="shared" si="94"/>
        <v/>
      </c>
      <c r="C201" s="851" t="str">
        <f t="shared" si="94"/>
        <v/>
      </c>
      <c r="D201" s="851" t="str">
        <f t="shared" si="94"/>
        <v/>
      </c>
      <c r="E201" s="851" t="str">
        <f t="shared" si="94"/>
        <v/>
      </c>
      <c r="F201" s="851" t="str">
        <f t="shared" si="94"/>
        <v/>
      </c>
      <c r="G201" s="851" t="str">
        <f t="shared" si="94"/>
        <v/>
      </c>
      <c r="H201" s="851" t="str">
        <f t="shared" si="94"/>
        <v/>
      </c>
      <c r="I201" s="851" t="str">
        <f t="shared" si="94"/>
        <v/>
      </c>
      <c r="J201" s="851" t="str">
        <f t="shared" si="94"/>
        <v/>
      </c>
      <c r="K201" s="851" t="str">
        <f t="shared" si="94"/>
        <v/>
      </c>
      <c r="L201" s="851" t="str">
        <f t="shared" si="94"/>
        <v/>
      </c>
      <c r="M201" s="851" t="str">
        <f t="shared" si="94"/>
        <v/>
      </c>
      <c r="N201" s="851" t="str">
        <f t="shared" si="94"/>
        <v/>
      </c>
      <c r="O201" s="851" t="str">
        <f t="shared" si="94"/>
        <v/>
      </c>
      <c r="P201" s="851" t="str">
        <f t="shared" si="94"/>
        <v/>
      </c>
      <c r="Q201" s="851" t="str">
        <f t="shared" si="94"/>
        <v/>
      </c>
      <c r="R201" s="851" t="str">
        <f t="shared" si="94"/>
        <v/>
      </c>
      <c r="S201" s="851" t="str">
        <f t="shared" si="94"/>
        <v/>
      </c>
      <c r="T201" s="851" t="str">
        <f t="shared" si="94"/>
        <v/>
      </c>
      <c r="U201" s="851" t="str">
        <f t="shared" si="94"/>
        <v/>
      </c>
      <c r="V201" s="851" t="str">
        <f t="shared" si="94"/>
        <v/>
      </c>
      <c r="W201" s="851" t="str">
        <f t="shared" si="94"/>
        <v/>
      </c>
      <c r="X201" s="851" t="str">
        <f t="shared" si="94"/>
        <v/>
      </c>
      <c r="Y201" s="851" t="str">
        <f t="shared" si="94"/>
        <v/>
      </c>
      <c r="Z201" s="851" t="str">
        <f t="shared" si="94"/>
        <v/>
      </c>
      <c r="AA201" s="1224" t="str">
        <f t="shared" si="94"/>
        <v/>
      </c>
      <c r="AB201" s="1224" t="str">
        <f t="shared" si="94"/>
        <v/>
      </c>
      <c r="AC201" s="1224" t="str">
        <f t="shared" si="94"/>
        <v/>
      </c>
      <c r="AD201" s="1224" t="str">
        <f t="shared" si="94"/>
        <v/>
      </c>
      <c r="AE201" s="1224" t="str">
        <f t="shared" si="94"/>
        <v/>
      </c>
      <c r="AF201" s="18" t="str">
        <f t="shared" si="94"/>
        <v/>
      </c>
      <c r="AG201" s="18" t="str">
        <f t="shared" ref="AG201:AW201" si="95">IF(AG101="","",AG101)</f>
        <v/>
      </c>
      <c r="AH201" s="18" t="str">
        <f t="shared" si="95"/>
        <v/>
      </c>
      <c r="AI201" s="18" t="str">
        <f t="shared" si="95"/>
        <v/>
      </c>
      <c r="AJ201" s="18" t="str">
        <f t="shared" si="95"/>
        <v/>
      </c>
      <c r="AK201" s="18" t="str">
        <f t="shared" si="95"/>
        <v/>
      </c>
      <c r="AL201" s="18" t="str">
        <f t="shared" si="95"/>
        <v/>
      </c>
      <c r="AM201" s="18" t="str">
        <f t="shared" si="95"/>
        <v/>
      </c>
      <c r="AN201" s="18" t="str">
        <f t="shared" si="95"/>
        <v/>
      </c>
      <c r="AO201" s="18" t="str">
        <f t="shared" si="95"/>
        <v/>
      </c>
      <c r="AP201" s="18" t="str">
        <f t="shared" si="95"/>
        <v/>
      </c>
      <c r="AQ201" s="18" t="str">
        <f t="shared" si="95"/>
        <v/>
      </c>
      <c r="AR201" s="18" t="str">
        <f t="shared" si="95"/>
        <v/>
      </c>
      <c r="AS201" s="18" t="str">
        <f t="shared" si="95"/>
        <v/>
      </c>
      <c r="AT201" s="18" t="str">
        <f t="shared" si="95"/>
        <v/>
      </c>
      <c r="AU201" s="18" t="str">
        <f t="shared" si="95"/>
        <v/>
      </c>
      <c r="AV201" s="18" t="str">
        <f t="shared" si="95"/>
        <v/>
      </c>
      <c r="AW201" s="18" t="str">
        <f t="shared" si="95"/>
        <v/>
      </c>
    </row>
    <row r="202" spans="1:49" s="851" customFormat="1" hidden="1" outlineLevel="1">
      <c r="A202" s="851" t="str">
        <f t="shared" ref="A202:AA202" si="96">IF(A102="","",A102)</f>
        <v>Cost/income ratio</v>
      </c>
      <c r="B202" s="851" t="str">
        <f t="shared" si="96"/>
        <v/>
      </c>
      <c r="C202" s="851" t="str">
        <f t="shared" si="96"/>
        <v/>
      </c>
      <c r="D202" s="851" t="str">
        <f t="shared" si="96"/>
        <v/>
      </c>
      <c r="E202" s="851" t="str">
        <f t="shared" si="96"/>
        <v/>
      </c>
      <c r="F202" s="851" t="str">
        <f t="shared" si="96"/>
        <v/>
      </c>
      <c r="G202" s="851" t="str">
        <f t="shared" si="96"/>
        <v/>
      </c>
      <c r="H202" s="851" t="str">
        <f t="shared" si="96"/>
        <v/>
      </c>
      <c r="I202" s="851" t="str">
        <f t="shared" si="96"/>
        <v/>
      </c>
      <c r="J202" s="851" t="str">
        <f t="shared" si="96"/>
        <v/>
      </c>
      <c r="K202" s="851" t="str">
        <f t="shared" si="96"/>
        <v/>
      </c>
      <c r="L202" s="851" t="str">
        <f t="shared" si="96"/>
        <v/>
      </c>
      <c r="M202" s="851" t="str">
        <f t="shared" si="96"/>
        <v/>
      </c>
      <c r="N202" s="851" t="str">
        <f t="shared" si="96"/>
        <v/>
      </c>
      <c r="O202" s="851" t="str">
        <f t="shared" si="96"/>
        <v/>
      </c>
      <c r="P202" s="851" t="str">
        <f t="shared" si="96"/>
        <v/>
      </c>
      <c r="Q202" s="851" t="str">
        <f t="shared" si="96"/>
        <v/>
      </c>
      <c r="R202" s="851" t="str">
        <f t="shared" si="96"/>
        <v/>
      </c>
      <c r="S202" s="851" t="str">
        <f t="shared" si="96"/>
        <v/>
      </c>
      <c r="T202" s="851" t="str">
        <f t="shared" si="96"/>
        <v/>
      </c>
      <c r="U202" s="851" t="str">
        <f t="shared" si="96"/>
        <v/>
      </c>
      <c r="V202" s="851" t="str">
        <f t="shared" si="96"/>
        <v/>
      </c>
      <c r="W202" s="851" t="str">
        <f t="shared" si="96"/>
        <v/>
      </c>
      <c r="X202" s="851" t="str">
        <f t="shared" si="96"/>
        <v/>
      </c>
      <c r="Y202" s="851" t="str">
        <f t="shared" si="96"/>
        <v/>
      </c>
      <c r="Z202" s="851" t="str">
        <f t="shared" si="96"/>
        <v/>
      </c>
      <c r="AA202" s="1224" t="str">
        <f t="shared" si="96"/>
        <v/>
      </c>
      <c r="AB202" s="1226">
        <f t="shared" ref="AB202:AW202" si="97">IF(AB102="","",AB102)+AB236</f>
        <v>0.66107238223524911</v>
      </c>
      <c r="AC202" s="1226">
        <f t="shared" si="97"/>
        <v>0.64407235016073905</v>
      </c>
      <c r="AD202" s="1226">
        <f t="shared" si="97"/>
        <v>0.66142940583719712</v>
      </c>
      <c r="AE202" s="1226">
        <f t="shared" si="97"/>
        <v>0.66481646006804762</v>
      </c>
      <c r="AF202" s="924">
        <f t="shared" si="97"/>
        <v>0.62683535681553493</v>
      </c>
      <c r="AG202" s="924">
        <f t="shared" si="97"/>
        <v>0.60076125804145819</v>
      </c>
      <c r="AH202" s="924">
        <f t="shared" si="97"/>
        <v>0.59357459379615962</v>
      </c>
      <c r="AI202" s="924">
        <f t="shared" si="97"/>
        <v>0.52760498220640573</v>
      </c>
      <c r="AJ202" s="924">
        <f t="shared" si="97"/>
        <v>0.56978392721758908</v>
      </c>
      <c r="AK202" s="924">
        <f t="shared" si="97"/>
        <v>0.56883392721758907</v>
      </c>
      <c r="AL202" s="924">
        <f t="shared" si="97"/>
        <v>0.56788392721758907</v>
      </c>
      <c r="AM202" s="924">
        <f t="shared" si="97"/>
        <v>0.56693392721758906</v>
      </c>
      <c r="AN202" s="924">
        <f t="shared" si="97"/>
        <v>0.56598392721758906</v>
      </c>
      <c r="AO202" s="924">
        <f t="shared" si="97"/>
        <v>0.56503392721758905</v>
      </c>
      <c r="AP202" s="924">
        <f t="shared" si="97"/>
        <v>0.56408392721758904</v>
      </c>
      <c r="AQ202" s="924">
        <f t="shared" si="97"/>
        <v>0.56313392721758904</v>
      </c>
      <c r="AR202" s="924">
        <f t="shared" si="97"/>
        <v>0.56218392721758903</v>
      </c>
      <c r="AS202" s="924">
        <f t="shared" si="97"/>
        <v>0.56123392721758902</v>
      </c>
      <c r="AT202" s="924">
        <f t="shared" si="97"/>
        <v>0.56028392721758902</v>
      </c>
      <c r="AU202" s="924">
        <f t="shared" si="97"/>
        <v>0.55933392721758901</v>
      </c>
      <c r="AV202" s="924">
        <f t="shared" si="97"/>
        <v>0.558383927217589</v>
      </c>
      <c r="AW202" s="924">
        <f t="shared" si="97"/>
        <v>0.557433927217589</v>
      </c>
    </row>
    <row r="203" spans="1:49" s="851" customFormat="1" hidden="1" outlineLevel="1">
      <c r="A203" s="851" t="str">
        <f t="shared" ref="A203:AA203" si="98">IF(A103="","",A103)</f>
        <v>Net loans growth</v>
      </c>
      <c r="B203" s="851" t="str">
        <f t="shared" si="98"/>
        <v/>
      </c>
      <c r="C203" s="851" t="str">
        <f t="shared" si="98"/>
        <v/>
      </c>
      <c r="D203" s="851" t="str">
        <f t="shared" si="98"/>
        <v/>
      </c>
      <c r="E203" s="851" t="str">
        <f t="shared" si="98"/>
        <v/>
      </c>
      <c r="F203" s="851" t="str">
        <f t="shared" si="98"/>
        <v/>
      </c>
      <c r="G203" s="851" t="str">
        <f t="shared" si="98"/>
        <v/>
      </c>
      <c r="H203" s="851" t="str">
        <f t="shared" si="98"/>
        <v/>
      </c>
      <c r="I203" s="851" t="str">
        <f t="shared" si="98"/>
        <v/>
      </c>
      <c r="J203" s="851" t="str">
        <f t="shared" si="98"/>
        <v/>
      </c>
      <c r="K203" s="851" t="str">
        <f t="shared" si="98"/>
        <v/>
      </c>
      <c r="L203" s="851" t="str">
        <f t="shared" si="98"/>
        <v/>
      </c>
      <c r="M203" s="851" t="str">
        <f t="shared" si="98"/>
        <v/>
      </c>
      <c r="N203" s="851" t="str">
        <f t="shared" si="98"/>
        <v/>
      </c>
      <c r="O203" s="851" t="str">
        <f t="shared" si="98"/>
        <v/>
      </c>
      <c r="P203" s="851" t="str">
        <f t="shared" si="98"/>
        <v/>
      </c>
      <c r="Q203" s="851" t="str">
        <f t="shared" si="98"/>
        <v/>
      </c>
      <c r="R203" s="851" t="str">
        <f t="shared" si="98"/>
        <v/>
      </c>
      <c r="S203" s="851" t="str">
        <f t="shared" si="98"/>
        <v/>
      </c>
      <c r="T203" s="851" t="str">
        <f t="shared" si="98"/>
        <v/>
      </c>
      <c r="U203" s="851" t="str">
        <f t="shared" si="98"/>
        <v/>
      </c>
      <c r="V203" s="851" t="str">
        <f t="shared" si="98"/>
        <v/>
      </c>
      <c r="W203" s="851" t="str">
        <f t="shared" si="98"/>
        <v/>
      </c>
      <c r="X203" s="851" t="str">
        <f t="shared" si="98"/>
        <v/>
      </c>
      <c r="Y203" s="851" t="str">
        <f t="shared" si="98"/>
        <v/>
      </c>
      <c r="Z203" s="851" t="str">
        <f t="shared" si="98"/>
        <v/>
      </c>
      <c r="AA203" s="1224" t="str">
        <f t="shared" si="98"/>
        <v/>
      </c>
      <c r="AB203" s="1226" t="e">
        <f t="shared" ref="AB203:AW203" si="99">IF(AB103="","",AB103)+AB237</f>
        <v>#VALUE!</v>
      </c>
      <c r="AC203" s="1226">
        <f t="shared" si="99"/>
        <v>1.1235689478759803E-2</v>
      </c>
      <c r="AD203" s="1226">
        <f t="shared" si="99"/>
        <v>2.2235298138943864E-2</v>
      </c>
      <c r="AE203" s="1226">
        <f t="shared" si="99"/>
        <v>2.2235298138943864E-2</v>
      </c>
      <c r="AF203" s="924">
        <f t="shared" si="99"/>
        <v>2.2235298138943864E-2</v>
      </c>
      <c r="AG203" s="924">
        <f t="shared" si="99"/>
        <v>2.2235298138943864E-2</v>
      </c>
      <c r="AH203" s="924">
        <f t="shared" si="99"/>
        <v>2.0936987845341974E-2</v>
      </c>
      <c r="AI203" s="924">
        <f t="shared" si="99"/>
        <v>2.0936987845341974E-2</v>
      </c>
      <c r="AJ203" s="924">
        <f t="shared" si="99"/>
        <v>2.0936987845341974E-2</v>
      </c>
      <c r="AK203" s="924">
        <f t="shared" si="99"/>
        <v>2.0936987845341974E-2</v>
      </c>
      <c r="AL203" s="924">
        <f t="shared" si="99"/>
        <v>2.0607585452034498E-2</v>
      </c>
      <c r="AM203" s="924">
        <f t="shared" si="99"/>
        <v>2.0607585452034498E-2</v>
      </c>
      <c r="AN203" s="924">
        <f t="shared" si="99"/>
        <v>2.0607585452034498E-2</v>
      </c>
      <c r="AO203" s="924">
        <f t="shared" si="99"/>
        <v>2.0607585452034498E-2</v>
      </c>
      <c r="AP203" s="924">
        <f t="shared" si="99"/>
        <v>2.0249374581586259E-2</v>
      </c>
      <c r="AQ203" s="924">
        <f t="shared" si="99"/>
        <v>2.0249374581586259E-2</v>
      </c>
      <c r="AR203" s="924">
        <f t="shared" si="99"/>
        <v>2.0249374581586259E-2</v>
      </c>
      <c r="AS203" s="924">
        <f t="shared" si="99"/>
        <v>2.0249374581586259E-2</v>
      </c>
      <c r="AT203" s="924">
        <f t="shared" si="99"/>
        <v>1.9889302764807708E-2</v>
      </c>
      <c r="AU203" s="924">
        <f t="shared" si="99"/>
        <v>1.9889302764807708E-2</v>
      </c>
      <c r="AV203" s="924">
        <f t="shared" si="99"/>
        <v>1.9889302764807708E-2</v>
      </c>
      <c r="AW203" s="924">
        <f t="shared" si="99"/>
        <v>1.9889302764807708E-2</v>
      </c>
    </row>
    <row r="204" spans="1:49" s="851" customFormat="1" hidden="1" outlineLevel="1">
      <c r="A204" s="851" t="str">
        <f t="shared" ref="A204:AA204" si="100">IF(A104="","",A104)</f>
        <v>Assets under management growth</v>
      </c>
      <c r="B204" s="851" t="str">
        <f t="shared" si="100"/>
        <v/>
      </c>
      <c r="C204" s="851" t="str">
        <f t="shared" si="100"/>
        <v/>
      </c>
      <c r="D204" s="851" t="str">
        <f t="shared" si="100"/>
        <v/>
      </c>
      <c r="E204" s="851" t="str">
        <f t="shared" si="100"/>
        <v/>
      </c>
      <c r="F204" s="851" t="str">
        <f t="shared" si="100"/>
        <v/>
      </c>
      <c r="G204" s="851" t="str">
        <f t="shared" si="100"/>
        <v/>
      </c>
      <c r="H204" s="851" t="str">
        <f t="shared" si="100"/>
        <v/>
      </c>
      <c r="I204" s="851" t="str">
        <f t="shared" si="100"/>
        <v/>
      </c>
      <c r="J204" s="851" t="str">
        <f t="shared" si="100"/>
        <v/>
      </c>
      <c r="K204" s="851" t="str">
        <f t="shared" si="100"/>
        <v/>
      </c>
      <c r="L204" s="851" t="str">
        <f t="shared" si="100"/>
        <v/>
      </c>
      <c r="M204" s="851" t="str">
        <f t="shared" si="100"/>
        <v/>
      </c>
      <c r="N204" s="851" t="str">
        <f t="shared" si="100"/>
        <v/>
      </c>
      <c r="O204" s="851" t="str">
        <f t="shared" si="100"/>
        <v/>
      </c>
      <c r="P204" s="851" t="str">
        <f t="shared" si="100"/>
        <v/>
      </c>
      <c r="Q204" s="851" t="str">
        <f t="shared" si="100"/>
        <v/>
      </c>
      <c r="R204" s="851" t="str">
        <f t="shared" si="100"/>
        <v/>
      </c>
      <c r="S204" s="851" t="str">
        <f t="shared" si="100"/>
        <v/>
      </c>
      <c r="T204" s="851" t="str">
        <f t="shared" si="100"/>
        <v/>
      </c>
      <c r="U204" s="851" t="str">
        <f t="shared" si="100"/>
        <v/>
      </c>
      <c r="V204" s="851" t="str">
        <f t="shared" si="100"/>
        <v/>
      </c>
      <c r="W204" s="851" t="str">
        <f t="shared" si="100"/>
        <v/>
      </c>
      <c r="X204" s="851" t="str">
        <f t="shared" si="100"/>
        <v/>
      </c>
      <c r="Y204" s="851" t="str">
        <f t="shared" si="100"/>
        <v/>
      </c>
      <c r="Z204" s="851" t="str">
        <f t="shared" si="100"/>
        <v/>
      </c>
      <c r="AA204" s="1224" t="str">
        <f t="shared" si="100"/>
        <v/>
      </c>
      <c r="AB204" s="1226">
        <f t="shared" ref="AB204:AW204" si="101">IF(AB104="","",AB104)+AB238</f>
        <v>0.01</v>
      </c>
      <c r="AC204" s="1226">
        <f t="shared" si="101"/>
        <v>0.01</v>
      </c>
      <c r="AD204" s="1226">
        <f t="shared" si="101"/>
        <v>0.02</v>
      </c>
      <c r="AE204" s="1226">
        <f t="shared" si="101"/>
        <v>0.02</v>
      </c>
      <c r="AF204" s="924">
        <f t="shared" si="101"/>
        <v>1.4599844036756062E-2</v>
      </c>
      <c r="AG204" s="924">
        <f t="shared" si="101"/>
        <v>1.4599844036756062E-2</v>
      </c>
      <c r="AH204" s="924">
        <f t="shared" si="101"/>
        <v>1.4599844036756062E-2</v>
      </c>
      <c r="AI204" s="924">
        <f t="shared" si="101"/>
        <v>1.4599844036756062E-2</v>
      </c>
      <c r="AJ204" s="924">
        <f t="shared" si="101"/>
        <v>1.4599844036756062E-2</v>
      </c>
      <c r="AK204" s="924">
        <f t="shared" si="101"/>
        <v>1.4599844036756062E-2</v>
      </c>
      <c r="AL204" s="924">
        <f t="shared" si="101"/>
        <v>1.4599844036756062E-2</v>
      </c>
      <c r="AM204" s="924">
        <f t="shared" si="101"/>
        <v>1.4599844036756062E-2</v>
      </c>
      <c r="AN204" s="924">
        <f t="shared" si="101"/>
        <v>1.4599844036756062E-2</v>
      </c>
      <c r="AO204" s="924">
        <f t="shared" si="101"/>
        <v>1.4599844036756062E-2</v>
      </c>
      <c r="AP204" s="924">
        <f t="shared" si="101"/>
        <v>1.4599844036756062E-2</v>
      </c>
      <c r="AQ204" s="924">
        <f t="shared" si="101"/>
        <v>1.4599844036756062E-2</v>
      </c>
      <c r="AR204" s="924">
        <f t="shared" si="101"/>
        <v>1.4599844036756062E-2</v>
      </c>
      <c r="AS204" s="924">
        <f t="shared" si="101"/>
        <v>1.4599844036756062E-2</v>
      </c>
      <c r="AT204" s="924">
        <f t="shared" si="101"/>
        <v>1.4599844036756062E-2</v>
      </c>
      <c r="AU204" s="924">
        <f t="shared" si="101"/>
        <v>1.4599844036756062E-2</v>
      </c>
      <c r="AV204" s="924">
        <f t="shared" si="101"/>
        <v>1.4599844036756062E-2</v>
      </c>
      <c r="AW204" s="924">
        <f t="shared" si="101"/>
        <v>1.4599844036756062E-2</v>
      </c>
    </row>
    <row r="205" spans="1:49" s="851" customFormat="1" hidden="1" outlineLevel="1">
      <c r="A205" s="851" t="str">
        <f t="shared" ref="A205:AA205" si="102">IF(A105="","",A105)</f>
        <v/>
      </c>
      <c r="B205" s="851" t="str">
        <f t="shared" si="102"/>
        <v/>
      </c>
      <c r="C205" s="851" t="str">
        <f t="shared" si="102"/>
        <v/>
      </c>
      <c r="D205" s="851" t="str">
        <f t="shared" si="102"/>
        <v/>
      </c>
      <c r="E205" s="851" t="str">
        <f t="shared" si="102"/>
        <v/>
      </c>
      <c r="F205" s="851" t="str">
        <f t="shared" si="102"/>
        <v/>
      </c>
      <c r="G205" s="851" t="str">
        <f t="shared" si="102"/>
        <v/>
      </c>
      <c r="H205" s="851" t="str">
        <f t="shared" si="102"/>
        <v/>
      </c>
      <c r="I205" s="851" t="str">
        <f t="shared" si="102"/>
        <v/>
      </c>
      <c r="J205" s="851" t="str">
        <f t="shared" si="102"/>
        <v/>
      </c>
      <c r="K205" s="851" t="str">
        <f t="shared" si="102"/>
        <v/>
      </c>
      <c r="L205" s="851" t="str">
        <f t="shared" si="102"/>
        <v/>
      </c>
      <c r="M205" s="851" t="str">
        <f t="shared" si="102"/>
        <v/>
      </c>
      <c r="N205" s="851" t="str">
        <f t="shared" si="102"/>
        <v/>
      </c>
      <c r="O205" s="851" t="str">
        <f t="shared" si="102"/>
        <v/>
      </c>
      <c r="P205" s="851" t="str">
        <f t="shared" si="102"/>
        <v/>
      </c>
      <c r="Q205" s="851" t="str">
        <f t="shared" si="102"/>
        <v/>
      </c>
      <c r="R205" s="851" t="str">
        <f t="shared" si="102"/>
        <v/>
      </c>
      <c r="S205" s="851" t="str">
        <f t="shared" si="102"/>
        <v/>
      </c>
      <c r="T205" s="851" t="str">
        <f t="shared" si="102"/>
        <v/>
      </c>
      <c r="U205" s="851" t="str">
        <f t="shared" si="102"/>
        <v/>
      </c>
      <c r="V205" s="851" t="str">
        <f t="shared" si="102"/>
        <v/>
      </c>
      <c r="W205" s="851" t="str">
        <f t="shared" si="102"/>
        <v/>
      </c>
      <c r="X205" s="851" t="str">
        <f t="shared" si="102"/>
        <v/>
      </c>
      <c r="Y205" s="851" t="str">
        <f t="shared" si="102"/>
        <v/>
      </c>
      <c r="Z205" s="851" t="str">
        <f t="shared" si="102"/>
        <v/>
      </c>
      <c r="AA205" s="1224" t="str">
        <f t="shared" si="102"/>
        <v/>
      </c>
      <c r="AB205" s="1224" t="str">
        <f t="shared" ref="AB205:AW205" si="103">IF(AB105="","",AB105)</f>
        <v/>
      </c>
      <c r="AC205" s="1224" t="str">
        <f t="shared" si="103"/>
        <v/>
      </c>
      <c r="AD205" s="1224" t="str">
        <f t="shared" si="103"/>
        <v/>
      </c>
      <c r="AE205" s="1224" t="str">
        <f t="shared" si="103"/>
        <v/>
      </c>
      <c r="AF205" s="18" t="str">
        <f t="shared" si="103"/>
        <v/>
      </c>
      <c r="AG205" s="18" t="str">
        <f t="shared" si="103"/>
        <v/>
      </c>
      <c r="AH205" s="18" t="str">
        <f t="shared" si="103"/>
        <v/>
      </c>
      <c r="AI205" s="18" t="str">
        <f t="shared" si="103"/>
        <v/>
      </c>
      <c r="AJ205" s="18" t="str">
        <f t="shared" si="103"/>
        <v/>
      </c>
      <c r="AK205" s="18" t="str">
        <f t="shared" si="103"/>
        <v/>
      </c>
      <c r="AL205" s="18" t="str">
        <f t="shared" si="103"/>
        <v/>
      </c>
      <c r="AM205" s="18" t="str">
        <f t="shared" si="103"/>
        <v/>
      </c>
      <c r="AN205" s="18" t="str">
        <f t="shared" si="103"/>
        <v/>
      </c>
      <c r="AO205" s="18" t="str">
        <f t="shared" si="103"/>
        <v/>
      </c>
      <c r="AP205" s="18" t="str">
        <f t="shared" si="103"/>
        <v/>
      </c>
      <c r="AQ205" s="18" t="str">
        <f t="shared" si="103"/>
        <v/>
      </c>
      <c r="AR205" s="18" t="str">
        <f t="shared" si="103"/>
        <v/>
      </c>
      <c r="AS205" s="18" t="str">
        <f t="shared" si="103"/>
        <v/>
      </c>
      <c r="AT205" s="18" t="str">
        <f t="shared" si="103"/>
        <v/>
      </c>
      <c r="AU205" s="18" t="str">
        <f t="shared" si="103"/>
        <v/>
      </c>
      <c r="AV205" s="18" t="str">
        <f t="shared" si="103"/>
        <v/>
      </c>
      <c r="AW205" s="18" t="str">
        <f t="shared" si="103"/>
        <v/>
      </c>
    </row>
    <row r="206" spans="1:49" s="851" customFormat="1" hidden="1" outlineLevel="1">
      <c r="A206" s="2" t="str">
        <f t="shared" ref="A206:AA206" si="104">IF(A106="","",A106)</f>
        <v>International Wealth Management</v>
      </c>
      <c r="B206" s="851" t="str">
        <f t="shared" si="104"/>
        <v/>
      </c>
      <c r="C206" s="851" t="str">
        <f t="shared" si="104"/>
        <v/>
      </c>
      <c r="D206" s="851" t="str">
        <f t="shared" si="104"/>
        <v/>
      </c>
      <c r="E206" s="851" t="str">
        <f t="shared" si="104"/>
        <v/>
      </c>
      <c r="F206" s="851" t="str">
        <f t="shared" si="104"/>
        <v/>
      </c>
      <c r="G206" s="851" t="str">
        <f t="shared" si="104"/>
        <v/>
      </c>
      <c r="H206" s="851" t="str">
        <f t="shared" si="104"/>
        <v/>
      </c>
      <c r="I206" s="851" t="str">
        <f t="shared" si="104"/>
        <v/>
      </c>
      <c r="J206" s="851" t="str">
        <f t="shared" si="104"/>
        <v/>
      </c>
      <c r="K206" s="851" t="str">
        <f t="shared" si="104"/>
        <v/>
      </c>
      <c r="L206" s="851" t="str">
        <f t="shared" si="104"/>
        <v/>
      </c>
      <c r="M206" s="851" t="str">
        <f t="shared" si="104"/>
        <v/>
      </c>
      <c r="N206" s="851" t="str">
        <f t="shared" si="104"/>
        <v/>
      </c>
      <c r="O206" s="851" t="str">
        <f t="shared" si="104"/>
        <v/>
      </c>
      <c r="P206" s="851" t="str">
        <f t="shared" si="104"/>
        <v/>
      </c>
      <c r="Q206" s="851" t="str">
        <f t="shared" si="104"/>
        <v/>
      </c>
      <c r="R206" s="851" t="str">
        <f t="shared" si="104"/>
        <v/>
      </c>
      <c r="S206" s="851" t="str">
        <f t="shared" si="104"/>
        <v/>
      </c>
      <c r="T206" s="851" t="str">
        <f t="shared" si="104"/>
        <v/>
      </c>
      <c r="U206" s="851" t="str">
        <f t="shared" si="104"/>
        <v/>
      </c>
      <c r="V206" s="851" t="str">
        <f t="shared" si="104"/>
        <v/>
      </c>
      <c r="W206" s="851" t="str">
        <f t="shared" si="104"/>
        <v/>
      </c>
      <c r="X206" s="851" t="str">
        <f t="shared" si="104"/>
        <v/>
      </c>
      <c r="Y206" s="851" t="str">
        <f t="shared" si="104"/>
        <v/>
      </c>
      <c r="Z206" s="851" t="str">
        <f t="shared" si="104"/>
        <v/>
      </c>
      <c r="AA206" s="1224" t="str">
        <f t="shared" si="104"/>
        <v/>
      </c>
      <c r="AB206" s="1224" t="str">
        <f t="shared" ref="AB206:AW206" si="105">IF(AB106="","",AB106)</f>
        <v/>
      </c>
      <c r="AC206" s="1224" t="str">
        <f t="shared" si="105"/>
        <v/>
      </c>
      <c r="AD206" s="1224" t="str">
        <f t="shared" si="105"/>
        <v/>
      </c>
      <c r="AE206" s="1224" t="str">
        <f t="shared" si="105"/>
        <v/>
      </c>
      <c r="AF206" s="18" t="str">
        <f t="shared" si="105"/>
        <v/>
      </c>
      <c r="AG206" s="18" t="str">
        <f t="shared" si="105"/>
        <v/>
      </c>
      <c r="AH206" s="18" t="str">
        <f t="shared" si="105"/>
        <v/>
      </c>
      <c r="AI206" s="18" t="str">
        <f t="shared" si="105"/>
        <v/>
      </c>
      <c r="AJ206" s="18" t="str">
        <f t="shared" si="105"/>
        <v/>
      </c>
      <c r="AK206" s="18" t="str">
        <f t="shared" si="105"/>
        <v/>
      </c>
      <c r="AL206" s="18" t="str">
        <f t="shared" si="105"/>
        <v/>
      </c>
      <c r="AM206" s="18" t="str">
        <f t="shared" si="105"/>
        <v/>
      </c>
      <c r="AN206" s="18" t="str">
        <f t="shared" si="105"/>
        <v/>
      </c>
      <c r="AO206" s="18" t="str">
        <f t="shared" si="105"/>
        <v/>
      </c>
      <c r="AP206" s="18" t="str">
        <f t="shared" si="105"/>
        <v/>
      </c>
      <c r="AQ206" s="18" t="str">
        <f t="shared" si="105"/>
        <v/>
      </c>
      <c r="AR206" s="18" t="str">
        <f t="shared" si="105"/>
        <v/>
      </c>
      <c r="AS206" s="18" t="str">
        <f t="shared" si="105"/>
        <v/>
      </c>
      <c r="AT206" s="18" t="str">
        <f t="shared" si="105"/>
        <v/>
      </c>
      <c r="AU206" s="18" t="str">
        <f t="shared" si="105"/>
        <v/>
      </c>
      <c r="AV206" s="18" t="str">
        <f t="shared" si="105"/>
        <v/>
      </c>
      <c r="AW206" s="18" t="str">
        <f t="shared" si="105"/>
        <v/>
      </c>
    </row>
    <row r="207" spans="1:49" s="851" customFormat="1" hidden="1" outlineLevel="1">
      <c r="A207" s="851" t="str">
        <f t="shared" ref="A207:AA207" si="106">IF(A107="","",A107)</f>
        <v>Cost/income ratio</v>
      </c>
      <c r="B207" s="851" t="str">
        <f t="shared" si="106"/>
        <v/>
      </c>
      <c r="C207" s="851" t="str">
        <f t="shared" si="106"/>
        <v/>
      </c>
      <c r="D207" s="851" t="str">
        <f t="shared" si="106"/>
        <v/>
      </c>
      <c r="E207" s="851" t="str">
        <f t="shared" si="106"/>
        <v/>
      </c>
      <c r="F207" s="851" t="str">
        <f t="shared" si="106"/>
        <v/>
      </c>
      <c r="G207" s="851" t="str">
        <f t="shared" si="106"/>
        <v/>
      </c>
      <c r="H207" s="851" t="str">
        <f t="shared" si="106"/>
        <v/>
      </c>
      <c r="I207" s="851" t="str">
        <f t="shared" si="106"/>
        <v/>
      </c>
      <c r="J207" s="851" t="str">
        <f t="shared" si="106"/>
        <v/>
      </c>
      <c r="K207" s="851" t="str">
        <f t="shared" si="106"/>
        <v/>
      </c>
      <c r="L207" s="851" t="str">
        <f t="shared" si="106"/>
        <v/>
      </c>
      <c r="M207" s="851" t="str">
        <f t="shared" si="106"/>
        <v/>
      </c>
      <c r="N207" s="851" t="str">
        <f t="shared" si="106"/>
        <v/>
      </c>
      <c r="O207" s="851" t="str">
        <f t="shared" si="106"/>
        <v/>
      </c>
      <c r="P207" s="851" t="str">
        <f t="shared" si="106"/>
        <v/>
      </c>
      <c r="Q207" s="851" t="str">
        <f t="shared" si="106"/>
        <v/>
      </c>
      <c r="R207" s="851" t="str">
        <f t="shared" si="106"/>
        <v/>
      </c>
      <c r="S207" s="851" t="str">
        <f t="shared" si="106"/>
        <v/>
      </c>
      <c r="T207" s="851" t="str">
        <f t="shared" si="106"/>
        <v/>
      </c>
      <c r="U207" s="851" t="str">
        <f t="shared" si="106"/>
        <v/>
      </c>
      <c r="V207" s="851" t="str">
        <f t="shared" si="106"/>
        <v/>
      </c>
      <c r="W207" s="851" t="str">
        <f t="shared" si="106"/>
        <v/>
      </c>
      <c r="X207" s="851" t="str">
        <f t="shared" si="106"/>
        <v/>
      </c>
      <c r="Y207" s="851" t="str">
        <f t="shared" si="106"/>
        <v/>
      </c>
      <c r="Z207" s="851" t="str">
        <f t="shared" si="106"/>
        <v/>
      </c>
      <c r="AA207" s="1224" t="str">
        <f t="shared" si="106"/>
        <v/>
      </c>
      <c r="AB207" s="1226">
        <f t="shared" ref="AB207:AW207" si="107">IF(AB107="","",AB107)+AB241</f>
        <v>0.78860426619109569</v>
      </c>
      <c r="AC207" s="1226">
        <f t="shared" si="107"/>
        <v>0.78892208509189088</v>
      </c>
      <c r="AD207" s="1226">
        <f t="shared" si="107"/>
        <v>0.79821375175855758</v>
      </c>
      <c r="AE207" s="1226">
        <f t="shared" si="107"/>
        <v>0.79943587486292866</v>
      </c>
      <c r="AF207" s="924">
        <f t="shared" si="107"/>
        <v>0.68779999999999997</v>
      </c>
      <c r="AG207" s="924">
        <f t="shared" si="107"/>
        <v>0.68246288620274764</v>
      </c>
      <c r="AH207" s="924">
        <f t="shared" si="107"/>
        <v>0.67716511602936946</v>
      </c>
      <c r="AI207" s="924">
        <f t="shared" si="107"/>
        <v>0.67190639945031028</v>
      </c>
      <c r="AJ207" s="924">
        <f t="shared" si="107"/>
        <v>0.66668644857402726</v>
      </c>
      <c r="AK207" s="924">
        <f t="shared" si="107"/>
        <v>0.66150497763122873</v>
      </c>
      <c r="AL207" s="924">
        <f t="shared" si="107"/>
        <v>0.6563617029592298</v>
      </c>
      <c r="AM207" s="924">
        <f t="shared" si="107"/>
        <v>0.65125634298642288</v>
      </c>
      <c r="AN207" s="924">
        <f t="shared" si="107"/>
        <v>0.64618861821686291</v>
      </c>
      <c r="AO207" s="924">
        <f t="shared" si="107"/>
        <v>0.64115825121496628</v>
      </c>
      <c r="AP207" s="924">
        <f t="shared" si="107"/>
        <v>0.63616496659032251</v>
      </c>
      <c r="AQ207" s="924">
        <f t="shared" si="107"/>
        <v>0.63120849098261766</v>
      </c>
      <c r="AR207" s="924">
        <f t="shared" si="107"/>
        <v>0.62628855304666919</v>
      </c>
      <c r="AS207" s="924">
        <f t="shared" si="107"/>
        <v>0.62140488343757105</v>
      </c>
      <c r="AT207" s="924">
        <f t="shared" si="107"/>
        <v>0.61655721479594794</v>
      </c>
      <c r="AU207" s="924">
        <f t="shared" si="107"/>
        <v>0.61174528173331888</v>
      </c>
      <c r="AV207" s="924">
        <f t="shared" si="107"/>
        <v>0.60696882081756831</v>
      </c>
      <c r="AW207" s="924">
        <f t="shared" si="107"/>
        <v>0.60222757055852416</v>
      </c>
    </row>
    <row r="208" spans="1:49" s="851" customFormat="1" hidden="1" outlineLevel="1">
      <c r="A208" s="851" t="str">
        <f t="shared" ref="A208:AA208" si="108">IF(A109="","",A109)</f>
        <v>Net loans growth</v>
      </c>
      <c r="B208" s="851" t="str">
        <f t="shared" si="108"/>
        <v/>
      </c>
      <c r="C208" s="851" t="str">
        <f t="shared" si="108"/>
        <v/>
      </c>
      <c r="D208" s="851" t="str">
        <f t="shared" si="108"/>
        <v/>
      </c>
      <c r="E208" s="851" t="str">
        <f t="shared" si="108"/>
        <v/>
      </c>
      <c r="F208" s="851" t="str">
        <f t="shared" si="108"/>
        <v/>
      </c>
      <c r="G208" s="851" t="str">
        <f t="shared" si="108"/>
        <v/>
      </c>
      <c r="H208" s="851" t="str">
        <f t="shared" si="108"/>
        <v/>
      </c>
      <c r="I208" s="851" t="str">
        <f t="shared" si="108"/>
        <v/>
      </c>
      <c r="J208" s="851" t="str">
        <f t="shared" si="108"/>
        <v/>
      </c>
      <c r="K208" s="851" t="str">
        <f t="shared" si="108"/>
        <v/>
      </c>
      <c r="L208" s="851" t="str">
        <f t="shared" si="108"/>
        <v/>
      </c>
      <c r="M208" s="851" t="str">
        <f t="shared" si="108"/>
        <v/>
      </c>
      <c r="N208" s="851" t="str">
        <f t="shared" si="108"/>
        <v/>
      </c>
      <c r="O208" s="851" t="str">
        <f t="shared" si="108"/>
        <v/>
      </c>
      <c r="P208" s="851" t="str">
        <f t="shared" si="108"/>
        <v/>
      </c>
      <c r="Q208" s="851" t="str">
        <f t="shared" si="108"/>
        <v/>
      </c>
      <c r="R208" s="851" t="str">
        <f t="shared" si="108"/>
        <v/>
      </c>
      <c r="S208" s="851" t="str">
        <f t="shared" si="108"/>
        <v/>
      </c>
      <c r="T208" s="851" t="str">
        <f t="shared" si="108"/>
        <v/>
      </c>
      <c r="U208" s="851" t="str">
        <f t="shared" si="108"/>
        <v/>
      </c>
      <c r="V208" s="851" t="str">
        <f t="shared" si="108"/>
        <v/>
      </c>
      <c r="W208" s="851" t="str">
        <f t="shared" si="108"/>
        <v/>
      </c>
      <c r="X208" s="851" t="str">
        <f t="shared" si="108"/>
        <v/>
      </c>
      <c r="Y208" s="851" t="str">
        <f t="shared" si="108"/>
        <v/>
      </c>
      <c r="Z208" s="851" t="str">
        <f t="shared" si="108"/>
        <v/>
      </c>
      <c r="AA208" s="1224" t="str">
        <f t="shared" si="108"/>
        <v/>
      </c>
      <c r="AB208" s="1226">
        <f t="shared" ref="AB208:AW208" si="109">IF(AB109="","",AB109)+AB242</f>
        <v>1.1931467091168591E-2</v>
      </c>
      <c r="AC208" s="1226">
        <f t="shared" si="109"/>
        <v>1.1931467091168591E-2</v>
      </c>
      <c r="AD208" s="1226">
        <f t="shared" si="109"/>
        <v>2.0697734151279394E-2</v>
      </c>
      <c r="AE208" s="1226">
        <f t="shared" si="109"/>
        <v>2.0697734151279394E-2</v>
      </c>
      <c r="AF208" s="924">
        <f t="shared" si="109"/>
        <v>2.3304371292561278E-2</v>
      </c>
      <c r="AG208" s="924">
        <f t="shared" si="109"/>
        <v>2.3304371292561278E-2</v>
      </c>
      <c r="AH208" s="924">
        <f t="shared" si="109"/>
        <v>2.3963584811956779E-2</v>
      </c>
      <c r="AI208" s="924">
        <f t="shared" si="109"/>
        <v>2.3963584811956779E-2</v>
      </c>
      <c r="AJ208" s="924">
        <f t="shared" si="109"/>
        <v>2.3963584811956779E-2</v>
      </c>
      <c r="AK208" s="924">
        <f t="shared" si="109"/>
        <v>2.3963584811956779E-2</v>
      </c>
      <c r="AL208" s="924">
        <f t="shared" si="109"/>
        <v>2.4155074365028031E-2</v>
      </c>
      <c r="AM208" s="924">
        <f t="shared" si="109"/>
        <v>2.4155074365028031E-2</v>
      </c>
      <c r="AN208" s="924">
        <f t="shared" si="109"/>
        <v>2.4155074365028031E-2</v>
      </c>
      <c r="AO208" s="924">
        <f t="shared" si="109"/>
        <v>2.4155074365028031E-2</v>
      </c>
      <c r="AP208" s="924">
        <f t="shared" si="109"/>
        <v>2.4092022542133121E-2</v>
      </c>
      <c r="AQ208" s="924">
        <f t="shared" si="109"/>
        <v>2.4092022542133121E-2</v>
      </c>
      <c r="AR208" s="924">
        <f t="shared" si="109"/>
        <v>2.4092022542133121E-2</v>
      </c>
      <c r="AS208" s="924">
        <f t="shared" si="109"/>
        <v>2.4092022542133121E-2</v>
      </c>
      <c r="AT208" s="924">
        <f t="shared" si="109"/>
        <v>2.3940725044951261E-2</v>
      </c>
      <c r="AU208" s="924">
        <f t="shared" si="109"/>
        <v>2.3940725044951261E-2</v>
      </c>
      <c r="AV208" s="924">
        <f t="shared" si="109"/>
        <v>2.3940725044951261E-2</v>
      </c>
      <c r="AW208" s="924">
        <f t="shared" si="109"/>
        <v>2.3940725044951261E-2</v>
      </c>
    </row>
    <row r="209" spans="1:49" s="851" customFormat="1" hidden="1" outlineLevel="1">
      <c r="A209" s="851" t="str">
        <f t="shared" ref="A209:AA209" si="110">IF(A110="","",A110)</f>
        <v>Assets under management growth</v>
      </c>
      <c r="B209" s="851" t="str">
        <f t="shared" si="110"/>
        <v/>
      </c>
      <c r="C209" s="851" t="str">
        <f t="shared" si="110"/>
        <v/>
      </c>
      <c r="D209" s="851" t="str">
        <f t="shared" si="110"/>
        <v/>
      </c>
      <c r="E209" s="851" t="str">
        <f t="shared" si="110"/>
        <v/>
      </c>
      <c r="F209" s="851" t="str">
        <f t="shared" si="110"/>
        <v/>
      </c>
      <c r="G209" s="851" t="str">
        <f t="shared" si="110"/>
        <v/>
      </c>
      <c r="H209" s="851" t="str">
        <f t="shared" si="110"/>
        <v/>
      </c>
      <c r="I209" s="851" t="str">
        <f t="shared" si="110"/>
        <v/>
      </c>
      <c r="J209" s="851" t="str">
        <f t="shared" si="110"/>
        <v/>
      </c>
      <c r="K209" s="851" t="str">
        <f t="shared" si="110"/>
        <v/>
      </c>
      <c r="L209" s="851" t="str">
        <f t="shared" si="110"/>
        <v/>
      </c>
      <c r="M209" s="851" t="str">
        <f t="shared" si="110"/>
        <v/>
      </c>
      <c r="N209" s="851" t="str">
        <f t="shared" si="110"/>
        <v/>
      </c>
      <c r="O209" s="851" t="str">
        <f t="shared" si="110"/>
        <v/>
      </c>
      <c r="P209" s="851" t="str">
        <f t="shared" si="110"/>
        <v/>
      </c>
      <c r="Q209" s="851" t="str">
        <f t="shared" si="110"/>
        <v/>
      </c>
      <c r="R209" s="851" t="str">
        <f t="shared" si="110"/>
        <v/>
      </c>
      <c r="S209" s="851" t="str">
        <f t="shared" si="110"/>
        <v/>
      </c>
      <c r="T209" s="851" t="str">
        <f t="shared" si="110"/>
        <v/>
      </c>
      <c r="U209" s="851" t="str">
        <f t="shared" si="110"/>
        <v/>
      </c>
      <c r="V209" s="851" t="str">
        <f t="shared" si="110"/>
        <v/>
      </c>
      <c r="W209" s="851" t="str">
        <f t="shared" si="110"/>
        <v/>
      </c>
      <c r="X209" s="851" t="str">
        <f t="shared" si="110"/>
        <v/>
      </c>
      <c r="Y209" s="851" t="str">
        <f t="shared" si="110"/>
        <v/>
      </c>
      <c r="Z209" s="851" t="str">
        <f t="shared" si="110"/>
        <v/>
      </c>
      <c r="AA209" s="1224" t="str">
        <f t="shared" si="110"/>
        <v/>
      </c>
      <c r="AB209" s="1226">
        <f t="shared" ref="AB209:AW209" si="111">IF(AB110="","",AB110)+AB243</f>
        <v>1.2669272758174532E-2</v>
      </c>
      <c r="AC209" s="1226">
        <f t="shared" si="111"/>
        <v>1.2669272758174532E-2</v>
      </c>
      <c r="AD209" s="1226">
        <f t="shared" si="111"/>
        <v>2.2669272758174534E-2</v>
      </c>
      <c r="AE209" s="1226">
        <f t="shared" si="111"/>
        <v>2.2669272758174534E-2</v>
      </c>
      <c r="AF209" s="924">
        <f t="shared" si="111"/>
        <v>2.2669272758174534E-2</v>
      </c>
      <c r="AG209" s="924">
        <f t="shared" si="111"/>
        <v>2.2669272758174534E-2</v>
      </c>
      <c r="AH209" s="924">
        <f t="shared" si="111"/>
        <v>2.2669272758174534E-2</v>
      </c>
      <c r="AI209" s="924">
        <f t="shared" si="111"/>
        <v>2.2669272758174534E-2</v>
      </c>
      <c r="AJ209" s="924">
        <f t="shared" si="111"/>
        <v>2.2669272758174534E-2</v>
      </c>
      <c r="AK209" s="924">
        <f t="shared" si="111"/>
        <v>2.2669272758174534E-2</v>
      </c>
      <c r="AL209" s="924">
        <f t="shared" si="111"/>
        <v>2.2669272758174534E-2</v>
      </c>
      <c r="AM209" s="924">
        <f t="shared" si="111"/>
        <v>2.2669272758174534E-2</v>
      </c>
      <c r="AN209" s="924">
        <f t="shared" si="111"/>
        <v>2.2669272758174534E-2</v>
      </c>
      <c r="AO209" s="924">
        <f t="shared" si="111"/>
        <v>2.2669272758174534E-2</v>
      </c>
      <c r="AP209" s="924">
        <f t="shared" si="111"/>
        <v>2.2669272758174534E-2</v>
      </c>
      <c r="AQ209" s="924">
        <f t="shared" si="111"/>
        <v>2.2669272758174534E-2</v>
      </c>
      <c r="AR209" s="924">
        <f t="shared" si="111"/>
        <v>2.2669272758174534E-2</v>
      </c>
      <c r="AS209" s="924">
        <f t="shared" si="111"/>
        <v>2.2669272758174534E-2</v>
      </c>
      <c r="AT209" s="924">
        <f t="shared" si="111"/>
        <v>2.2669272758174534E-2</v>
      </c>
      <c r="AU209" s="924">
        <f t="shared" si="111"/>
        <v>2.2669272758174534E-2</v>
      </c>
      <c r="AV209" s="924">
        <f t="shared" si="111"/>
        <v>2.2669272758174534E-2</v>
      </c>
      <c r="AW209" s="924">
        <f t="shared" si="111"/>
        <v>2.2669272758174534E-2</v>
      </c>
    </row>
    <row r="210" spans="1:49" s="851" customFormat="1" hidden="1" outlineLevel="1">
      <c r="A210" s="851" t="str">
        <f t="shared" ref="A210:AA210" si="112">IF(A111="","",A111)</f>
        <v/>
      </c>
      <c r="B210" s="851" t="str">
        <f t="shared" si="112"/>
        <v/>
      </c>
      <c r="C210" s="851" t="str">
        <f t="shared" si="112"/>
        <v/>
      </c>
      <c r="D210" s="851" t="str">
        <f t="shared" si="112"/>
        <v/>
      </c>
      <c r="E210" s="851" t="str">
        <f t="shared" si="112"/>
        <v/>
      </c>
      <c r="F210" s="851" t="str">
        <f t="shared" si="112"/>
        <v/>
      </c>
      <c r="G210" s="851" t="str">
        <f t="shared" si="112"/>
        <v/>
      </c>
      <c r="H210" s="851" t="str">
        <f t="shared" si="112"/>
        <v/>
      </c>
      <c r="I210" s="851" t="str">
        <f t="shared" si="112"/>
        <v/>
      </c>
      <c r="J210" s="851" t="str">
        <f t="shared" si="112"/>
        <v/>
      </c>
      <c r="K210" s="851" t="str">
        <f t="shared" si="112"/>
        <v/>
      </c>
      <c r="L210" s="851" t="str">
        <f t="shared" si="112"/>
        <v/>
      </c>
      <c r="M210" s="851" t="str">
        <f t="shared" si="112"/>
        <v/>
      </c>
      <c r="N210" s="851" t="str">
        <f t="shared" si="112"/>
        <v/>
      </c>
      <c r="O210" s="851" t="str">
        <f t="shared" si="112"/>
        <v/>
      </c>
      <c r="P210" s="851" t="str">
        <f t="shared" si="112"/>
        <v/>
      </c>
      <c r="Q210" s="851" t="str">
        <f t="shared" si="112"/>
        <v/>
      </c>
      <c r="R210" s="851" t="str">
        <f t="shared" si="112"/>
        <v/>
      </c>
      <c r="S210" s="851" t="str">
        <f t="shared" si="112"/>
        <v/>
      </c>
      <c r="T210" s="851" t="str">
        <f t="shared" si="112"/>
        <v/>
      </c>
      <c r="U210" s="851" t="str">
        <f t="shared" si="112"/>
        <v/>
      </c>
      <c r="V210" s="851" t="str">
        <f t="shared" si="112"/>
        <v/>
      </c>
      <c r="W210" s="851" t="str">
        <f t="shared" si="112"/>
        <v/>
      </c>
      <c r="X210" s="851" t="str">
        <f t="shared" si="112"/>
        <v/>
      </c>
      <c r="Y210" s="851" t="str">
        <f t="shared" si="112"/>
        <v/>
      </c>
      <c r="Z210" s="851" t="str">
        <f t="shared" si="112"/>
        <v/>
      </c>
      <c r="AA210" s="1224" t="str">
        <f t="shared" si="112"/>
        <v/>
      </c>
      <c r="AB210" s="1224" t="str">
        <f t="shared" ref="AB210:AW210" si="113">IF(AB111="","",AB111)</f>
        <v/>
      </c>
      <c r="AC210" s="1224" t="str">
        <f t="shared" si="113"/>
        <v/>
      </c>
      <c r="AD210" s="1224" t="str">
        <f t="shared" si="113"/>
        <v/>
      </c>
      <c r="AE210" s="1224" t="str">
        <f t="shared" si="113"/>
        <v/>
      </c>
      <c r="AF210" s="18" t="str">
        <f t="shared" si="113"/>
        <v/>
      </c>
      <c r="AG210" s="18" t="str">
        <f t="shared" si="113"/>
        <v/>
      </c>
      <c r="AH210" s="18" t="str">
        <f t="shared" si="113"/>
        <v/>
      </c>
      <c r="AI210" s="18" t="str">
        <f t="shared" si="113"/>
        <v/>
      </c>
      <c r="AJ210" s="18" t="str">
        <f t="shared" si="113"/>
        <v/>
      </c>
      <c r="AK210" s="18" t="str">
        <f t="shared" si="113"/>
        <v/>
      </c>
      <c r="AL210" s="18" t="str">
        <f t="shared" si="113"/>
        <v/>
      </c>
      <c r="AM210" s="18" t="str">
        <f t="shared" si="113"/>
        <v/>
      </c>
      <c r="AN210" s="18" t="str">
        <f t="shared" si="113"/>
        <v/>
      </c>
      <c r="AO210" s="18" t="str">
        <f t="shared" si="113"/>
        <v/>
      </c>
      <c r="AP210" s="18" t="str">
        <f t="shared" si="113"/>
        <v/>
      </c>
      <c r="AQ210" s="18" t="str">
        <f t="shared" si="113"/>
        <v/>
      </c>
      <c r="AR210" s="18" t="str">
        <f t="shared" si="113"/>
        <v/>
      </c>
      <c r="AS210" s="18" t="str">
        <f t="shared" si="113"/>
        <v/>
      </c>
      <c r="AT210" s="18" t="str">
        <f t="shared" si="113"/>
        <v/>
      </c>
      <c r="AU210" s="18" t="str">
        <f t="shared" si="113"/>
        <v/>
      </c>
      <c r="AV210" s="18" t="str">
        <f t="shared" si="113"/>
        <v/>
      </c>
      <c r="AW210" s="18" t="str">
        <f t="shared" si="113"/>
        <v/>
      </c>
    </row>
    <row r="211" spans="1:49" s="851" customFormat="1" hidden="1" outlineLevel="1">
      <c r="A211" s="2" t="str">
        <f t="shared" ref="A211:AA211" si="114">IF(A112="","",A112)</f>
        <v>Asia Pacific</v>
      </c>
      <c r="B211" s="851" t="str">
        <f t="shared" si="114"/>
        <v/>
      </c>
      <c r="C211" s="851" t="str">
        <f t="shared" si="114"/>
        <v/>
      </c>
      <c r="D211" s="851" t="str">
        <f t="shared" si="114"/>
        <v/>
      </c>
      <c r="E211" s="851" t="str">
        <f t="shared" si="114"/>
        <v/>
      </c>
      <c r="F211" s="851" t="str">
        <f t="shared" si="114"/>
        <v/>
      </c>
      <c r="G211" s="851" t="str">
        <f t="shared" si="114"/>
        <v/>
      </c>
      <c r="H211" s="851" t="str">
        <f t="shared" si="114"/>
        <v/>
      </c>
      <c r="I211" s="851" t="str">
        <f t="shared" si="114"/>
        <v/>
      </c>
      <c r="J211" s="851" t="str">
        <f t="shared" si="114"/>
        <v/>
      </c>
      <c r="K211" s="851" t="str">
        <f t="shared" si="114"/>
        <v/>
      </c>
      <c r="L211" s="851" t="str">
        <f t="shared" si="114"/>
        <v/>
      </c>
      <c r="M211" s="851" t="str">
        <f t="shared" si="114"/>
        <v/>
      </c>
      <c r="N211" s="851" t="str">
        <f t="shared" si="114"/>
        <v/>
      </c>
      <c r="O211" s="851" t="str">
        <f t="shared" si="114"/>
        <v/>
      </c>
      <c r="P211" s="851" t="str">
        <f t="shared" si="114"/>
        <v/>
      </c>
      <c r="Q211" s="851" t="str">
        <f t="shared" si="114"/>
        <v/>
      </c>
      <c r="R211" s="851" t="str">
        <f t="shared" si="114"/>
        <v/>
      </c>
      <c r="S211" s="851" t="str">
        <f t="shared" si="114"/>
        <v/>
      </c>
      <c r="T211" s="851" t="str">
        <f t="shared" si="114"/>
        <v/>
      </c>
      <c r="U211" s="851" t="str">
        <f t="shared" si="114"/>
        <v/>
      </c>
      <c r="V211" s="851" t="str">
        <f t="shared" si="114"/>
        <v/>
      </c>
      <c r="W211" s="851" t="str">
        <f t="shared" si="114"/>
        <v/>
      </c>
      <c r="X211" s="851" t="str">
        <f t="shared" si="114"/>
        <v/>
      </c>
      <c r="Y211" s="851" t="str">
        <f t="shared" si="114"/>
        <v/>
      </c>
      <c r="Z211" s="851" t="str">
        <f t="shared" si="114"/>
        <v/>
      </c>
      <c r="AA211" s="1224" t="str">
        <f t="shared" si="114"/>
        <v/>
      </c>
      <c r="AB211" s="1224" t="str">
        <f t="shared" ref="AB211:AW211" si="115">IF(AB112="","",AB112)</f>
        <v/>
      </c>
      <c r="AC211" s="1224" t="str">
        <f t="shared" si="115"/>
        <v/>
      </c>
      <c r="AD211" s="1224" t="str">
        <f t="shared" si="115"/>
        <v/>
      </c>
      <c r="AE211" s="1224" t="str">
        <f t="shared" si="115"/>
        <v/>
      </c>
      <c r="AF211" s="18" t="str">
        <f t="shared" si="115"/>
        <v/>
      </c>
      <c r="AG211" s="18" t="str">
        <f t="shared" si="115"/>
        <v/>
      </c>
      <c r="AH211" s="18" t="str">
        <f t="shared" si="115"/>
        <v/>
      </c>
      <c r="AI211" s="18" t="str">
        <f t="shared" si="115"/>
        <v/>
      </c>
      <c r="AJ211" s="18" t="str">
        <f t="shared" si="115"/>
        <v/>
      </c>
      <c r="AK211" s="18" t="str">
        <f t="shared" si="115"/>
        <v/>
      </c>
      <c r="AL211" s="18" t="str">
        <f t="shared" si="115"/>
        <v/>
      </c>
      <c r="AM211" s="18" t="str">
        <f t="shared" si="115"/>
        <v/>
      </c>
      <c r="AN211" s="18" t="str">
        <f t="shared" si="115"/>
        <v/>
      </c>
      <c r="AO211" s="18" t="str">
        <f t="shared" si="115"/>
        <v/>
      </c>
      <c r="AP211" s="18" t="str">
        <f t="shared" si="115"/>
        <v/>
      </c>
      <c r="AQ211" s="18" t="str">
        <f t="shared" si="115"/>
        <v/>
      </c>
      <c r="AR211" s="18" t="str">
        <f t="shared" si="115"/>
        <v/>
      </c>
      <c r="AS211" s="18" t="str">
        <f t="shared" si="115"/>
        <v/>
      </c>
      <c r="AT211" s="18" t="str">
        <f t="shared" si="115"/>
        <v/>
      </c>
      <c r="AU211" s="18" t="str">
        <f t="shared" si="115"/>
        <v/>
      </c>
      <c r="AV211" s="18" t="str">
        <f t="shared" si="115"/>
        <v/>
      </c>
      <c r="AW211" s="18" t="str">
        <f t="shared" si="115"/>
        <v/>
      </c>
    </row>
    <row r="212" spans="1:49" s="851" customFormat="1" hidden="1" outlineLevel="1">
      <c r="A212" s="851" t="str">
        <f t="shared" ref="A212:AA212" si="116">IF(A113="","",A113)</f>
        <v>Cost/income ratio</v>
      </c>
      <c r="B212" s="851" t="str">
        <f t="shared" si="116"/>
        <v/>
      </c>
      <c r="C212" s="851" t="str">
        <f t="shared" si="116"/>
        <v/>
      </c>
      <c r="D212" s="851" t="str">
        <f t="shared" si="116"/>
        <v/>
      </c>
      <c r="E212" s="851" t="str">
        <f t="shared" si="116"/>
        <v/>
      </c>
      <c r="F212" s="851" t="str">
        <f t="shared" si="116"/>
        <v/>
      </c>
      <c r="G212" s="851" t="str">
        <f t="shared" si="116"/>
        <v/>
      </c>
      <c r="H212" s="851" t="str">
        <f t="shared" si="116"/>
        <v/>
      </c>
      <c r="I212" s="851" t="str">
        <f t="shared" si="116"/>
        <v/>
      </c>
      <c r="J212" s="851" t="str">
        <f t="shared" si="116"/>
        <v/>
      </c>
      <c r="K212" s="851" t="str">
        <f t="shared" si="116"/>
        <v/>
      </c>
      <c r="L212" s="851" t="str">
        <f t="shared" si="116"/>
        <v/>
      </c>
      <c r="M212" s="851" t="str">
        <f t="shared" si="116"/>
        <v/>
      </c>
      <c r="N212" s="851" t="str">
        <f t="shared" si="116"/>
        <v/>
      </c>
      <c r="O212" s="851" t="str">
        <f t="shared" si="116"/>
        <v/>
      </c>
      <c r="P212" s="851" t="str">
        <f t="shared" si="116"/>
        <v/>
      </c>
      <c r="Q212" s="851" t="str">
        <f t="shared" si="116"/>
        <v/>
      </c>
      <c r="R212" s="851" t="str">
        <f t="shared" si="116"/>
        <v/>
      </c>
      <c r="S212" s="851" t="str">
        <f t="shared" si="116"/>
        <v/>
      </c>
      <c r="T212" s="851" t="str">
        <f t="shared" si="116"/>
        <v/>
      </c>
      <c r="U212" s="851" t="str">
        <f t="shared" si="116"/>
        <v/>
      </c>
      <c r="V212" s="851" t="str">
        <f t="shared" si="116"/>
        <v/>
      </c>
      <c r="W212" s="851" t="str">
        <f t="shared" si="116"/>
        <v/>
      </c>
      <c r="X212" s="851" t="str">
        <f t="shared" si="116"/>
        <v/>
      </c>
      <c r="Y212" s="851" t="str">
        <f t="shared" si="116"/>
        <v/>
      </c>
      <c r="Z212" s="851" t="str">
        <f t="shared" si="116"/>
        <v/>
      </c>
      <c r="AA212" s="1224" t="str">
        <f t="shared" si="116"/>
        <v/>
      </c>
      <c r="AB212" s="1226">
        <f t="shared" ref="AB212:AW212" si="117">IF(AB113="","",AB113)+AB246</f>
        <v>0.83835420654332871</v>
      </c>
      <c r="AC212" s="1226">
        <f t="shared" si="117"/>
        <v>0.85918205597739039</v>
      </c>
      <c r="AD212" s="1226">
        <f t="shared" si="117"/>
        <v>0.86425134945565119</v>
      </c>
      <c r="AE212" s="1226">
        <f t="shared" si="117"/>
        <v>0.89595539357329834</v>
      </c>
      <c r="AF212" s="924">
        <f t="shared" si="117"/>
        <v>0.74660500000000007</v>
      </c>
      <c r="AG212" s="924">
        <f t="shared" si="117"/>
        <v>0.74660500000000007</v>
      </c>
      <c r="AH212" s="924">
        <f t="shared" si="117"/>
        <v>0.74660500000000007</v>
      </c>
      <c r="AI212" s="924">
        <f t="shared" si="117"/>
        <v>0.74660500000000007</v>
      </c>
      <c r="AJ212" s="924">
        <f t="shared" si="117"/>
        <v>0.74660500000000007</v>
      </c>
      <c r="AK212" s="924">
        <f t="shared" si="117"/>
        <v>0.74660500000000007</v>
      </c>
      <c r="AL212" s="924">
        <f t="shared" si="117"/>
        <v>0.74660500000000007</v>
      </c>
      <c r="AM212" s="924">
        <f t="shared" si="117"/>
        <v>0.74660500000000007</v>
      </c>
      <c r="AN212" s="924">
        <f t="shared" si="117"/>
        <v>0.74660500000000007</v>
      </c>
      <c r="AO212" s="924">
        <f t="shared" si="117"/>
        <v>0.74660500000000007</v>
      </c>
      <c r="AP212" s="924">
        <f t="shared" si="117"/>
        <v>0.74660500000000007</v>
      </c>
      <c r="AQ212" s="924">
        <f t="shared" si="117"/>
        <v>0.74660500000000007</v>
      </c>
      <c r="AR212" s="924">
        <f t="shared" si="117"/>
        <v>0.74660500000000007</v>
      </c>
      <c r="AS212" s="924">
        <f t="shared" si="117"/>
        <v>0.74660500000000007</v>
      </c>
      <c r="AT212" s="924">
        <f t="shared" si="117"/>
        <v>0.74660500000000007</v>
      </c>
      <c r="AU212" s="924">
        <f t="shared" si="117"/>
        <v>0.74660500000000007</v>
      </c>
      <c r="AV212" s="924">
        <f t="shared" si="117"/>
        <v>0.74660500000000007</v>
      </c>
      <c r="AW212" s="924">
        <f t="shared" si="117"/>
        <v>0.74660500000000007</v>
      </c>
    </row>
    <row r="213" spans="1:49" s="851" customFormat="1" hidden="1" outlineLevel="1">
      <c r="A213" s="851" t="str">
        <f t="shared" ref="A213:AA213" si="118">IF(A114="","",A114)</f>
        <v>Net loans growth</v>
      </c>
      <c r="B213" s="851" t="str">
        <f t="shared" si="118"/>
        <v/>
      </c>
      <c r="C213" s="851" t="str">
        <f t="shared" si="118"/>
        <v/>
      </c>
      <c r="D213" s="851" t="str">
        <f t="shared" si="118"/>
        <v/>
      </c>
      <c r="E213" s="851" t="str">
        <f t="shared" si="118"/>
        <v/>
      </c>
      <c r="F213" s="851" t="str">
        <f t="shared" si="118"/>
        <v/>
      </c>
      <c r="G213" s="851" t="str">
        <f t="shared" si="118"/>
        <v/>
      </c>
      <c r="H213" s="851" t="str">
        <f t="shared" si="118"/>
        <v/>
      </c>
      <c r="I213" s="851" t="str">
        <f t="shared" si="118"/>
        <v/>
      </c>
      <c r="J213" s="851" t="str">
        <f t="shared" si="118"/>
        <v/>
      </c>
      <c r="K213" s="851" t="str">
        <f t="shared" si="118"/>
        <v/>
      </c>
      <c r="L213" s="851" t="str">
        <f t="shared" si="118"/>
        <v/>
      </c>
      <c r="M213" s="851" t="str">
        <f t="shared" si="118"/>
        <v/>
      </c>
      <c r="N213" s="851" t="str">
        <f t="shared" si="118"/>
        <v/>
      </c>
      <c r="O213" s="851" t="str">
        <f t="shared" si="118"/>
        <v/>
      </c>
      <c r="P213" s="851" t="str">
        <f t="shared" si="118"/>
        <v/>
      </c>
      <c r="Q213" s="851" t="str">
        <f t="shared" si="118"/>
        <v/>
      </c>
      <c r="R213" s="851" t="str">
        <f t="shared" si="118"/>
        <v/>
      </c>
      <c r="S213" s="851" t="str">
        <f t="shared" si="118"/>
        <v/>
      </c>
      <c r="T213" s="851" t="str">
        <f t="shared" si="118"/>
        <v/>
      </c>
      <c r="U213" s="851" t="str">
        <f t="shared" si="118"/>
        <v/>
      </c>
      <c r="V213" s="851" t="str">
        <f t="shared" si="118"/>
        <v/>
      </c>
      <c r="W213" s="851" t="str">
        <f t="shared" si="118"/>
        <v/>
      </c>
      <c r="X213" s="851" t="str">
        <f t="shared" si="118"/>
        <v/>
      </c>
      <c r="Y213" s="851" t="str">
        <f t="shared" si="118"/>
        <v/>
      </c>
      <c r="Z213" s="851" t="str">
        <f t="shared" si="118"/>
        <v/>
      </c>
      <c r="AA213" s="1224" t="str">
        <f t="shared" si="118"/>
        <v/>
      </c>
      <c r="AB213" s="1226">
        <f t="shared" ref="AB213:AW213" si="119">IF(AB114="","",AB114)+AB247</f>
        <v>4.2790936605117576E-2</v>
      </c>
      <c r="AC213" s="1226">
        <f t="shared" si="119"/>
        <v>4.2790936605117576E-2</v>
      </c>
      <c r="AD213" s="1226">
        <f t="shared" si="119"/>
        <v>6.3217485170245113E-2</v>
      </c>
      <c r="AE213" s="1226">
        <f t="shared" si="119"/>
        <v>6.3217485170245113E-2</v>
      </c>
      <c r="AF213" s="924">
        <f t="shared" si="119"/>
        <v>6.3217485170245113E-2</v>
      </c>
      <c r="AG213" s="924">
        <f t="shared" si="119"/>
        <v>6.3217485170245113E-2</v>
      </c>
      <c r="AH213" s="924">
        <f t="shared" si="119"/>
        <v>6.5854339247827118E-2</v>
      </c>
      <c r="AI213" s="924">
        <f t="shared" si="119"/>
        <v>6.5854339247827118E-2</v>
      </c>
      <c r="AJ213" s="924">
        <f t="shared" si="119"/>
        <v>6.5854339247827118E-2</v>
      </c>
      <c r="AK213" s="924">
        <f t="shared" si="119"/>
        <v>6.5854339247827118E-2</v>
      </c>
      <c r="AL213" s="924">
        <f t="shared" si="119"/>
        <v>6.6620297460112124E-2</v>
      </c>
      <c r="AM213" s="924">
        <f t="shared" si="119"/>
        <v>6.6620297460112124E-2</v>
      </c>
      <c r="AN213" s="924">
        <f t="shared" si="119"/>
        <v>6.6620297460112124E-2</v>
      </c>
      <c r="AO213" s="924">
        <f t="shared" si="119"/>
        <v>6.6620297460112124E-2</v>
      </c>
      <c r="AP213" s="924">
        <f t="shared" si="119"/>
        <v>6.636809016853247E-2</v>
      </c>
      <c r="AQ213" s="924">
        <f t="shared" si="119"/>
        <v>6.636809016853247E-2</v>
      </c>
      <c r="AR213" s="924">
        <f t="shared" si="119"/>
        <v>6.636809016853247E-2</v>
      </c>
      <c r="AS213" s="924">
        <f t="shared" si="119"/>
        <v>6.636809016853247E-2</v>
      </c>
      <c r="AT213" s="924">
        <f t="shared" si="119"/>
        <v>6.5762900179805045E-2</v>
      </c>
      <c r="AU213" s="924">
        <f t="shared" si="119"/>
        <v>6.5762900179805045E-2</v>
      </c>
      <c r="AV213" s="924">
        <f t="shared" si="119"/>
        <v>6.5762900179805045E-2</v>
      </c>
      <c r="AW213" s="924">
        <f t="shared" si="119"/>
        <v>6.5762900179805045E-2</v>
      </c>
    </row>
    <row r="214" spans="1:49" s="851" customFormat="1" hidden="1" outlineLevel="1">
      <c r="A214" s="851" t="str">
        <f t="shared" ref="A214:AA214" si="120">IF(A115="","",A115)</f>
        <v>Assets under management growth</v>
      </c>
      <c r="B214" s="851" t="str">
        <f t="shared" si="120"/>
        <v/>
      </c>
      <c r="C214" s="851" t="str">
        <f t="shared" si="120"/>
        <v/>
      </c>
      <c r="D214" s="851" t="str">
        <f t="shared" si="120"/>
        <v/>
      </c>
      <c r="E214" s="851" t="str">
        <f t="shared" si="120"/>
        <v/>
      </c>
      <c r="F214" s="851" t="str">
        <f t="shared" si="120"/>
        <v/>
      </c>
      <c r="G214" s="851" t="str">
        <f t="shared" si="120"/>
        <v/>
      </c>
      <c r="H214" s="851" t="str">
        <f t="shared" si="120"/>
        <v/>
      </c>
      <c r="I214" s="851" t="str">
        <f t="shared" si="120"/>
        <v/>
      </c>
      <c r="J214" s="851" t="str">
        <f t="shared" si="120"/>
        <v/>
      </c>
      <c r="K214" s="851" t="str">
        <f t="shared" si="120"/>
        <v/>
      </c>
      <c r="L214" s="851" t="str">
        <f t="shared" si="120"/>
        <v/>
      </c>
      <c r="M214" s="851" t="str">
        <f t="shared" si="120"/>
        <v/>
      </c>
      <c r="N214" s="851" t="str">
        <f t="shared" si="120"/>
        <v/>
      </c>
      <c r="O214" s="851" t="str">
        <f t="shared" si="120"/>
        <v/>
      </c>
      <c r="P214" s="851" t="str">
        <f t="shared" si="120"/>
        <v/>
      </c>
      <c r="Q214" s="851" t="str">
        <f t="shared" si="120"/>
        <v/>
      </c>
      <c r="R214" s="851" t="str">
        <f t="shared" si="120"/>
        <v/>
      </c>
      <c r="S214" s="851" t="str">
        <f t="shared" si="120"/>
        <v/>
      </c>
      <c r="T214" s="851" t="str">
        <f t="shared" si="120"/>
        <v/>
      </c>
      <c r="U214" s="851" t="str">
        <f t="shared" si="120"/>
        <v/>
      </c>
      <c r="V214" s="851" t="str">
        <f t="shared" si="120"/>
        <v/>
      </c>
      <c r="W214" s="851" t="str">
        <f t="shared" si="120"/>
        <v/>
      </c>
      <c r="X214" s="851" t="str">
        <f t="shared" si="120"/>
        <v/>
      </c>
      <c r="Y214" s="851" t="str">
        <f t="shared" si="120"/>
        <v/>
      </c>
      <c r="Z214" s="851" t="str">
        <f t="shared" si="120"/>
        <v/>
      </c>
      <c r="AA214" s="1224" t="str">
        <f t="shared" si="120"/>
        <v/>
      </c>
      <c r="AB214" s="1226">
        <f t="shared" ref="AB214:AW214" si="121">IF(AB115="","",AB115)+AB248</f>
        <v>1.9880607971384912E-2</v>
      </c>
      <c r="AC214" s="1226">
        <f t="shared" si="121"/>
        <v>1.9880607971384912E-2</v>
      </c>
      <c r="AD214" s="1226">
        <f t="shared" si="121"/>
        <v>2.9880607971384913E-2</v>
      </c>
      <c r="AE214" s="1226">
        <f t="shared" si="121"/>
        <v>2.9880607971384913E-2</v>
      </c>
      <c r="AF214" s="924">
        <f t="shared" si="121"/>
        <v>2.9880607971384913E-2</v>
      </c>
      <c r="AG214" s="924">
        <f t="shared" si="121"/>
        <v>2.9880607971384913E-2</v>
      </c>
      <c r="AH214" s="924">
        <f t="shared" si="121"/>
        <v>2.9880607971384913E-2</v>
      </c>
      <c r="AI214" s="924">
        <f t="shared" si="121"/>
        <v>2.9880607971384913E-2</v>
      </c>
      <c r="AJ214" s="924">
        <f t="shared" si="121"/>
        <v>2.9880607971384913E-2</v>
      </c>
      <c r="AK214" s="924">
        <f t="shared" si="121"/>
        <v>2.9880607971384913E-2</v>
      </c>
      <c r="AL214" s="924">
        <f t="shared" si="121"/>
        <v>2.9880607971384913E-2</v>
      </c>
      <c r="AM214" s="924">
        <f t="shared" si="121"/>
        <v>2.9880607971384913E-2</v>
      </c>
      <c r="AN214" s="924">
        <f t="shared" si="121"/>
        <v>2.9880607971384913E-2</v>
      </c>
      <c r="AO214" s="924">
        <f t="shared" si="121"/>
        <v>2.9880607971384913E-2</v>
      </c>
      <c r="AP214" s="924">
        <f t="shared" si="121"/>
        <v>2.9880607971384913E-2</v>
      </c>
      <c r="AQ214" s="924">
        <f t="shared" si="121"/>
        <v>2.9880607971384913E-2</v>
      </c>
      <c r="AR214" s="924">
        <f t="shared" si="121"/>
        <v>2.9880607971384913E-2</v>
      </c>
      <c r="AS214" s="924">
        <f t="shared" si="121"/>
        <v>2.9880607971384913E-2</v>
      </c>
      <c r="AT214" s="924">
        <f t="shared" si="121"/>
        <v>2.9880607971384913E-2</v>
      </c>
      <c r="AU214" s="924">
        <f t="shared" si="121"/>
        <v>2.9880607971384913E-2</v>
      </c>
      <c r="AV214" s="924">
        <f t="shared" si="121"/>
        <v>2.9880607971384913E-2</v>
      </c>
      <c r="AW214" s="924">
        <f t="shared" si="121"/>
        <v>2.9880607971384913E-2</v>
      </c>
    </row>
    <row r="215" spans="1:49" s="851" customFormat="1" hidden="1" outlineLevel="1">
      <c r="A215" s="851" t="str">
        <f t="shared" ref="A215:AA215" si="122">IF(A116="","",A116)</f>
        <v/>
      </c>
      <c r="B215" s="851" t="str">
        <f t="shared" si="122"/>
        <v/>
      </c>
      <c r="C215" s="851" t="str">
        <f t="shared" si="122"/>
        <v/>
      </c>
      <c r="D215" s="851" t="str">
        <f t="shared" si="122"/>
        <v/>
      </c>
      <c r="E215" s="851" t="str">
        <f t="shared" si="122"/>
        <v/>
      </c>
      <c r="F215" s="851" t="str">
        <f t="shared" si="122"/>
        <v/>
      </c>
      <c r="G215" s="851" t="str">
        <f t="shared" si="122"/>
        <v/>
      </c>
      <c r="H215" s="851" t="str">
        <f t="shared" si="122"/>
        <v/>
      </c>
      <c r="I215" s="851" t="str">
        <f t="shared" si="122"/>
        <v/>
      </c>
      <c r="J215" s="851" t="str">
        <f t="shared" si="122"/>
        <v/>
      </c>
      <c r="K215" s="851" t="str">
        <f t="shared" si="122"/>
        <v/>
      </c>
      <c r="L215" s="851" t="str">
        <f t="shared" si="122"/>
        <v/>
      </c>
      <c r="M215" s="851" t="str">
        <f t="shared" si="122"/>
        <v/>
      </c>
      <c r="N215" s="851" t="str">
        <f t="shared" si="122"/>
        <v/>
      </c>
      <c r="O215" s="851" t="str">
        <f t="shared" si="122"/>
        <v/>
      </c>
      <c r="P215" s="851" t="str">
        <f t="shared" si="122"/>
        <v/>
      </c>
      <c r="Q215" s="851" t="str">
        <f t="shared" si="122"/>
        <v/>
      </c>
      <c r="R215" s="851" t="str">
        <f t="shared" si="122"/>
        <v/>
      </c>
      <c r="S215" s="851" t="str">
        <f t="shared" si="122"/>
        <v/>
      </c>
      <c r="T215" s="851" t="str">
        <f t="shared" si="122"/>
        <v/>
      </c>
      <c r="U215" s="851" t="str">
        <f t="shared" si="122"/>
        <v/>
      </c>
      <c r="V215" s="851" t="str">
        <f t="shared" si="122"/>
        <v/>
      </c>
      <c r="W215" s="851" t="str">
        <f t="shared" si="122"/>
        <v/>
      </c>
      <c r="X215" s="851" t="str">
        <f t="shared" si="122"/>
        <v/>
      </c>
      <c r="Y215" s="851" t="str">
        <f t="shared" si="122"/>
        <v/>
      </c>
      <c r="Z215" s="851" t="str">
        <f t="shared" si="122"/>
        <v/>
      </c>
      <c r="AA215" s="1224" t="str">
        <f t="shared" si="122"/>
        <v/>
      </c>
      <c r="AB215" s="1224" t="str">
        <f t="shared" ref="AB215:AW215" si="123">IF(AB116="","",AB116)</f>
        <v/>
      </c>
      <c r="AC215" s="1224" t="str">
        <f t="shared" si="123"/>
        <v/>
      </c>
      <c r="AD215" s="1224" t="str">
        <f t="shared" si="123"/>
        <v/>
      </c>
      <c r="AE215" s="1224" t="str">
        <f t="shared" si="123"/>
        <v/>
      </c>
      <c r="AF215" s="18" t="str">
        <f t="shared" si="123"/>
        <v/>
      </c>
      <c r="AG215" s="18" t="str">
        <f t="shared" si="123"/>
        <v/>
      </c>
      <c r="AH215" s="18" t="str">
        <f t="shared" si="123"/>
        <v/>
      </c>
      <c r="AI215" s="18" t="str">
        <f t="shared" si="123"/>
        <v/>
      </c>
      <c r="AJ215" s="18" t="str">
        <f t="shared" si="123"/>
        <v/>
      </c>
      <c r="AK215" s="18" t="str">
        <f t="shared" si="123"/>
        <v/>
      </c>
      <c r="AL215" s="18" t="str">
        <f t="shared" si="123"/>
        <v/>
      </c>
      <c r="AM215" s="18" t="str">
        <f t="shared" si="123"/>
        <v/>
      </c>
      <c r="AN215" s="18" t="str">
        <f t="shared" si="123"/>
        <v/>
      </c>
      <c r="AO215" s="18" t="str">
        <f t="shared" si="123"/>
        <v/>
      </c>
      <c r="AP215" s="18" t="str">
        <f t="shared" si="123"/>
        <v/>
      </c>
      <c r="AQ215" s="18" t="str">
        <f t="shared" si="123"/>
        <v/>
      </c>
      <c r="AR215" s="18" t="str">
        <f t="shared" si="123"/>
        <v/>
      </c>
      <c r="AS215" s="18" t="str">
        <f t="shared" si="123"/>
        <v/>
      </c>
      <c r="AT215" s="18" t="str">
        <f t="shared" si="123"/>
        <v/>
      </c>
      <c r="AU215" s="18" t="str">
        <f t="shared" si="123"/>
        <v/>
      </c>
      <c r="AV215" s="18" t="str">
        <f t="shared" si="123"/>
        <v/>
      </c>
      <c r="AW215" s="18" t="str">
        <f t="shared" si="123"/>
        <v/>
      </c>
    </row>
    <row r="216" spans="1:49" s="851" customFormat="1" hidden="1" outlineLevel="1">
      <c r="A216" s="2" t="str">
        <f t="shared" ref="A216:AA216" si="124">IF(A117="","",A117)</f>
        <v>Global Markets</v>
      </c>
      <c r="B216" s="851" t="str">
        <f t="shared" si="124"/>
        <v/>
      </c>
      <c r="C216" s="851" t="str">
        <f t="shared" si="124"/>
        <v/>
      </c>
      <c r="D216" s="851" t="str">
        <f t="shared" si="124"/>
        <v/>
      </c>
      <c r="E216" s="851" t="str">
        <f t="shared" si="124"/>
        <v/>
      </c>
      <c r="F216" s="851" t="str">
        <f t="shared" si="124"/>
        <v/>
      </c>
      <c r="G216" s="851" t="str">
        <f t="shared" si="124"/>
        <v/>
      </c>
      <c r="H216" s="851" t="str">
        <f t="shared" si="124"/>
        <v/>
      </c>
      <c r="I216" s="851" t="str">
        <f t="shared" si="124"/>
        <v/>
      </c>
      <c r="J216" s="851" t="str">
        <f t="shared" si="124"/>
        <v/>
      </c>
      <c r="K216" s="851" t="str">
        <f t="shared" si="124"/>
        <v/>
      </c>
      <c r="L216" s="851" t="str">
        <f t="shared" si="124"/>
        <v/>
      </c>
      <c r="M216" s="851" t="str">
        <f t="shared" si="124"/>
        <v/>
      </c>
      <c r="N216" s="851" t="str">
        <f t="shared" si="124"/>
        <v/>
      </c>
      <c r="O216" s="851" t="str">
        <f t="shared" si="124"/>
        <v/>
      </c>
      <c r="P216" s="851" t="str">
        <f t="shared" si="124"/>
        <v/>
      </c>
      <c r="Q216" s="851" t="str">
        <f t="shared" si="124"/>
        <v/>
      </c>
      <c r="R216" s="851" t="str">
        <f t="shared" si="124"/>
        <v/>
      </c>
      <c r="S216" s="851" t="str">
        <f t="shared" si="124"/>
        <v/>
      </c>
      <c r="T216" s="851" t="str">
        <f t="shared" si="124"/>
        <v/>
      </c>
      <c r="U216" s="851" t="str">
        <f t="shared" si="124"/>
        <v/>
      </c>
      <c r="V216" s="851" t="str">
        <f t="shared" si="124"/>
        <v/>
      </c>
      <c r="W216" s="851" t="str">
        <f t="shared" si="124"/>
        <v/>
      </c>
      <c r="X216" s="851" t="str">
        <f t="shared" si="124"/>
        <v/>
      </c>
      <c r="Y216" s="851" t="str">
        <f t="shared" si="124"/>
        <v/>
      </c>
      <c r="Z216" s="851" t="str">
        <f t="shared" si="124"/>
        <v/>
      </c>
      <c r="AA216" s="1224" t="str">
        <f t="shared" si="124"/>
        <v/>
      </c>
      <c r="AB216" s="1224" t="str">
        <f t="shared" ref="AB216:AW216" si="125">IF(AB117="","",AB117)</f>
        <v/>
      </c>
      <c r="AC216" s="1224" t="str">
        <f t="shared" si="125"/>
        <v/>
      </c>
      <c r="AD216" s="1224" t="str">
        <f t="shared" si="125"/>
        <v/>
      </c>
      <c r="AE216" s="1224" t="str">
        <f t="shared" si="125"/>
        <v/>
      </c>
      <c r="AF216" s="18" t="str">
        <f t="shared" si="125"/>
        <v/>
      </c>
      <c r="AG216" s="18" t="str">
        <f t="shared" si="125"/>
        <v/>
      </c>
      <c r="AH216" s="18" t="str">
        <f t="shared" si="125"/>
        <v/>
      </c>
      <c r="AI216" s="18" t="str">
        <f t="shared" si="125"/>
        <v/>
      </c>
      <c r="AJ216" s="18" t="str">
        <f t="shared" si="125"/>
        <v/>
      </c>
      <c r="AK216" s="18" t="str">
        <f t="shared" si="125"/>
        <v/>
      </c>
      <c r="AL216" s="18" t="str">
        <f t="shared" si="125"/>
        <v/>
      </c>
      <c r="AM216" s="18" t="str">
        <f t="shared" si="125"/>
        <v/>
      </c>
      <c r="AN216" s="18" t="str">
        <f t="shared" si="125"/>
        <v/>
      </c>
      <c r="AO216" s="18" t="str">
        <f t="shared" si="125"/>
        <v/>
      </c>
      <c r="AP216" s="18" t="str">
        <f t="shared" si="125"/>
        <v/>
      </c>
      <c r="AQ216" s="18" t="str">
        <f t="shared" si="125"/>
        <v/>
      </c>
      <c r="AR216" s="18" t="str">
        <f t="shared" si="125"/>
        <v/>
      </c>
      <c r="AS216" s="18" t="str">
        <f t="shared" si="125"/>
        <v/>
      </c>
      <c r="AT216" s="18" t="str">
        <f t="shared" si="125"/>
        <v/>
      </c>
      <c r="AU216" s="18" t="str">
        <f t="shared" si="125"/>
        <v/>
      </c>
      <c r="AV216" s="18" t="str">
        <f t="shared" si="125"/>
        <v/>
      </c>
      <c r="AW216" s="18" t="str">
        <f t="shared" si="125"/>
        <v/>
      </c>
    </row>
    <row r="217" spans="1:49" s="851" customFormat="1" hidden="1" outlineLevel="1">
      <c r="A217" s="851" t="str">
        <f t="shared" ref="A217:AA217" si="126">IF(A118="","",A118)</f>
        <v>Net revenue growth</v>
      </c>
      <c r="B217" s="851" t="str">
        <f t="shared" si="126"/>
        <v/>
      </c>
      <c r="C217" s="851" t="str">
        <f t="shared" si="126"/>
        <v/>
      </c>
      <c r="D217" s="851" t="str">
        <f t="shared" si="126"/>
        <v/>
      </c>
      <c r="E217" s="851" t="str">
        <f t="shared" si="126"/>
        <v/>
      </c>
      <c r="F217" s="851" t="str">
        <f t="shared" si="126"/>
        <v/>
      </c>
      <c r="G217" s="851" t="str">
        <f t="shared" si="126"/>
        <v/>
      </c>
      <c r="H217" s="851" t="str">
        <f t="shared" si="126"/>
        <v/>
      </c>
      <c r="I217" s="851" t="str">
        <f t="shared" si="126"/>
        <v/>
      </c>
      <c r="J217" s="851" t="str">
        <f t="shared" si="126"/>
        <v/>
      </c>
      <c r="K217" s="851" t="str">
        <f t="shared" si="126"/>
        <v/>
      </c>
      <c r="L217" s="851" t="str">
        <f t="shared" si="126"/>
        <v/>
      </c>
      <c r="M217" s="851" t="str">
        <f t="shared" si="126"/>
        <v/>
      </c>
      <c r="N217" s="851" t="str">
        <f t="shared" si="126"/>
        <v/>
      </c>
      <c r="O217" s="851" t="str">
        <f t="shared" si="126"/>
        <v/>
      </c>
      <c r="P217" s="851" t="str">
        <f t="shared" si="126"/>
        <v/>
      </c>
      <c r="Q217" s="851" t="str">
        <f t="shared" si="126"/>
        <v/>
      </c>
      <c r="R217" s="851" t="str">
        <f t="shared" si="126"/>
        <v/>
      </c>
      <c r="S217" s="851" t="str">
        <f t="shared" si="126"/>
        <v/>
      </c>
      <c r="T217" s="851" t="str">
        <f t="shared" si="126"/>
        <v/>
      </c>
      <c r="U217" s="851" t="str">
        <f t="shared" si="126"/>
        <v/>
      </c>
      <c r="V217" s="851" t="str">
        <f t="shared" si="126"/>
        <v/>
      </c>
      <c r="W217" s="851" t="str">
        <f t="shared" si="126"/>
        <v/>
      </c>
      <c r="X217" s="851" t="str">
        <f t="shared" si="126"/>
        <v/>
      </c>
      <c r="Y217" s="851" t="str">
        <f t="shared" si="126"/>
        <v/>
      </c>
      <c r="Z217" s="851" t="str">
        <f t="shared" si="126"/>
        <v/>
      </c>
      <c r="AA217" s="1224" t="str">
        <f t="shared" si="126"/>
        <v/>
      </c>
      <c r="AB217" s="1226">
        <f t="shared" ref="AB217:AW217" si="127">IF(AB118="","",AB118)+AB251</f>
        <v>-2.3181703801814689E-2</v>
      </c>
      <c r="AC217" s="1226">
        <f t="shared" si="127"/>
        <v>-2.3181703801814689E-2</v>
      </c>
      <c r="AD217" s="1226">
        <f t="shared" si="127"/>
        <v>-1.3181703801814689E-2</v>
      </c>
      <c r="AE217" s="1226">
        <f t="shared" si="127"/>
        <v>-1.3181703801814689E-2</v>
      </c>
      <c r="AF217" s="924">
        <f t="shared" si="127"/>
        <v>-5.1699471198375455E-3</v>
      </c>
      <c r="AG217" s="924">
        <f t="shared" si="127"/>
        <v>-5.1699471198375455E-3</v>
      </c>
      <c r="AH217" s="924">
        <f t="shared" si="127"/>
        <v>-5.1699471198375455E-3</v>
      </c>
      <c r="AI217" s="924">
        <f t="shared" si="127"/>
        <v>-5.1699471198375455E-3</v>
      </c>
      <c r="AJ217" s="924">
        <f t="shared" si="127"/>
        <v>-5.1699471198375455E-3</v>
      </c>
      <c r="AK217" s="924">
        <f t="shared" si="127"/>
        <v>-5.1699471198375455E-3</v>
      </c>
      <c r="AL217" s="924">
        <f t="shared" si="127"/>
        <v>-5.1699471198375455E-3</v>
      </c>
      <c r="AM217" s="924">
        <f t="shared" si="127"/>
        <v>-5.1699471198375455E-3</v>
      </c>
      <c r="AN217" s="924">
        <f t="shared" si="127"/>
        <v>-5.1699471198375455E-3</v>
      </c>
      <c r="AO217" s="924">
        <f t="shared" si="127"/>
        <v>-5.1699471198375455E-3</v>
      </c>
      <c r="AP217" s="924">
        <f t="shared" si="127"/>
        <v>-5.1699471198375455E-3</v>
      </c>
      <c r="AQ217" s="924">
        <f t="shared" si="127"/>
        <v>-5.1699471198375455E-3</v>
      </c>
      <c r="AR217" s="924">
        <f t="shared" si="127"/>
        <v>-5.1699471198375455E-3</v>
      </c>
      <c r="AS217" s="924">
        <f t="shared" si="127"/>
        <v>-5.1699471198375455E-3</v>
      </c>
      <c r="AT217" s="924">
        <f t="shared" si="127"/>
        <v>-5.1699471198375455E-3</v>
      </c>
      <c r="AU217" s="924">
        <f t="shared" si="127"/>
        <v>-5.1699471198375455E-3</v>
      </c>
      <c r="AV217" s="924">
        <f t="shared" si="127"/>
        <v>-5.1699471198375455E-3</v>
      </c>
      <c r="AW217" s="924">
        <f t="shared" si="127"/>
        <v>-5.1699471198375455E-3</v>
      </c>
    </row>
    <row r="218" spans="1:49" s="851" customFormat="1" hidden="1" outlineLevel="1">
      <c r="A218" s="851" t="str">
        <f t="shared" ref="A218:AA218" si="128">IF(A120="","",A120)</f>
        <v>Cost/income ratio</v>
      </c>
      <c r="B218" s="851" t="str">
        <f t="shared" si="128"/>
        <v/>
      </c>
      <c r="C218" s="851" t="str">
        <f t="shared" si="128"/>
        <v/>
      </c>
      <c r="D218" s="851" t="str">
        <f t="shared" si="128"/>
        <v/>
      </c>
      <c r="E218" s="851" t="str">
        <f t="shared" si="128"/>
        <v/>
      </c>
      <c r="F218" s="851" t="str">
        <f t="shared" si="128"/>
        <v/>
      </c>
      <c r="G218" s="851" t="str">
        <f t="shared" si="128"/>
        <v/>
      </c>
      <c r="H218" s="851" t="str">
        <f t="shared" si="128"/>
        <v/>
      </c>
      <c r="I218" s="851" t="str">
        <f t="shared" si="128"/>
        <v/>
      </c>
      <c r="J218" s="851" t="str">
        <f t="shared" si="128"/>
        <v/>
      </c>
      <c r="K218" s="851" t="str">
        <f t="shared" si="128"/>
        <v/>
      </c>
      <c r="L218" s="851" t="str">
        <f t="shared" si="128"/>
        <v/>
      </c>
      <c r="M218" s="851" t="str">
        <f t="shared" si="128"/>
        <v/>
      </c>
      <c r="N218" s="851" t="str">
        <f t="shared" si="128"/>
        <v/>
      </c>
      <c r="O218" s="851" t="str">
        <f t="shared" si="128"/>
        <v/>
      </c>
      <c r="P218" s="851" t="str">
        <f t="shared" si="128"/>
        <v/>
      </c>
      <c r="Q218" s="851" t="str">
        <f t="shared" si="128"/>
        <v/>
      </c>
      <c r="R218" s="851" t="str">
        <f t="shared" si="128"/>
        <v/>
      </c>
      <c r="S218" s="851" t="str">
        <f t="shared" si="128"/>
        <v/>
      </c>
      <c r="T218" s="851" t="str">
        <f t="shared" si="128"/>
        <v/>
      </c>
      <c r="U218" s="851" t="str">
        <f t="shared" si="128"/>
        <v/>
      </c>
      <c r="V218" s="851" t="str">
        <f t="shared" si="128"/>
        <v/>
      </c>
      <c r="W218" s="851" t="str">
        <f t="shared" si="128"/>
        <v/>
      </c>
      <c r="X218" s="851" t="str">
        <f t="shared" si="128"/>
        <v/>
      </c>
      <c r="Y218" s="851" t="str">
        <f t="shared" si="128"/>
        <v/>
      </c>
      <c r="Z218" s="851" t="str">
        <f t="shared" si="128"/>
        <v/>
      </c>
      <c r="AA218" s="1224" t="str">
        <f t="shared" si="128"/>
        <v/>
      </c>
      <c r="AB218" s="1226">
        <f t="shared" ref="AB218:AW218" si="129">IF(AB120="","",AB120)+AB252</f>
        <v>0.82292046596524937</v>
      </c>
      <c r="AC218" s="1226">
        <f t="shared" si="129"/>
        <v>0.87026171724746193</v>
      </c>
      <c r="AD218" s="1226">
        <f t="shared" si="129"/>
        <v>0.92776175341673039</v>
      </c>
      <c r="AE218" s="1226">
        <f t="shared" si="129"/>
        <v>0.92776175341673039</v>
      </c>
      <c r="AF218" s="924">
        <f t="shared" si="129"/>
        <v>0.83828000000000003</v>
      </c>
      <c r="AG218" s="924">
        <f t="shared" si="129"/>
        <v>0.83386800000000005</v>
      </c>
      <c r="AH218" s="924">
        <f t="shared" si="129"/>
        <v>0.82947806000000002</v>
      </c>
      <c r="AI218" s="924">
        <f t="shared" si="129"/>
        <v>0.8251100697</v>
      </c>
      <c r="AJ218" s="924">
        <f t="shared" si="129"/>
        <v>0.82076391935149995</v>
      </c>
      <c r="AK218" s="924">
        <f t="shared" si="129"/>
        <v>0.81643949975474239</v>
      </c>
      <c r="AL218" s="924">
        <f t="shared" si="129"/>
        <v>0.81213670225596868</v>
      </c>
      <c r="AM218" s="924">
        <f t="shared" si="129"/>
        <v>0.8078554187446888</v>
      </c>
      <c r="AN218" s="924">
        <f t="shared" si="129"/>
        <v>0.80359554165096536</v>
      </c>
      <c r="AO218" s="924">
        <f t="shared" si="129"/>
        <v>0.7993569639427105</v>
      </c>
      <c r="AP218" s="924">
        <f t="shared" si="129"/>
        <v>0.79513957912299693</v>
      </c>
      <c r="AQ218" s="924">
        <f t="shared" si="129"/>
        <v>0.79094328122738189</v>
      </c>
      <c r="AR218" s="924">
        <f t="shared" si="129"/>
        <v>0.786767964821245</v>
      </c>
      <c r="AS218" s="924">
        <f t="shared" si="129"/>
        <v>0.78261352499713877</v>
      </c>
      <c r="AT218" s="924">
        <f t="shared" si="129"/>
        <v>0.77847985737215308</v>
      </c>
      <c r="AU218" s="924">
        <f t="shared" si="129"/>
        <v>0.77436685808529226</v>
      </c>
      <c r="AV218" s="924">
        <f t="shared" si="129"/>
        <v>0.77027442379486577</v>
      </c>
      <c r="AW218" s="924">
        <f t="shared" si="129"/>
        <v>0.76620245167589141</v>
      </c>
    </row>
    <row r="219" spans="1:49" s="851" customFormat="1" hidden="1" outlineLevel="1">
      <c r="AA219" s="1224"/>
      <c r="AB219" s="1230"/>
      <c r="AC219" s="1230"/>
      <c r="AD219" s="1230"/>
      <c r="AE219" s="1230"/>
      <c r="AF219" s="853"/>
      <c r="AG219" s="853"/>
      <c r="AH219" s="853"/>
      <c r="AI219" s="853"/>
      <c r="AJ219" s="853"/>
      <c r="AK219" s="853"/>
      <c r="AL219" s="853"/>
      <c r="AM219" s="853"/>
      <c r="AN219" s="853"/>
      <c r="AO219" s="853"/>
      <c r="AP219" s="853"/>
      <c r="AQ219" s="853"/>
      <c r="AR219" s="853"/>
      <c r="AS219" s="853"/>
      <c r="AT219" s="853"/>
      <c r="AU219" s="853"/>
      <c r="AV219" s="853"/>
      <c r="AW219" s="853"/>
    </row>
    <row r="220" spans="1:49" s="851" customFormat="1" hidden="1" outlineLevel="1">
      <c r="A220" s="851" t="str">
        <f t="shared" ref="A220:AF220" si="130">IF(A122="","",A122)</f>
        <v/>
      </c>
      <c r="B220" s="851" t="str">
        <f t="shared" si="130"/>
        <v/>
      </c>
      <c r="C220" s="851" t="str">
        <f t="shared" si="130"/>
        <v/>
      </c>
      <c r="D220" s="851" t="str">
        <f t="shared" si="130"/>
        <v/>
      </c>
      <c r="E220" s="851" t="str">
        <f t="shared" si="130"/>
        <v/>
      </c>
      <c r="F220" s="851" t="str">
        <f t="shared" si="130"/>
        <v/>
      </c>
      <c r="G220" s="851" t="str">
        <f t="shared" si="130"/>
        <v/>
      </c>
      <c r="H220" s="851" t="str">
        <f t="shared" si="130"/>
        <v/>
      </c>
      <c r="I220" s="851" t="str">
        <f t="shared" si="130"/>
        <v/>
      </c>
      <c r="J220" s="851" t="str">
        <f t="shared" si="130"/>
        <v/>
      </c>
      <c r="K220" s="851" t="str">
        <f t="shared" si="130"/>
        <v/>
      </c>
      <c r="L220" s="851" t="str">
        <f t="shared" si="130"/>
        <v/>
      </c>
      <c r="M220" s="851" t="str">
        <f t="shared" si="130"/>
        <v/>
      </c>
      <c r="N220" s="851" t="str">
        <f t="shared" si="130"/>
        <v/>
      </c>
      <c r="O220" s="851" t="str">
        <f t="shared" si="130"/>
        <v/>
      </c>
      <c r="P220" s="851" t="str">
        <f t="shared" si="130"/>
        <v/>
      </c>
      <c r="Q220" s="851" t="str">
        <f t="shared" si="130"/>
        <v/>
      </c>
      <c r="R220" s="851" t="str">
        <f t="shared" si="130"/>
        <v/>
      </c>
      <c r="S220" s="851" t="str">
        <f t="shared" si="130"/>
        <v/>
      </c>
      <c r="T220" s="851" t="str">
        <f t="shared" si="130"/>
        <v/>
      </c>
      <c r="U220" s="851" t="str">
        <f t="shared" si="130"/>
        <v/>
      </c>
      <c r="V220" s="851" t="str">
        <f t="shared" si="130"/>
        <v/>
      </c>
      <c r="W220" s="851" t="str">
        <f t="shared" si="130"/>
        <v/>
      </c>
      <c r="X220" s="851" t="str">
        <f t="shared" si="130"/>
        <v/>
      </c>
      <c r="Y220" s="851" t="str">
        <f t="shared" si="130"/>
        <v/>
      </c>
      <c r="Z220" s="851" t="str">
        <f t="shared" si="130"/>
        <v/>
      </c>
      <c r="AA220" s="1224" t="str">
        <f t="shared" si="130"/>
        <v/>
      </c>
      <c r="AB220" s="1224" t="str">
        <f t="shared" si="130"/>
        <v/>
      </c>
      <c r="AC220" s="1224" t="str">
        <f t="shared" si="130"/>
        <v/>
      </c>
      <c r="AD220" s="1224" t="str">
        <f t="shared" si="130"/>
        <v/>
      </c>
      <c r="AE220" s="1224" t="str">
        <f t="shared" si="130"/>
        <v/>
      </c>
      <c r="AF220" s="18" t="str">
        <f t="shared" si="130"/>
        <v/>
      </c>
      <c r="AG220" s="18" t="str">
        <f t="shared" ref="AG220:AW220" si="131">IF(AG122="","",AG122)</f>
        <v/>
      </c>
      <c r="AH220" s="18" t="str">
        <f t="shared" si="131"/>
        <v/>
      </c>
      <c r="AI220" s="18" t="str">
        <f t="shared" si="131"/>
        <v/>
      </c>
      <c r="AJ220" s="18" t="str">
        <f t="shared" si="131"/>
        <v/>
      </c>
      <c r="AK220" s="18" t="str">
        <f t="shared" si="131"/>
        <v/>
      </c>
      <c r="AL220" s="18" t="str">
        <f t="shared" si="131"/>
        <v/>
      </c>
      <c r="AM220" s="18" t="str">
        <f t="shared" si="131"/>
        <v/>
      </c>
      <c r="AN220" s="18" t="str">
        <f t="shared" si="131"/>
        <v/>
      </c>
      <c r="AO220" s="18" t="str">
        <f t="shared" si="131"/>
        <v/>
      </c>
      <c r="AP220" s="18" t="str">
        <f t="shared" si="131"/>
        <v/>
      </c>
      <c r="AQ220" s="18" t="str">
        <f t="shared" si="131"/>
        <v/>
      </c>
      <c r="AR220" s="18" t="str">
        <f t="shared" si="131"/>
        <v/>
      </c>
      <c r="AS220" s="18" t="str">
        <f t="shared" si="131"/>
        <v/>
      </c>
      <c r="AT220" s="18" t="str">
        <f t="shared" si="131"/>
        <v/>
      </c>
      <c r="AU220" s="18" t="str">
        <f t="shared" si="131"/>
        <v/>
      </c>
      <c r="AV220" s="18" t="str">
        <f t="shared" si="131"/>
        <v/>
      </c>
      <c r="AW220" s="18" t="str">
        <f t="shared" si="131"/>
        <v/>
      </c>
    </row>
    <row r="221" spans="1:49" s="851" customFormat="1" hidden="1" outlineLevel="1">
      <c r="A221" s="2" t="str">
        <f t="shared" ref="A221:AF221" si="132">IF(A123="","",A123)</f>
        <v>Investment Banking &amp; Capital Markets</v>
      </c>
      <c r="B221" s="851" t="str">
        <f t="shared" si="132"/>
        <v/>
      </c>
      <c r="C221" s="851" t="str">
        <f t="shared" si="132"/>
        <v/>
      </c>
      <c r="D221" s="851" t="str">
        <f t="shared" si="132"/>
        <v/>
      </c>
      <c r="E221" s="851" t="str">
        <f t="shared" si="132"/>
        <v/>
      </c>
      <c r="F221" s="851" t="str">
        <f t="shared" si="132"/>
        <v/>
      </c>
      <c r="G221" s="851" t="str">
        <f t="shared" si="132"/>
        <v/>
      </c>
      <c r="H221" s="851" t="str">
        <f t="shared" si="132"/>
        <v/>
      </c>
      <c r="I221" s="851" t="str">
        <f t="shared" si="132"/>
        <v/>
      </c>
      <c r="J221" s="851" t="str">
        <f t="shared" si="132"/>
        <v/>
      </c>
      <c r="K221" s="851" t="str">
        <f t="shared" si="132"/>
        <v/>
      </c>
      <c r="L221" s="851" t="str">
        <f t="shared" si="132"/>
        <v/>
      </c>
      <c r="M221" s="851" t="str">
        <f t="shared" si="132"/>
        <v/>
      </c>
      <c r="N221" s="851" t="str">
        <f t="shared" si="132"/>
        <v/>
      </c>
      <c r="O221" s="851" t="str">
        <f t="shared" si="132"/>
        <v/>
      </c>
      <c r="P221" s="851" t="str">
        <f t="shared" si="132"/>
        <v/>
      </c>
      <c r="Q221" s="851" t="str">
        <f t="shared" si="132"/>
        <v/>
      </c>
      <c r="R221" s="851" t="str">
        <f t="shared" si="132"/>
        <v/>
      </c>
      <c r="S221" s="851" t="str">
        <f t="shared" si="132"/>
        <v/>
      </c>
      <c r="T221" s="851" t="str">
        <f t="shared" si="132"/>
        <v/>
      </c>
      <c r="U221" s="851" t="str">
        <f t="shared" si="132"/>
        <v/>
      </c>
      <c r="V221" s="851" t="str">
        <f t="shared" si="132"/>
        <v/>
      </c>
      <c r="W221" s="851" t="str">
        <f t="shared" si="132"/>
        <v/>
      </c>
      <c r="X221" s="851" t="str">
        <f t="shared" si="132"/>
        <v/>
      </c>
      <c r="Y221" s="851" t="str">
        <f t="shared" si="132"/>
        <v/>
      </c>
      <c r="Z221" s="851" t="str">
        <f t="shared" si="132"/>
        <v/>
      </c>
      <c r="AA221" s="1224" t="str">
        <f t="shared" si="132"/>
        <v/>
      </c>
      <c r="AB221" s="1224" t="str">
        <f t="shared" si="132"/>
        <v/>
      </c>
      <c r="AC221" s="1224" t="str">
        <f t="shared" si="132"/>
        <v/>
      </c>
      <c r="AD221" s="1224" t="str">
        <f t="shared" si="132"/>
        <v/>
      </c>
      <c r="AE221" s="1224" t="str">
        <f t="shared" si="132"/>
        <v/>
      </c>
      <c r="AF221" s="18" t="str">
        <f t="shared" si="132"/>
        <v/>
      </c>
      <c r="AG221" s="18" t="str">
        <f t="shared" ref="AG221:AW221" si="133">IF(AG123="","",AG123)</f>
        <v/>
      </c>
      <c r="AH221" s="18" t="str">
        <f t="shared" si="133"/>
        <v/>
      </c>
      <c r="AI221" s="18" t="str">
        <f t="shared" si="133"/>
        <v/>
      </c>
      <c r="AJ221" s="18" t="str">
        <f t="shared" si="133"/>
        <v/>
      </c>
      <c r="AK221" s="18" t="str">
        <f t="shared" si="133"/>
        <v/>
      </c>
      <c r="AL221" s="18" t="str">
        <f t="shared" si="133"/>
        <v/>
      </c>
      <c r="AM221" s="18" t="str">
        <f t="shared" si="133"/>
        <v/>
      </c>
      <c r="AN221" s="18" t="str">
        <f t="shared" si="133"/>
        <v/>
      </c>
      <c r="AO221" s="18" t="str">
        <f t="shared" si="133"/>
        <v/>
      </c>
      <c r="AP221" s="18" t="str">
        <f t="shared" si="133"/>
        <v/>
      </c>
      <c r="AQ221" s="18" t="str">
        <f t="shared" si="133"/>
        <v/>
      </c>
      <c r="AR221" s="18" t="str">
        <f t="shared" si="133"/>
        <v/>
      </c>
      <c r="AS221" s="18" t="str">
        <f t="shared" si="133"/>
        <v/>
      </c>
      <c r="AT221" s="18" t="str">
        <f t="shared" si="133"/>
        <v/>
      </c>
      <c r="AU221" s="18" t="str">
        <f t="shared" si="133"/>
        <v/>
      </c>
      <c r="AV221" s="18" t="str">
        <f t="shared" si="133"/>
        <v/>
      </c>
      <c r="AW221" s="18" t="str">
        <f t="shared" si="133"/>
        <v/>
      </c>
    </row>
    <row r="222" spans="1:49" s="851" customFormat="1" hidden="1" outlineLevel="1">
      <c r="A222" s="851" t="str">
        <f t="shared" ref="A222:AA222" si="134">IF(A126="","",A126)</f>
        <v>Cost/income ratio</v>
      </c>
      <c r="B222" s="851" t="str">
        <f t="shared" si="134"/>
        <v/>
      </c>
      <c r="C222" s="851" t="str">
        <f t="shared" si="134"/>
        <v/>
      </c>
      <c r="D222" s="851" t="str">
        <f t="shared" si="134"/>
        <v/>
      </c>
      <c r="E222" s="851" t="str">
        <f t="shared" si="134"/>
        <v/>
      </c>
      <c r="F222" s="851" t="str">
        <f t="shared" si="134"/>
        <v/>
      </c>
      <c r="G222" s="851" t="str">
        <f t="shared" si="134"/>
        <v/>
      </c>
      <c r="H222" s="851" t="str">
        <f t="shared" si="134"/>
        <v/>
      </c>
      <c r="I222" s="851" t="str">
        <f t="shared" si="134"/>
        <v/>
      </c>
      <c r="J222" s="851" t="str">
        <f t="shared" si="134"/>
        <v/>
      </c>
      <c r="K222" s="851" t="str">
        <f t="shared" si="134"/>
        <v/>
      </c>
      <c r="L222" s="851" t="str">
        <f t="shared" si="134"/>
        <v/>
      </c>
      <c r="M222" s="851" t="str">
        <f t="shared" si="134"/>
        <v/>
      </c>
      <c r="N222" s="851" t="str">
        <f t="shared" si="134"/>
        <v/>
      </c>
      <c r="O222" s="851" t="str">
        <f t="shared" si="134"/>
        <v/>
      </c>
      <c r="P222" s="851" t="str">
        <f t="shared" si="134"/>
        <v/>
      </c>
      <c r="Q222" s="851" t="str">
        <f t="shared" si="134"/>
        <v/>
      </c>
      <c r="R222" s="851" t="str">
        <f t="shared" si="134"/>
        <v/>
      </c>
      <c r="S222" s="851" t="str">
        <f t="shared" si="134"/>
        <v/>
      </c>
      <c r="T222" s="851" t="str">
        <f t="shared" si="134"/>
        <v/>
      </c>
      <c r="U222" s="851" t="str">
        <f t="shared" si="134"/>
        <v/>
      </c>
      <c r="V222" s="851" t="str">
        <f t="shared" si="134"/>
        <v/>
      </c>
      <c r="W222" s="851" t="str">
        <f t="shared" si="134"/>
        <v/>
      </c>
      <c r="X222" s="851" t="str">
        <f t="shared" si="134"/>
        <v/>
      </c>
      <c r="Y222" s="851" t="str">
        <f t="shared" si="134"/>
        <v/>
      </c>
      <c r="Z222" s="851" t="str">
        <f t="shared" si="134"/>
        <v/>
      </c>
      <c r="AA222" s="1224" t="str">
        <f t="shared" si="134"/>
        <v/>
      </c>
      <c r="AB222" s="1226">
        <f t="shared" ref="AB222:AW222" si="135">IF(AB126="","",AB126)+AB256</f>
        <v>0.8357668067226891</v>
      </c>
      <c r="AC222" s="1226">
        <f t="shared" si="135"/>
        <v>0.88663008565310486</v>
      </c>
      <c r="AD222" s="1226">
        <f t="shared" si="135"/>
        <v>0.88663008565310486</v>
      </c>
      <c r="AE222" s="1226">
        <f t="shared" si="135"/>
        <v>0.79444060773480674</v>
      </c>
      <c r="AF222" s="924">
        <f t="shared" si="135"/>
        <v>0.7867900000000001</v>
      </c>
      <c r="AG222" s="924">
        <f t="shared" si="135"/>
        <v>0.78264900000000015</v>
      </c>
      <c r="AH222" s="924">
        <f t="shared" si="135"/>
        <v>0.77852870500000004</v>
      </c>
      <c r="AI222" s="924">
        <f t="shared" si="135"/>
        <v>0.7744290114750001</v>
      </c>
      <c r="AJ222" s="924">
        <f t="shared" si="135"/>
        <v>0.77034981641762501</v>
      </c>
      <c r="AK222" s="924">
        <f t="shared" si="135"/>
        <v>0.76629101733553684</v>
      </c>
      <c r="AL222" s="924">
        <f t="shared" si="135"/>
        <v>0.76225251224885926</v>
      </c>
      <c r="AM222" s="924">
        <f t="shared" si="135"/>
        <v>0.75823419968761496</v>
      </c>
      <c r="AN222" s="924">
        <f t="shared" si="135"/>
        <v>0.7542359786891768</v>
      </c>
      <c r="AO222" s="924">
        <f t="shared" si="135"/>
        <v>0.75025774879573093</v>
      </c>
      <c r="AP222" s="924">
        <f t="shared" si="135"/>
        <v>0.74629941005175238</v>
      </c>
      <c r="AQ222" s="924">
        <f t="shared" si="135"/>
        <v>0.74236086300149351</v>
      </c>
      <c r="AR222" s="924">
        <f t="shared" si="135"/>
        <v>0.73844200868648602</v>
      </c>
      <c r="AS222" s="924">
        <f t="shared" si="135"/>
        <v>0.73454274864305358</v>
      </c>
      <c r="AT222" s="924">
        <f t="shared" si="135"/>
        <v>0.73066298489983827</v>
      </c>
      <c r="AU222" s="924">
        <f t="shared" si="135"/>
        <v>0.72680261997533924</v>
      </c>
      <c r="AV222" s="924">
        <f t="shared" si="135"/>
        <v>0.72296155687546237</v>
      </c>
      <c r="AW222" s="924">
        <f t="shared" si="135"/>
        <v>0.71913969909108522</v>
      </c>
    </row>
    <row r="223" spans="1:49" s="851" customFormat="1" hidden="1" outlineLevel="1">
      <c r="A223" s="851" t="str">
        <f t="shared" ref="A223:AA223" si="136">IF(A127="","",A127)</f>
        <v/>
      </c>
      <c r="B223" s="851" t="str">
        <f t="shared" si="136"/>
        <v/>
      </c>
      <c r="C223" s="851" t="str">
        <f t="shared" si="136"/>
        <v/>
      </c>
      <c r="D223" s="851" t="str">
        <f t="shared" si="136"/>
        <v/>
      </c>
      <c r="E223" s="851" t="str">
        <f t="shared" si="136"/>
        <v/>
      </c>
      <c r="F223" s="851" t="str">
        <f t="shared" si="136"/>
        <v/>
      </c>
      <c r="G223" s="851" t="str">
        <f t="shared" si="136"/>
        <v/>
      </c>
      <c r="H223" s="851" t="str">
        <f t="shared" si="136"/>
        <v/>
      </c>
      <c r="I223" s="851" t="str">
        <f t="shared" si="136"/>
        <v/>
      </c>
      <c r="J223" s="851" t="str">
        <f t="shared" si="136"/>
        <v/>
      </c>
      <c r="K223" s="851" t="str">
        <f t="shared" si="136"/>
        <v/>
      </c>
      <c r="L223" s="851" t="str">
        <f t="shared" si="136"/>
        <v/>
      </c>
      <c r="M223" s="851" t="str">
        <f t="shared" si="136"/>
        <v/>
      </c>
      <c r="N223" s="851" t="str">
        <f t="shared" si="136"/>
        <v/>
      </c>
      <c r="O223" s="851" t="str">
        <f t="shared" si="136"/>
        <v/>
      </c>
      <c r="P223" s="851" t="str">
        <f t="shared" si="136"/>
        <v/>
      </c>
      <c r="Q223" s="851" t="str">
        <f t="shared" si="136"/>
        <v/>
      </c>
      <c r="R223" s="851" t="str">
        <f t="shared" si="136"/>
        <v/>
      </c>
      <c r="S223" s="851" t="str">
        <f t="shared" si="136"/>
        <v/>
      </c>
      <c r="T223" s="851" t="str">
        <f t="shared" si="136"/>
        <v/>
      </c>
      <c r="U223" s="851" t="str">
        <f t="shared" si="136"/>
        <v/>
      </c>
      <c r="V223" s="851" t="str">
        <f t="shared" si="136"/>
        <v/>
      </c>
      <c r="W223" s="851" t="str">
        <f t="shared" si="136"/>
        <v/>
      </c>
      <c r="X223" s="851" t="str">
        <f t="shared" si="136"/>
        <v/>
      </c>
      <c r="Y223" s="851" t="str">
        <f t="shared" si="136"/>
        <v/>
      </c>
      <c r="Z223" s="851" t="str">
        <f t="shared" si="136"/>
        <v/>
      </c>
      <c r="AA223" s="1224" t="str">
        <f t="shared" si="136"/>
        <v/>
      </c>
      <c r="AB223" s="1226" t="str">
        <f t="shared" ref="AB223:AW223" si="137">IF(AB127="","",AB127)</f>
        <v/>
      </c>
      <c r="AC223" s="1226" t="str">
        <f t="shared" si="137"/>
        <v/>
      </c>
      <c r="AD223" s="1226" t="str">
        <f t="shared" si="137"/>
        <v/>
      </c>
      <c r="AE223" s="1226" t="str">
        <f t="shared" si="137"/>
        <v/>
      </c>
      <c r="AF223" s="924" t="str">
        <f t="shared" si="137"/>
        <v/>
      </c>
      <c r="AG223" s="924" t="str">
        <f t="shared" si="137"/>
        <v/>
      </c>
      <c r="AH223" s="924" t="str">
        <f t="shared" si="137"/>
        <v/>
      </c>
      <c r="AI223" s="924" t="str">
        <f t="shared" si="137"/>
        <v/>
      </c>
      <c r="AJ223" s="924" t="str">
        <f t="shared" si="137"/>
        <v/>
      </c>
      <c r="AK223" s="924" t="str">
        <f t="shared" si="137"/>
        <v/>
      </c>
      <c r="AL223" s="924" t="str">
        <f t="shared" si="137"/>
        <v/>
      </c>
      <c r="AM223" s="924" t="str">
        <f t="shared" si="137"/>
        <v/>
      </c>
      <c r="AN223" s="924" t="str">
        <f t="shared" si="137"/>
        <v/>
      </c>
      <c r="AO223" s="924" t="str">
        <f t="shared" si="137"/>
        <v/>
      </c>
      <c r="AP223" s="924" t="str">
        <f t="shared" si="137"/>
        <v/>
      </c>
      <c r="AQ223" s="924" t="str">
        <f t="shared" si="137"/>
        <v/>
      </c>
      <c r="AR223" s="924" t="str">
        <f t="shared" si="137"/>
        <v/>
      </c>
      <c r="AS223" s="924" t="str">
        <f t="shared" si="137"/>
        <v/>
      </c>
      <c r="AT223" s="924" t="str">
        <f t="shared" si="137"/>
        <v/>
      </c>
      <c r="AU223" s="924" t="str">
        <f t="shared" si="137"/>
        <v/>
      </c>
      <c r="AV223" s="924" t="str">
        <f t="shared" si="137"/>
        <v/>
      </c>
      <c r="AW223" s="924" t="str">
        <f t="shared" si="137"/>
        <v/>
      </c>
    </row>
    <row r="224" spans="1:49" s="851" customFormat="1" hidden="1" outlineLevel="1">
      <c r="A224" s="2" t="str">
        <f t="shared" ref="A224:AA224" si="138">IF(A128="","",A128)</f>
        <v/>
      </c>
      <c r="B224" s="851" t="str">
        <f t="shared" si="138"/>
        <v/>
      </c>
      <c r="C224" s="851" t="str">
        <f t="shared" si="138"/>
        <v/>
      </c>
      <c r="D224" s="851" t="str">
        <f t="shared" si="138"/>
        <v/>
      </c>
      <c r="E224" s="851" t="str">
        <f t="shared" si="138"/>
        <v/>
      </c>
      <c r="F224" s="851" t="str">
        <f t="shared" si="138"/>
        <v/>
      </c>
      <c r="G224" s="851" t="str">
        <f t="shared" si="138"/>
        <v/>
      </c>
      <c r="H224" s="851" t="str">
        <f t="shared" si="138"/>
        <v/>
      </c>
      <c r="I224" s="851" t="str">
        <f t="shared" si="138"/>
        <v/>
      </c>
      <c r="J224" s="851" t="str">
        <f t="shared" si="138"/>
        <v/>
      </c>
      <c r="K224" s="851" t="str">
        <f t="shared" si="138"/>
        <v/>
      </c>
      <c r="L224" s="851" t="str">
        <f t="shared" si="138"/>
        <v/>
      </c>
      <c r="M224" s="851" t="str">
        <f t="shared" si="138"/>
        <v/>
      </c>
      <c r="N224" s="851" t="str">
        <f t="shared" si="138"/>
        <v/>
      </c>
      <c r="O224" s="851" t="str">
        <f t="shared" si="138"/>
        <v/>
      </c>
      <c r="P224" s="851" t="str">
        <f t="shared" si="138"/>
        <v/>
      </c>
      <c r="Q224" s="851" t="str">
        <f t="shared" si="138"/>
        <v/>
      </c>
      <c r="R224" s="851" t="str">
        <f t="shared" si="138"/>
        <v/>
      </c>
      <c r="S224" s="851" t="str">
        <f t="shared" si="138"/>
        <v/>
      </c>
      <c r="T224" s="851" t="str">
        <f t="shared" si="138"/>
        <v/>
      </c>
      <c r="U224" s="851" t="str">
        <f t="shared" si="138"/>
        <v/>
      </c>
      <c r="V224" s="851" t="str">
        <f t="shared" si="138"/>
        <v/>
      </c>
      <c r="W224" s="851" t="str">
        <f t="shared" si="138"/>
        <v/>
      </c>
      <c r="X224" s="851" t="str">
        <f t="shared" si="138"/>
        <v/>
      </c>
      <c r="Y224" s="851" t="str">
        <f t="shared" si="138"/>
        <v/>
      </c>
      <c r="Z224" s="851" t="str">
        <f t="shared" si="138"/>
        <v/>
      </c>
      <c r="AA224" s="1224" t="str">
        <f t="shared" si="138"/>
        <v/>
      </c>
      <c r="AB224" s="1224" t="str">
        <f t="shared" ref="AB224:AW224" si="139">IF(AB128="","",AB128)</f>
        <v/>
      </c>
      <c r="AC224" s="1224" t="str">
        <f t="shared" si="139"/>
        <v/>
      </c>
      <c r="AD224" s="1224" t="str">
        <f t="shared" si="139"/>
        <v/>
      </c>
      <c r="AE224" s="1224" t="str">
        <f t="shared" si="139"/>
        <v/>
      </c>
      <c r="AF224" s="18" t="str">
        <f t="shared" si="139"/>
        <v/>
      </c>
      <c r="AG224" s="18" t="str">
        <f t="shared" si="139"/>
        <v/>
      </c>
      <c r="AH224" s="18" t="str">
        <f t="shared" si="139"/>
        <v/>
      </c>
      <c r="AI224" s="18" t="str">
        <f t="shared" si="139"/>
        <v/>
      </c>
      <c r="AJ224" s="18" t="str">
        <f t="shared" si="139"/>
        <v/>
      </c>
      <c r="AK224" s="18" t="str">
        <f t="shared" si="139"/>
        <v/>
      </c>
      <c r="AL224" s="18" t="str">
        <f t="shared" si="139"/>
        <v/>
      </c>
      <c r="AM224" s="18" t="str">
        <f t="shared" si="139"/>
        <v/>
      </c>
      <c r="AN224" s="18" t="str">
        <f t="shared" si="139"/>
        <v/>
      </c>
      <c r="AO224" s="18" t="str">
        <f t="shared" si="139"/>
        <v/>
      </c>
      <c r="AP224" s="18" t="str">
        <f t="shared" si="139"/>
        <v/>
      </c>
      <c r="AQ224" s="18" t="str">
        <f t="shared" si="139"/>
        <v/>
      </c>
      <c r="AR224" s="18" t="str">
        <f t="shared" si="139"/>
        <v/>
      </c>
      <c r="AS224" s="18" t="str">
        <f t="shared" si="139"/>
        <v/>
      </c>
      <c r="AT224" s="18" t="str">
        <f t="shared" si="139"/>
        <v/>
      </c>
      <c r="AU224" s="18" t="str">
        <f t="shared" si="139"/>
        <v/>
      </c>
      <c r="AV224" s="18" t="str">
        <f t="shared" si="139"/>
        <v/>
      </c>
      <c r="AW224" s="18" t="str">
        <f t="shared" si="139"/>
        <v/>
      </c>
    </row>
    <row r="225" spans="1:49" s="851" customFormat="1" hidden="1" outlineLevel="1">
      <c r="A225" s="2"/>
      <c r="AA225" s="1224"/>
      <c r="AB225" s="1224"/>
      <c r="AC225" s="1224"/>
      <c r="AD225" s="1224"/>
      <c r="AE225" s="1224"/>
      <c r="AF225" s="18"/>
      <c r="AG225" s="18"/>
      <c r="AH225" s="18"/>
      <c r="AI225" s="18"/>
      <c r="AJ225" s="18"/>
      <c r="AK225" s="18"/>
      <c r="AL225" s="18"/>
      <c r="AM225" s="18"/>
      <c r="AN225" s="18"/>
      <c r="AO225" s="18"/>
      <c r="AP225" s="18"/>
      <c r="AQ225" s="18"/>
      <c r="AR225" s="18"/>
      <c r="AS225" s="18"/>
      <c r="AT225" s="18"/>
      <c r="AU225" s="18"/>
      <c r="AV225" s="18"/>
      <c r="AW225" s="18"/>
    </row>
    <row r="226" spans="1:49" s="851" customFormat="1" hidden="1" outlineLevel="1">
      <c r="A226" s="2"/>
      <c r="AA226" s="1224"/>
      <c r="AB226" s="1224"/>
      <c r="AC226" s="1224"/>
      <c r="AD226" s="1224"/>
      <c r="AE226" s="1224"/>
      <c r="AF226" s="18"/>
      <c r="AG226" s="18"/>
      <c r="AH226" s="18"/>
      <c r="AI226" s="18"/>
      <c r="AJ226" s="18"/>
      <c r="AK226" s="18"/>
      <c r="AL226" s="18"/>
      <c r="AM226" s="18"/>
      <c r="AN226" s="18"/>
      <c r="AO226" s="18"/>
      <c r="AP226" s="18"/>
      <c r="AQ226" s="18"/>
      <c r="AR226" s="18"/>
      <c r="AS226" s="18"/>
      <c r="AT226" s="18"/>
      <c r="AU226" s="18"/>
      <c r="AV226" s="18"/>
      <c r="AW226" s="18"/>
    </row>
    <row r="227" spans="1:49" s="851" customFormat="1" hidden="1" outlineLevel="1">
      <c r="A227" s="2"/>
      <c r="AA227" s="1224"/>
      <c r="AB227" s="1224"/>
      <c r="AC227" s="1224"/>
      <c r="AD227" s="1224"/>
      <c r="AE227" s="1224"/>
      <c r="AF227" s="18"/>
      <c r="AG227" s="18"/>
      <c r="AH227" s="18"/>
      <c r="AI227" s="18"/>
      <c r="AJ227" s="18"/>
      <c r="AK227" s="18"/>
      <c r="AL227" s="18"/>
      <c r="AM227" s="18"/>
      <c r="AN227" s="18"/>
      <c r="AO227" s="18"/>
      <c r="AP227" s="18"/>
      <c r="AQ227" s="18"/>
      <c r="AR227" s="18"/>
      <c r="AS227" s="18"/>
      <c r="AT227" s="18"/>
      <c r="AU227" s="18"/>
      <c r="AV227" s="18"/>
      <c r="AW227" s="18"/>
    </row>
    <row r="228" spans="1:49" s="851" customFormat="1" hidden="1" outlineLevel="1">
      <c r="A228" s="2" t="str">
        <f t="shared" ref="A228:AF228" si="140">IF(A129="","",A129)</f>
        <v/>
      </c>
      <c r="B228" s="851" t="str">
        <f t="shared" si="140"/>
        <v/>
      </c>
      <c r="C228" s="851" t="str">
        <f t="shared" si="140"/>
        <v/>
      </c>
      <c r="D228" s="851" t="str">
        <f t="shared" si="140"/>
        <v/>
      </c>
      <c r="E228" s="851" t="str">
        <f t="shared" si="140"/>
        <v/>
      </c>
      <c r="F228" s="851" t="str">
        <f t="shared" si="140"/>
        <v/>
      </c>
      <c r="G228" s="851" t="str">
        <f t="shared" si="140"/>
        <v/>
      </c>
      <c r="H228" s="851" t="str">
        <f t="shared" si="140"/>
        <v/>
      </c>
      <c r="I228" s="851" t="str">
        <f t="shared" si="140"/>
        <v/>
      </c>
      <c r="J228" s="851" t="str">
        <f t="shared" si="140"/>
        <v/>
      </c>
      <c r="K228" s="851" t="str">
        <f t="shared" si="140"/>
        <v/>
      </c>
      <c r="L228" s="851" t="str">
        <f t="shared" si="140"/>
        <v/>
      </c>
      <c r="M228" s="851" t="str">
        <f t="shared" si="140"/>
        <v/>
      </c>
      <c r="N228" s="851" t="str">
        <f t="shared" si="140"/>
        <v/>
      </c>
      <c r="O228" s="851" t="str">
        <f t="shared" si="140"/>
        <v/>
      </c>
      <c r="P228" s="851" t="str">
        <f t="shared" si="140"/>
        <v/>
      </c>
      <c r="Q228" s="851" t="str">
        <f t="shared" si="140"/>
        <v/>
      </c>
      <c r="R228" s="851" t="str">
        <f t="shared" si="140"/>
        <v/>
      </c>
      <c r="S228" s="851" t="str">
        <f t="shared" si="140"/>
        <v/>
      </c>
      <c r="T228" s="851" t="str">
        <f t="shared" si="140"/>
        <v/>
      </c>
      <c r="U228" s="851" t="str">
        <f t="shared" si="140"/>
        <v/>
      </c>
      <c r="V228" s="851" t="str">
        <f t="shared" si="140"/>
        <v/>
      </c>
      <c r="W228" s="851" t="str">
        <f t="shared" si="140"/>
        <v/>
      </c>
      <c r="X228" s="851" t="str">
        <f t="shared" si="140"/>
        <v/>
      </c>
      <c r="Y228" s="851" t="str">
        <f t="shared" si="140"/>
        <v/>
      </c>
      <c r="Z228" s="851" t="str">
        <f t="shared" si="140"/>
        <v/>
      </c>
      <c r="AA228" s="1224" t="str">
        <f t="shared" si="140"/>
        <v/>
      </c>
      <c r="AB228" s="1224" t="str">
        <f t="shared" si="140"/>
        <v/>
      </c>
      <c r="AC228" s="1224" t="str">
        <f t="shared" si="140"/>
        <v/>
      </c>
      <c r="AD228" s="1224" t="str">
        <f t="shared" si="140"/>
        <v/>
      </c>
      <c r="AE228" s="1224" t="str">
        <f t="shared" si="140"/>
        <v/>
      </c>
      <c r="AF228" s="18" t="str">
        <f t="shared" si="140"/>
        <v/>
      </c>
      <c r="AG228" s="18" t="str">
        <f t="shared" ref="AG228:AW228" si="141">IF(AG129="","",AG129)</f>
        <v/>
      </c>
      <c r="AH228" s="18" t="str">
        <f t="shared" si="141"/>
        <v/>
      </c>
      <c r="AI228" s="18" t="str">
        <f t="shared" si="141"/>
        <v/>
      </c>
      <c r="AJ228" s="18" t="str">
        <f t="shared" si="141"/>
        <v/>
      </c>
      <c r="AK228" s="18" t="str">
        <f t="shared" si="141"/>
        <v/>
      </c>
      <c r="AL228" s="18" t="str">
        <f t="shared" si="141"/>
        <v/>
      </c>
      <c r="AM228" s="18" t="str">
        <f t="shared" si="141"/>
        <v/>
      </c>
      <c r="AN228" s="18" t="str">
        <f t="shared" si="141"/>
        <v/>
      </c>
      <c r="AO228" s="18" t="str">
        <f t="shared" si="141"/>
        <v/>
      </c>
      <c r="AP228" s="18" t="str">
        <f t="shared" si="141"/>
        <v/>
      </c>
      <c r="AQ228" s="18" t="str">
        <f t="shared" si="141"/>
        <v/>
      </c>
      <c r="AR228" s="18" t="str">
        <f t="shared" si="141"/>
        <v/>
      </c>
      <c r="AS228" s="18" t="str">
        <f t="shared" si="141"/>
        <v/>
      </c>
      <c r="AT228" s="18" t="str">
        <f t="shared" si="141"/>
        <v/>
      </c>
      <c r="AU228" s="18" t="str">
        <f t="shared" si="141"/>
        <v/>
      </c>
      <c r="AV228" s="18" t="str">
        <f t="shared" si="141"/>
        <v/>
      </c>
      <c r="AW228" s="18" t="str">
        <f t="shared" si="141"/>
        <v/>
      </c>
    </row>
    <row r="229" spans="1:49" s="851" customFormat="1" hidden="1" outlineLevel="1">
      <c r="A229" s="2" t="str">
        <f t="shared" ref="A229:AF229" si="142">IF(A130="","",A130)</f>
        <v/>
      </c>
      <c r="B229" s="851" t="str">
        <f t="shared" si="142"/>
        <v/>
      </c>
      <c r="C229" s="851" t="str">
        <f t="shared" si="142"/>
        <v/>
      </c>
      <c r="D229" s="851" t="str">
        <f t="shared" si="142"/>
        <v/>
      </c>
      <c r="E229" s="851" t="str">
        <f t="shared" si="142"/>
        <v/>
      </c>
      <c r="F229" s="851" t="str">
        <f t="shared" si="142"/>
        <v/>
      </c>
      <c r="G229" s="851" t="str">
        <f t="shared" si="142"/>
        <v/>
      </c>
      <c r="H229" s="851" t="str">
        <f t="shared" si="142"/>
        <v/>
      </c>
      <c r="I229" s="851" t="str">
        <f t="shared" si="142"/>
        <v/>
      </c>
      <c r="J229" s="851" t="str">
        <f t="shared" si="142"/>
        <v/>
      </c>
      <c r="K229" s="851" t="str">
        <f t="shared" si="142"/>
        <v/>
      </c>
      <c r="L229" s="851" t="str">
        <f t="shared" si="142"/>
        <v/>
      </c>
      <c r="M229" s="851" t="str">
        <f t="shared" si="142"/>
        <v/>
      </c>
      <c r="N229" s="851" t="str">
        <f t="shared" si="142"/>
        <v/>
      </c>
      <c r="O229" s="851" t="str">
        <f t="shared" si="142"/>
        <v/>
      </c>
      <c r="P229" s="851" t="str">
        <f t="shared" si="142"/>
        <v/>
      </c>
      <c r="Q229" s="851" t="str">
        <f t="shared" si="142"/>
        <v/>
      </c>
      <c r="R229" s="851" t="str">
        <f t="shared" si="142"/>
        <v/>
      </c>
      <c r="S229" s="851" t="str">
        <f t="shared" si="142"/>
        <v/>
      </c>
      <c r="T229" s="851" t="str">
        <f t="shared" si="142"/>
        <v/>
      </c>
      <c r="U229" s="851" t="str">
        <f t="shared" si="142"/>
        <v/>
      </c>
      <c r="V229" s="851" t="str">
        <f t="shared" si="142"/>
        <v/>
      </c>
      <c r="W229" s="851" t="str">
        <f t="shared" si="142"/>
        <v/>
      </c>
      <c r="X229" s="851" t="str">
        <f t="shared" si="142"/>
        <v/>
      </c>
      <c r="Y229" s="851" t="str">
        <f t="shared" si="142"/>
        <v/>
      </c>
      <c r="Z229" s="851" t="str">
        <f t="shared" si="142"/>
        <v/>
      </c>
      <c r="AA229" s="1224" t="str">
        <f t="shared" si="142"/>
        <v/>
      </c>
      <c r="AB229" s="1224" t="str">
        <f t="shared" si="142"/>
        <v/>
      </c>
      <c r="AC229" s="1224" t="str">
        <f t="shared" si="142"/>
        <v/>
      </c>
      <c r="AD229" s="1224" t="str">
        <f t="shared" si="142"/>
        <v/>
      </c>
      <c r="AE229" s="1224" t="str">
        <f t="shared" si="142"/>
        <v/>
      </c>
      <c r="AF229" s="18" t="str">
        <f t="shared" si="142"/>
        <v/>
      </c>
      <c r="AG229" s="18" t="str">
        <f t="shared" ref="AG229:AW229" si="143">IF(AG130="","",AG130)</f>
        <v/>
      </c>
      <c r="AH229" s="18" t="str">
        <f t="shared" si="143"/>
        <v/>
      </c>
      <c r="AI229" s="18" t="str">
        <f t="shared" si="143"/>
        <v/>
      </c>
      <c r="AJ229" s="18" t="str">
        <f t="shared" si="143"/>
        <v/>
      </c>
      <c r="AK229" s="18" t="str">
        <f t="shared" si="143"/>
        <v/>
      </c>
      <c r="AL229" s="18" t="str">
        <f t="shared" si="143"/>
        <v/>
      </c>
      <c r="AM229" s="18" t="str">
        <f t="shared" si="143"/>
        <v/>
      </c>
      <c r="AN229" s="18" t="str">
        <f t="shared" si="143"/>
        <v/>
      </c>
      <c r="AO229" s="18" t="str">
        <f t="shared" si="143"/>
        <v/>
      </c>
      <c r="AP229" s="18" t="str">
        <f t="shared" si="143"/>
        <v/>
      </c>
      <c r="AQ229" s="18" t="str">
        <f t="shared" si="143"/>
        <v/>
      </c>
      <c r="AR229" s="18" t="str">
        <f t="shared" si="143"/>
        <v/>
      </c>
      <c r="AS229" s="18" t="str">
        <f t="shared" si="143"/>
        <v/>
      </c>
      <c r="AT229" s="18" t="str">
        <f t="shared" si="143"/>
        <v/>
      </c>
      <c r="AU229" s="18" t="str">
        <f t="shared" si="143"/>
        <v/>
      </c>
      <c r="AV229" s="18" t="str">
        <f t="shared" si="143"/>
        <v/>
      </c>
      <c r="AW229" s="18" t="str">
        <f t="shared" si="143"/>
        <v/>
      </c>
    </row>
    <row r="230" spans="1:49" s="851" customFormat="1" hidden="1" outlineLevel="1">
      <c r="A230" s="2" t="str">
        <f t="shared" ref="A230:AF230" si="144">IF(A131="","",A131)</f>
        <v/>
      </c>
      <c r="B230" s="851" t="str">
        <f t="shared" si="144"/>
        <v/>
      </c>
      <c r="C230" s="851" t="str">
        <f t="shared" si="144"/>
        <v/>
      </c>
      <c r="D230" s="851" t="str">
        <f t="shared" si="144"/>
        <v/>
      </c>
      <c r="E230" s="851" t="str">
        <f t="shared" si="144"/>
        <v/>
      </c>
      <c r="F230" s="851" t="str">
        <f t="shared" si="144"/>
        <v/>
      </c>
      <c r="G230" s="851" t="str">
        <f t="shared" si="144"/>
        <v/>
      </c>
      <c r="H230" s="851" t="str">
        <f t="shared" si="144"/>
        <v/>
      </c>
      <c r="I230" s="851" t="str">
        <f t="shared" si="144"/>
        <v/>
      </c>
      <c r="J230" s="851" t="str">
        <f t="shared" si="144"/>
        <v/>
      </c>
      <c r="K230" s="851" t="str">
        <f t="shared" si="144"/>
        <v/>
      </c>
      <c r="L230" s="851" t="str">
        <f t="shared" si="144"/>
        <v/>
      </c>
      <c r="M230" s="851" t="str">
        <f t="shared" si="144"/>
        <v/>
      </c>
      <c r="N230" s="851" t="str">
        <f t="shared" si="144"/>
        <v/>
      </c>
      <c r="O230" s="851" t="str">
        <f t="shared" si="144"/>
        <v/>
      </c>
      <c r="P230" s="851" t="str">
        <f t="shared" si="144"/>
        <v/>
      </c>
      <c r="Q230" s="851" t="str">
        <f t="shared" si="144"/>
        <v/>
      </c>
      <c r="R230" s="851" t="str">
        <f t="shared" si="144"/>
        <v/>
      </c>
      <c r="S230" s="851" t="str">
        <f t="shared" si="144"/>
        <v/>
      </c>
      <c r="T230" s="851" t="str">
        <f t="shared" si="144"/>
        <v/>
      </c>
      <c r="U230" s="851" t="str">
        <f t="shared" si="144"/>
        <v/>
      </c>
      <c r="V230" s="851" t="str">
        <f t="shared" si="144"/>
        <v/>
      </c>
      <c r="W230" s="851" t="str">
        <f t="shared" si="144"/>
        <v/>
      </c>
      <c r="X230" s="851" t="str">
        <f t="shared" si="144"/>
        <v/>
      </c>
      <c r="Y230" s="851" t="str">
        <f t="shared" si="144"/>
        <v/>
      </c>
      <c r="Z230" s="851" t="str">
        <f t="shared" si="144"/>
        <v/>
      </c>
      <c r="AA230" s="1224" t="str">
        <f t="shared" si="144"/>
        <v/>
      </c>
      <c r="AB230" s="1224" t="str">
        <f t="shared" si="144"/>
        <v/>
      </c>
      <c r="AC230" s="1224" t="str">
        <f t="shared" si="144"/>
        <v/>
      </c>
      <c r="AD230" s="1224" t="str">
        <f t="shared" si="144"/>
        <v/>
      </c>
      <c r="AE230" s="1224" t="str">
        <f t="shared" si="144"/>
        <v/>
      </c>
      <c r="AF230" s="18" t="str">
        <f t="shared" si="144"/>
        <v/>
      </c>
      <c r="AG230" s="18" t="str">
        <f t="shared" ref="AG230:AW230" si="145">IF(AG131="","",AG131)</f>
        <v/>
      </c>
      <c r="AH230" s="18" t="str">
        <f t="shared" si="145"/>
        <v/>
      </c>
      <c r="AI230" s="18" t="str">
        <f t="shared" si="145"/>
        <v/>
      </c>
      <c r="AJ230" s="18" t="str">
        <f t="shared" si="145"/>
        <v/>
      </c>
      <c r="AK230" s="18" t="str">
        <f t="shared" si="145"/>
        <v/>
      </c>
      <c r="AL230" s="18" t="str">
        <f t="shared" si="145"/>
        <v/>
      </c>
      <c r="AM230" s="18" t="str">
        <f t="shared" si="145"/>
        <v/>
      </c>
      <c r="AN230" s="18" t="str">
        <f t="shared" si="145"/>
        <v/>
      </c>
      <c r="AO230" s="18" t="str">
        <f t="shared" si="145"/>
        <v/>
      </c>
      <c r="AP230" s="18" t="str">
        <f t="shared" si="145"/>
        <v/>
      </c>
      <c r="AQ230" s="18" t="str">
        <f t="shared" si="145"/>
        <v/>
      </c>
      <c r="AR230" s="18" t="str">
        <f t="shared" si="145"/>
        <v/>
      </c>
      <c r="AS230" s="18" t="str">
        <f t="shared" si="145"/>
        <v/>
      </c>
      <c r="AT230" s="18" t="str">
        <f t="shared" si="145"/>
        <v/>
      </c>
      <c r="AU230" s="18" t="str">
        <f t="shared" si="145"/>
        <v/>
      </c>
      <c r="AV230" s="18" t="str">
        <f t="shared" si="145"/>
        <v/>
      </c>
      <c r="AW230" s="18" t="str">
        <f t="shared" si="145"/>
        <v/>
      </c>
    </row>
    <row r="231" spans="1:49" s="851" customFormat="1" hidden="1" outlineLevel="1">
      <c r="A231" s="2" t="str">
        <f t="shared" ref="A231:AF231" si="146">IF(A132="","",A132)</f>
        <v/>
      </c>
      <c r="B231" s="851" t="str">
        <f t="shared" si="146"/>
        <v/>
      </c>
      <c r="C231" s="851" t="str">
        <f t="shared" si="146"/>
        <v/>
      </c>
      <c r="D231" s="851" t="str">
        <f t="shared" si="146"/>
        <v/>
      </c>
      <c r="E231" s="851" t="str">
        <f t="shared" si="146"/>
        <v/>
      </c>
      <c r="F231" s="851" t="str">
        <f t="shared" si="146"/>
        <v/>
      </c>
      <c r="G231" s="851" t="str">
        <f t="shared" si="146"/>
        <v/>
      </c>
      <c r="H231" s="851" t="str">
        <f t="shared" si="146"/>
        <v/>
      </c>
      <c r="I231" s="851" t="str">
        <f t="shared" si="146"/>
        <v/>
      </c>
      <c r="J231" s="851" t="str">
        <f t="shared" si="146"/>
        <v/>
      </c>
      <c r="K231" s="851" t="str">
        <f t="shared" si="146"/>
        <v/>
      </c>
      <c r="L231" s="851" t="str">
        <f t="shared" si="146"/>
        <v/>
      </c>
      <c r="M231" s="851" t="str">
        <f t="shared" si="146"/>
        <v/>
      </c>
      <c r="N231" s="851" t="str">
        <f t="shared" si="146"/>
        <v/>
      </c>
      <c r="O231" s="851" t="str">
        <f t="shared" si="146"/>
        <v/>
      </c>
      <c r="P231" s="851" t="str">
        <f t="shared" si="146"/>
        <v/>
      </c>
      <c r="Q231" s="851" t="str">
        <f t="shared" si="146"/>
        <v/>
      </c>
      <c r="R231" s="851" t="str">
        <f t="shared" si="146"/>
        <v/>
      </c>
      <c r="S231" s="851" t="str">
        <f t="shared" si="146"/>
        <v/>
      </c>
      <c r="T231" s="851" t="str">
        <f t="shared" si="146"/>
        <v/>
      </c>
      <c r="U231" s="851" t="str">
        <f t="shared" si="146"/>
        <v/>
      </c>
      <c r="V231" s="851" t="str">
        <f t="shared" si="146"/>
        <v/>
      </c>
      <c r="W231" s="851" t="str">
        <f t="shared" si="146"/>
        <v/>
      </c>
      <c r="X231" s="851" t="str">
        <f t="shared" si="146"/>
        <v/>
      </c>
      <c r="Y231" s="851" t="str">
        <f t="shared" si="146"/>
        <v/>
      </c>
      <c r="Z231" s="851" t="str">
        <f t="shared" si="146"/>
        <v/>
      </c>
      <c r="AA231" s="1224" t="str">
        <f t="shared" si="146"/>
        <v/>
      </c>
      <c r="AB231" s="1224" t="str">
        <f t="shared" si="146"/>
        <v/>
      </c>
      <c r="AC231" s="1224" t="str">
        <f t="shared" si="146"/>
        <v/>
      </c>
      <c r="AD231" s="1224" t="str">
        <f t="shared" si="146"/>
        <v/>
      </c>
      <c r="AE231" s="1224" t="str">
        <f t="shared" si="146"/>
        <v/>
      </c>
      <c r="AF231" s="18" t="str">
        <f t="shared" si="146"/>
        <v/>
      </c>
      <c r="AG231" s="18" t="str">
        <f t="shared" ref="AG231:AW231" si="147">IF(AG132="","",AG132)</f>
        <v/>
      </c>
      <c r="AH231" s="18" t="str">
        <f t="shared" si="147"/>
        <v/>
      </c>
      <c r="AI231" s="18" t="str">
        <f t="shared" si="147"/>
        <v/>
      </c>
      <c r="AJ231" s="18" t="str">
        <f t="shared" si="147"/>
        <v/>
      </c>
      <c r="AK231" s="18" t="str">
        <f t="shared" si="147"/>
        <v/>
      </c>
      <c r="AL231" s="18" t="str">
        <f t="shared" si="147"/>
        <v/>
      </c>
      <c r="AM231" s="18" t="str">
        <f t="shared" si="147"/>
        <v/>
      </c>
      <c r="AN231" s="18" t="str">
        <f t="shared" si="147"/>
        <v/>
      </c>
      <c r="AO231" s="18" t="str">
        <f t="shared" si="147"/>
        <v/>
      </c>
      <c r="AP231" s="18" t="str">
        <f t="shared" si="147"/>
        <v/>
      </c>
      <c r="AQ231" s="18" t="str">
        <f t="shared" si="147"/>
        <v/>
      </c>
      <c r="AR231" s="18" t="str">
        <f t="shared" si="147"/>
        <v/>
      </c>
      <c r="AS231" s="18" t="str">
        <f t="shared" si="147"/>
        <v/>
      </c>
      <c r="AT231" s="18" t="str">
        <f t="shared" si="147"/>
        <v/>
      </c>
      <c r="AU231" s="18" t="str">
        <f t="shared" si="147"/>
        <v/>
      </c>
      <c r="AV231" s="18" t="str">
        <f t="shared" si="147"/>
        <v/>
      </c>
      <c r="AW231" s="18" t="str">
        <f t="shared" si="147"/>
        <v/>
      </c>
    </row>
    <row r="232" spans="1:49" s="851" customFormat="1" hidden="1" outlineLevel="1">
      <c r="A232" s="2" t="str">
        <f t="shared" ref="A232:AF232" si="148">IF(A133="","",A133)</f>
        <v/>
      </c>
      <c r="B232" s="851" t="str">
        <f t="shared" si="148"/>
        <v/>
      </c>
      <c r="C232" s="851" t="str">
        <f t="shared" si="148"/>
        <v/>
      </c>
      <c r="D232" s="851" t="str">
        <f t="shared" si="148"/>
        <v/>
      </c>
      <c r="E232" s="851" t="str">
        <f t="shared" si="148"/>
        <v/>
      </c>
      <c r="F232" s="851" t="str">
        <f t="shared" si="148"/>
        <v/>
      </c>
      <c r="G232" s="851" t="str">
        <f t="shared" si="148"/>
        <v/>
      </c>
      <c r="H232" s="851" t="str">
        <f t="shared" si="148"/>
        <v/>
      </c>
      <c r="I232" s="851" t="str">
        <f t="shared" si="148"/>
        <v/>
      </c>
      <c r="J232" s="851" t="str">
        <f t="shared" si="148"/>
        <v/>
      </c>
      <c r="K232" s="851" t="str">
        <f t="shared" si="148"/>
        <v/>
      </c>
      <c r="L232" s="851" t="str">
        <f t="shared" si="148"/>
        <v/>
      </c>
      <c r="M232" s="851" t="str">
        <f t="shared" si="148"/>
        <v/>
      </c>
      <c r="N232" s="851" t="str">
        <f t="shared" si="148"/>
        <v/>
      </c>
      <c r="O232" s="851" t="str">
        <f t="shared" si="148"/>
        <v/>
      </c>
      <c r="P232" s="851" t="str">
        <f t="shared" si="148"/>
        <v/>
      </c>
      <c r="Q232" s="851" t="str">
        <f t="shared" si="148"/>
        <v/>
      </c>
      <c r="R232" s="851" t="str">
        <f t="shared" si="148"/>
        <v/>
      </c>
      <c r="S232" s="851" t="str">
        <f t="shared" si="148"/>
        <v/>
      </c>
      <c r="T232" s="851" t="str">
        <f t="shared" si="148"/>
        <v/>
      </c>
      <c r="U232" s="851" t="str">
        <f t="shared" si="148"/>
        <v/>
      </c>
      <c r="V232" s="851" t="str">
        <f t="shared" si="148"/>
        <v/>
      </c>
      <c r="W232" s="851" t="str">
        <f t="shared" si="148"/>
        <v/>
      </c>
      <c r="X232" s="851" t="str">
        <f t="shared" si="148"/>
        <v/>
      </c>
      <c r="Y232" s="851" t="str">
        <f t="shared" si="148"/>
        <v/>
      </c>
      <c r="Z232" s="851" t="str">
        <f t="shared" si="148"/>
        <v/>
      </c>
      <c r="AA232" s="1224" t="str">
        <f t="shared" si="148"/>
        <v/>
      </c>
      <c r="AB232" s="1224" t="str">
        <f t="shared" si="148"/>
        <v/>
      </c>
      <c r="AC232" s="1224" t="str">
        <f t="shared" si="148"/>
        <v/>
      </c>
      <c r="AD232" s="1224" t="str">
        <f t="shared" si="148"/>
        <v/>
      </c>
      <c r="AE232" s="1224" t="str">
        <f t="shared" si="148"/>
        <v/>
      </c>
      <c r="AF232" s="18" t="str">
        <f t="shared" si="148"/>
        <v/>
      </c>
      <c r="AG232" s="18" t="str">
        <f t="shared" ref="AG232:AW232" si="149">IF(AG133="","",AG133)</f>
        <v/>
      </c>
      <c r="AH232" s="18" t="str">
        <f t="shared" si="149"/>
        <v/>
      </c>
      <c r="AI232" s="18" t="str">
        <f t="shared" si="149"/>
        <v/>
      </c>
      <c r="AJ232" s="18" t="str">
        <f t="shared" si="149"/>
        <v/>
      </c>
      <c r="AK232" s="18" t="str">
        <f t="shared" si="149"/>
        <v/>
      </c>
      <c r="AL232" s="18" t="str">
        <f t="shared" si="149"/>
        <v/>
      </c>
      <c r="AM232" s="18" t="str">
        <f t="shared" si="149"/>
        <v/>
      </c>
      <c r="AN232" s="18" t="str">
        <f t="shared" si="149"/>
        <v/>
      </c>
      <c r="AO232" s="18" t="str">
        <f t="shared" si="149"/>
        <v/>
      </c>
      <c r="AP232" s="18" t="str">
        <f t="shared" si="149"/>
        <v/>
      </c>
      <c r="AQ232" s="18" t="str">
        <f t="shared" si="149"/>
        <v/>
      </c>
      <c r="AR232" s="18" t="str">
        <f t="shared" si="149"/>
        <v/>
      </c>
      <c r="AS232" s="18" t="str">
        <f t="shared" si="149"/>
        <v/>
      </c>
      <c r="AT232" s="18" t="str">
        <f t="shared" si="149"/>
        <v/>
      </c>
      <c r="AU232" s="18" t="str">
        <f t="shared" si="149"/>
        <v/>
      </c>
      <c r="AV232" s="18" t="str">
        <f t="shared" si="149"/>
        <v/>
      </c>
      <c r="AW232" s="18" t="str">
        <f t="shared" si="149"/>
        <v/>
      </c>
    </row>
    <row r="233" spans="1:49" s="1021" customFormat="1" collapsed="1">
      <c r="A233" s="1021" t="s">
        <v>578</v>
      </c>
      <c r="B233" s="1021" t="str">
        <f t="shared" ref="B233:AW233" si="150">IF(B130="","",B130)</f>
        <v/>
      </c>
      <c r="C233" s="1021" t="str">
        <f t="shared" si="150"/>
        <v/>
      </c>
      <c r="D233" s="1021" t="str">
        <f t="shared" si="150"/>
        <v/>
      </c>
      <c r="E233" s="1021" t="str">
        <f t="shared" si="150"/>
        <v/>
      </c>
      <c r="F233" s="1021" t="str">
        <f t="shared" si="150"/>
        <v/>
      </c>
      <c r="G233" s="1021" t="str">
        <f t="shared" si="150"/>
        <v/>
      </c>
      <c r="H233" s="1021" t="str">
        <f t="shared" si="150"/>
        <v/>
      </c>
      <c r="I233" s="1021" t="str">
        <f t="shared" si="150"/>
        <v/>
      </c>
      <c r="J233" s="1021" t="str">
        <f t="shared" si="150"/>
        <v/>
      </c>
      <c r="K233" s="1021" t="str">
        <f t="shared" si="150"/>
        <v/>
      </c>
      <c r="L233" s="1021" t="str">
        <f t="shared" si="150"/>
        <v/>
      </c>
      <c r="M233" s="1021" t="str">
        <f t="shared" si="150"/>
        <v/>
      </c>
      <c r="N233" s="1021" t="str">
        <f t="shared" si="150"/>
        <v/>
      </c>
      <c r="O233" s="1021" t="str">
        <f t="shared" si="150"/>
        <v/>
      </c>
      <c r="P233" s="1021" t="str">
        <f t="shared" si="150"/>
        <v/>
      </c>
      <c r="Q233" s="1021" t="str">
        <f t="shared" si="150"/>
        <v/>
      </c>
      <c r="R233" s="1021" t="str">
        <f t="shared" si="150"/>
        <v/>
      </c>
      <c r="S233" s="1021" t="str">
        <f t="shared" si="150"/>
        <v/>
      </c>
      <c r="T233" s="1021" t="str">
        <f t="shared" si="150"/>
        <v/>
      </c>
      <c r="U233" s="1021" t="str">
        <f t="shared" si="150"/>
        <v/>
      </c>
      <c r="V233" s="1021" t="str">
        <f t="shared" si="150"/>
        <v/>
      </c>
      <c r="W233" s="1021" t="str">
        <f t="shared" si="150"/>
        <v/>
      </c>
      <c r="X233" s="1021" t="str">
        <f t="shared" si="150"/>
        <v/>
      </c>
      <c r="Y233" s="1021" t="str">
        <f t="shared" si="150"/>
        <v/>
      </c>
      <c r="Z233" s="1021" t="str">
        <f t="shared" si="150"/>
        <v/>
      </c>
      <c r="AA233" s="1231" t="str">
        <f t="shared" si="150"/>
        <v/>
      </c>
      <c r="AB233" s="1231" t="str">
        <f t="shared" si="150"/>
        <v/>
      </c>
      <c r="AC233" s="1231" t="str">
        <f t="shared" si="150"/>
        <v/>
      </c>
      <c r="AD233" s="1231" t="str">
        <f t="shared" si="150"/>
        <v/>
      </c>
      <c r="AE233" s="1231" t="str">
        <f t="shared" si="150"/>
        <v/>
      </c>
      <c r="AF233" s="1022" t="str">
        <f t="shared" si="150"/>
        <v/>
      </c>
      <c r="AG233" s="1022" t="str">
        <f t="shared" si="150"/>
        <v/>
      </c>
      <c r="AH233" s="1022" t="str">
        <f t="shared" si="150"/>
        <v/>
      </c>
      <c r="AI233" s="1022" t="str">
        <f t="shared" si="150"/>
        <v/>
      </c>
      <c r="AJ233" s="1022" t="str">
        <f t="shared" si="150"/>
        <v/>
      </c>
      <c r="AK233" s="1022" t="str">
        <f t="shared" si="150"/>
        <v/>
      </c>
      <c r="AL233" s="1022" t="str">
        <f t="shared" si="150"/>
        <v/>
      </c>
      <c r="AM233" s="1022" t="str">
        <f t="shared" si="150"/>
        <v/>
      </c>
      <c r="AN233" s="1022" t="str">
        <f t="shared" si="150"/>
        <v/>
      </c>
      <c r="AO233" s="1022" t="str">
        <f t="shared" si="150"/>
        <v/>
      </c>
      <c r="AP233" s="1022" t="str">
        <f t="shared" si="150"/>
        <v/>
      </c>
      <c r="AQ233" s="1022" t="str">
        <f t="shared" si="150"/>
        <v/>
      </c>
      <c r="AR233" s="1022" t="str">
        <f t="shared" si="150"/>
        <v/>
      </c>
      <c r="AS233" s="1022" t="str">
        <f t="shared" si="150"/>
        <v/>
      </c>
      <c r="AT233" s="1022" t="str">
        <f t="shared" si="150"/>
        <v/>
      </c>
      <c r="AU233" s="1022" t="str">
        <f t="shared" si="150"/>
        <v/>
      </c>
      <c r="AV233" s="1022" t="str">
        <f t="shared" si="150"/>
        <v/>
      </c>
      <c r="AW233" s="1022" t="str">
        <f t="shared" si="150"/>
        <v/>
      </c>
    </row>
    <row r="234" spans="1:49" hidden="1" outlineLevel="1">
      <c r="AW234" s="18"/>
    </row>
    <row r="235" spans="1:49" hidden="1" outlineLevel="1">
      <c r="A235" s="2" t="s">
        <v>81</v>
      </c>
      <c r="B235" s="851"/>
      <c r="C235" s="851"/>
      <c r="D235" s="851"/>
      <c r="E235" s="851"/>
      <c r="F235" s="851"/>
      <c r="G235" s="851"/>
      <c r="H235" s="851"/>
      <c r="I235" s="851"/>
      <c r="J235" s="851"/>
      <c r="K235" s="851"/>
      <c r="L235" s="851"/>
      <c r="M235" s="851"/>
      <c r="N235" s="851"/>
      <c r="O235" s="851"/>
      <c r="P235" s="851"/>
      <c r="Q235" s="851"/>
      <c r="R235" s="851"/>
      <c r="S235" s="851"/>
      <c r="T235" s="851"/>
      <c r="U235" s="851"/>
      <c r="V235" s="851"/>
      <c r="W235" s="851"/>
      <c r="X235" s="851"/>
      <c r="Y235" s="851"/>
      <c r="Z235" s="851"/>
      <c r="AW235" s="18"/>
    </row>
    <row r="236" spans="1:49" hidden="1" outlineLevel="1">
      <c r="A236" s="851" t="s">
        <v>90</v>
      </c>
      <c r="B236" s="851" t="str">
        <f t="shared" ref="B236:Z236" si="151">IF(B121="","",B121)</f>
        <v/>
      </c>
      <c r="C236" s="851" t="str">
        <f t="shared" si="151"/>
        <v/>
      </c>
      <c r="D236" s="851" t="str">
        <f t="shared" si="151"/>
        <v/>
      </c>
      <c r="E236" s="851" t="str">
        <f t="shared" si="151"/>
        <v/>
      </c>
      <c r="F236" s="851" t="str">
        <f t="shared" si="151"/>
        <v/>
      </c>
      <c r="G236" s="851" t="str">
        <f t="shared" si="151"/>
        <v/>
      </c>
      <c r="H236" s="851" t="str">
        <f t="shared" si="151"/>
        <v/>
      </c>
      <c r="I236" s="851" t="str">
        <f t="shared" si="151"/>
        <v/>
      </c>
      <c r="J236" s="851" t="str">
        <f t="shared" si="151"/>
        <v/>
      </c>
      <c r="K236" s="851" t="str">
        <f t="shared" si="151"/>
        <v/>
      </c>
      <c r="L236" s="851" t="str">
        <f t="shared" si="151"/>
        <v/>
      </c>
      <c r="M236" s="851" t="str">
        <f t="shared" si="151"/>
        <v/>
      </c>
      <c r="N236" s="851" t="str">
        <f t="shared" si="151"/>
        <v/>
      </c>
      <c r="O236" s="851" t="str">
        <f t="shared" si="151"/>
        <v/>
      </c>
      <c r="P236" s="851" t="str">
        <f t="shared" si="151"/>
        <v/>
      </c>
      <c r="Q236" s="851" t="str">
        <f t="shared" si="151"/>
        <v/>
      </c>
      <c r="R236" s="851" t="str">
        <f t="shared" si="151"/>
        <v/>
      </c>
      <c r="S236" s="851" t="str">
        <f t="shared" si="151"/>
        <v/>
      </c>
      <c r="T236" s="851" t="str">
        <f t="shared" si="151"/>
        <v/>
      </c>
      <c r="U236" s="851" t="str">
        <f t="shared" si="151"/>
        <v/>
      </c>
      <c r="V236" s="851" t="str">
        <f t="shared" si="151"/>
        <v/>
      </c>
      <c r="W236" s="851" t="str">
        <f t="shared" si="151"/>
        <v/>
      </c>
      <c r="X236" s="851" t="str">
        <f t="shared" si="151"/>
        <v/>
      </c>
      <c r="Y236" s="851" t="str">
        <f t="shared" si="151"/>
        <v/>
      </c>
      <c r="Z236" s="851" t="str">
        <f t="shared" si="151"/>
        <v/>
      </c>
      <c r="AA236" s="1224" t="str">
        <f>IF(AA21="","",AA21)</f>
        <v/>
      </c>
      <c r="AB236" s="1230">
        <v>0</v>
      </c>
      <c r="AC236" s="1230">
        <v>0</v>
      </c>
      <c r="AD236" s="1230">
        <v>0</v>
      </c>
      <c r="AE236" s="1230">
        <v>0</v>
      </c>
      <c r="AF236" s="853">
        <f t="shared" ref="AF236:AW236" si="152">-5%*AF102</f>
        <v>-3.2991334569238681E-2</v>
      </c>
      <c r="AG236" s="853">
        <f t="shared" si="152"/>
        <v>-3.1619013581129382E-2</v>
      </c>
      <c r="AH236" s="853">
        <f t="shared" si="152"/>
        <v>-3.1240768094534715E-2</v>
      </c>
      <c r="AI236" s="853">
        <f t="shared" si="152"/>
        <v>-2.7768683274021357E-2</v>
      </c>
      <c r="AJ236" s="853">
        <f t="shared" si="152"/>
        <v>-2.9988627748294163E-2</v>
      </c>
      <c r="AK236" s="853">
        <f t="shared" si="152"/>
        <v>-2.9938627748294162E-2</v>
      </c>
      <c r="AL236" s="853">
        <f t="shared" si="152"/>
        <v>-2.9888627748294164E-2</v>
      </c>
      <c r="AM236" s="853">
        <f t="shared" si="152"/>
        <v>-2.9838627748294162E-2</v>
      </c>
      <c r="AN236" s="853">
        <f t="shared" si="152"/>
        <v>-2.9788627748294161E-2</v>
      </c>
      <c r="AO236" s="853">
        <f t="shared" si="152"/>
        <v>-2.9738627748294163E-2</v>
      </c>
      <c r="AP236" s="853">
        <f t="shared" si="152"/>
        <v>-2.9688627748294161E-2</v>
      </c>
      <c r="AQ236" s="853">
        <f t="shared" si="152"/>
        <v>-2.9638627748294163E-2</v>
      </c>
      <c r="AR236" s="853">
        <f t="shared" si="152"/>
        <v>-2.9588627748294162E-2</v>
      </c>
      <c r="AS236" s="853">
        <f t="shared" si="152"/>
        <v>-2.9538627748294161E-2</v>
      </c>
      <c r="AT236" s="853">
        <f t="shared" si="152"/>
        <v>-2.9488627748294163E-2</v>
      </c>
      <c r="AU236" s="853">
        <f t="shared" si="152"/>
        <v>-2.9438627748294161E-2</v>
      </c>
      <c r="AV236" s="853">
        <f t="shared" si="152"/>
        <v>-2.9388627748294163E-2</v>
      </c>
      <c r="AW236" s="853">
        <f t="shared" si="152"/>
        <v>-2.9338627748294162E-2</v>
      </c>
    </row>
    <row r="237" spans="1:49" hidden="1" outlineLevel="1">
      <c r="A237" s="851" t="s">
        <v>569</v>
      </c>
      <c r="B237" s="851"/>
      <c r="C237" s="851"/>
      <c r="D237" s="851"/>
      <c r="E237" s="851"/>
      <c r="F237" s="851"/>
      <c r="G237" s="851"/>
      <c r="H237" s="851"/>
      <c r="I237" s="851"/>
      <c r="J237" s="851"/>
      <c r="K237" s="851"/>
      <c r="L237" s="851"/>
      <c r="M237" s="851"/>
      <c r="N237" s="851"/>
      <c r="O237" s="851"/>
      <c r="P237" s="851"/>
      <c r="Q237" s="851"/>
      <c r="R237" s="851"/>
      <c r="S237" s="851"/>
      <c r="T237" s="851"/>
      <c r="U237" s="851"/>
      <c r="V237" s="851"/>
      <c r="W237" s="851"/>
      <c r="X237" s="851"/>
      <c r="Y237" s="851"/>
      <c r="Z237" s="851"/>
      <c r="AB237" s="1230">
        <v>0</v>
      </c>
      <c r="AC237" s="1230">
        <v>0</v>
      </c>
      <c r="AD237" s="1230">
        <v>0.01</v>
      </c>
      <c r="AE237" s="1230">
        <v>0.01</v>
      </c>
      <c r="AF237" s="853">
        <v>0.01</v>
      </c>
      <c r="AG237" s="853">
        <f>AF237</f>
        <v>0.01</v>
      </c>
      <c r="AH237" s="853">
        <f t="shared" ref="AH237:AW237" si="153">AG237</f>
        <v>0.01</v>
      </c>
      <c r="AI237" s="853">
        <f t="shared" si="153"/>
        <v>0.01</v>
      </c>
      <c r="AJ237" s="853">
        <f t="shared" si="153"/>
        <v>0.01</v>
      </c>
      <c r="AK237" s="853">
        <f t="shared" si="153"/>
        <v>0.01</v>
      </c>
      <c r="AL237" s="853">
        <f t="shared" si="153"/>
        <v>0.01</v>
      </c>
      <c r="AM237" s="853">
        <f t="shared" si="153"/>
        <v>0.01</v>
      </c>
      <c r="AN237" s="853">
        <f t="shared" si="153"/>
        <v>0.01</v>
      </c>
      <c r="AO237" s="853">
        <f t="shared" si="153"/>
        <v>0.01</v>
      </c>
      <c r="AP237" s="853">
        <f t="shared" si="153"/>
        <v>0.01</v>
      </c>
      <c r="AQ237" s="853">
        <f t="shared" si="153"/>
        <v>0.01</v>
      </c>
      <c r="AR237" s="853">
        <f t="shared" si="153"/>
        <v>0.01</v>
      </c>
      <c r="AS237" s="853">
        <f t="shared" si="153"/>
        <v>0.01</v>
      </c>
      <c r="AT237" s="853">
        <f t="shared" si="153"/>
        <v>0.01</v>
      </c>
      <c r="AU237" s="853">
        <f t="shared" si="153"/>
        <v>0.01</v>
      </c>
      <c r="AV237" s="853">
        <f t="shared" si="153"/>
        <v>0.01</v>
      </c>
      <c r="AW237" s="853">
        <f t="shared" si="153"/>
        <v>0.01</v>
      </c>
    </row>
    <row r="238" spans="1:49" hidden="1" outlineLevel="1">
      <c r="A238" s="851" t="s">
        <v>570</v>
      </c>
      <c r="B238" s="851"/>
      <c r="C238" s="851"/>
      <c r="D238" s="851"/>
      <c r="E238" s="851"/>
      <c r="F238" s="851"/>
      <c r="G238" s="851"/>
      <c r="H238" s="851"/>
      <c r="I238" s="851"/>
      <c r="J238" s="851"/>
      <c r="K238" s="851"/>
      <c r="L238" s="851"/>
      <c r="M238" s="851"/>
      <c r="N238" s="851"/>
      <c r="O238" s="851"/>
      <c r="P238" s="851"/>
      <c r="Q238" s="851"/>
      <c r="R238" s="851"/>
      <c r="S238" s="851"/>
      <c r="T238" s="851"/>
      <c r="U238" s="851"/>
      <c r="V238" s="851"/>
      <c r="W238" s="851"/>
      <c r="X238" s="851"/>
      <c r="Y238" s="851"/>
      <c r="Z238" s="851"/>
      <c r="AB238" s="1230">
        <v>0</v>
      </c>
      <c r="AC238" s="1230">
        <v>0</v>
      </c>
      <c r="AD238" s="1230">
        <v>0.01</v>
      </c>
      <c r="AE238" s="1230">
        <v>0.01</v>
      </c>
      <c r="AF238" s="853">
        <v>0.01</v>
      </c>
      <c r="AG238" s="853">
        <f>AF238</f>
        <v>0.01</v>
      </c>
      <c r="AH238" s="853">
        <f t="shared" ref="AH238:AW238" si="154">AG238</f>
        <v>0.01</v>
      </c>
      <c r="AI238" s="853">
        <f t="shared" si="154"/>
        <v>0.01</v>
      </c>
      <c r="AJ238" s="853">
        <f t="shared" si="154"/>
        <v>0.01</v>
      </c>
      <c r="AK238" s="853">
        <f t="shared" si="154"/>
        <v>0.01</v>
      </c>
      <c r="AL238" s="853">
        <f t="shared" si="154"/>
        <v>0.01</v>
      </c>
      <c r="AM238" s="853">
        <f t="shared" si="154"/>
        <v>0.01</v>
      </c>
      <c r="AN238" s="853">
        <f t="shared" si="154"/>
        <v>0.01</v>
      </c>
      <c r="AO238" s="853">
        <f t="shared" si="154"/>
        <v>0.01</v>
      </c>
      <c r="AP238" s="853">
        <f t="shared" si="154"/>
        <v>0.01</v>
      </c>
      <c r="AQ238" s="853">
        <f t="shared" si="154"/>
        <v>0.01</v>
      </c>
      <c r="AR238" s="853">
        <f t="shared" si="154"/>
        <v>0.01</v>
      </c>
      <c r="AS238" s="853">
        <f t="shared" si="154"/>
        <v>0.01</v>
      </c>
      <c r="AT238" s="853">
        <f t="shared" si="154"/>
        <v>0.01</v>
      </c>
      <c r="AU238" s="853">
        <f t="shared" si="154"/>
        <v>0.01</v>
      </c>
      <c r="AV238" s="853">
        <f t="shared" si="154"/>
        <v>0.01</v>
      </c>
      <c r="AW238" s="853">
        <f t="shared" si="154"/>
        <v>0.01</v>
      </c>
    </row>
    <row r="239" spans="1:49" hidden="1" outlineLevel="1">
      <c r="A239" s="851" t="s">
        <v>577</v>
      </c>
      <c r="B239" s="851"/>
      <c r="C239" s="851"/>
      <c r="D239" s="851"/>
      <c r="E239" s="851"/>
      <c r="F239" s="851"/>
      <c r="G239" s="851"/>
      <c r="H239" s="851"/>
      <c r="I239" s="851"/>
      <c r="J239" s="851"/>
      <c r="K239" s="851"/>
      <c r="L239" s="851"/>
      <c r="M239" s="851"/>
      <c r="N239" s="851"/>
      <c r="O239" s="851"/>
      <c r="P239" s="851"/>
      <c r="Q239" s="851"/>
      <c r="R239" s="851"/>
      <c r="S239" s="851"/>
      <c r="T239" s="851"/>
      <c r="U239" s="851"/>
      <c r="V239" s="851"/>
      <c r="W239" s="851"/>
      <c r="X239" s="851"/>
      <c r="Y239" s="851"/>
      <c r="Z239" s="851"/>
      <c r="AW239" s="18"/>
    </row>
    <row r="240" spans="1:49" hidden="1" outlineLevel="1">
      <c r="A240" s="2" t="s">
        <v>101</v>
      </c>
      <c r="B240" s="851"/>
      <c r="C240" s="851"/>
      <c r="D240" s="851"/>
      <c r="E240" s="851"/>
      <c r="F240" s="851"/>
      <c r="G240" s="851"/>
      <c r="H240" s="851"/>
      <c r="I240" s="851"/>
      <c r="J240" s="851"/>
      <c r="K240" s="851"/>
      <c r="L240" s="851"/>
      <c r="M240" s="851"/>
      <c r="N240" s="851"/>
      <c r="O240" s="851"/>
      <c r="P240" s="851"/>
      <c r="Q240" s="851"/>
      <c r="R240" s="851"/>
      <c r="S240" s="851"/>
      <c r="T240" s="851"/>
      <c r="U240" s="851"/>
      <c r="V240" s="851"/>
      <c r="W240" s="851"/>
      <c r="X240" s="851"/>
      <c r="Y240" s="851"/>
      <c r="Z240" s="851"/>
      <c r="AW240" s="18"/>
    </row>
    <row r="241" spans="1:49" hidden="1" outlineLevel="1">
      <c r="A241" s="851" t="s">
        <v>90</v>
      </c>
      <c r="B241" s="851"/>
      <c r="C241" s="851"/>
      <c r="D241" s="851"/>
      <c r="E241" s="851"/>
      <c r="F241" s="851"/>
      <c r="G241" s="851"/>
      <c r="H241" s="851"/>
      <c r="I241" s="851"/>
      <c r="J241" s="851"/>
      <c r="K241" s="851"/>
      <c r="L241" s="851"/>
      <c r="M241" s="851"/>
      <c r="N241" s="851"/>
      <c r="O241" s="851"/>
      <c r="P241" s="851"/>
      <c r="Q241" s="851"/>
      <c r="R241" s="851"/>
      <c r="S241" s="851"/>
      <c r="T241" s="851"/>
      <c r="U241" s="851"/>
      <c r="V241" s="851"/>
      <c r="W241" s="851"/>
      <c r="X241" s="851"/>
      <c r="Y241" s="851"/>
      <c r="Z241" s="851"/>
      <c r="AB241" s="1230">
        <v>0</v>
      </c>
      <c r="AC241" s="1230">
        <v>0</v>
      </c>
      <c r="AD241" s="1230">
        <v>0</v>
      </c>
      <c r="AE241" s="1230">
        <v>0</v>
      </c>
      <c r="AF241" s="853">
        <f>-5%*AF107</f>
        <v>-3.6200000000000003E-2</v>
      </c>
      <c r="AG241" s="853">
        <f>AF241</f>
        <v>-3.6200000000000003E-2</v>
      </c>
      <c r="AH241" s="853">
        <f t="shared" ref="AH241:AW241" si="155">AG241</f>
        <v>-3.6200000000000003E-2</v>
      </c>
      <c r="AI241" s="853">
        <f t="shared" si="155"/>
        <v>-3.6200000000000003E-2</v>
      </c>
      <c r="AJ241" s="853">
        <f t="shared" si="155"/>
        <v>-3.6200000000000003E-2</v>
      </c>
      <c r="AK241" s="853">
        <f t="shared" si="155"/>
        <v>-3.6200000000000003E-2</v>
      </c>
      <c r="AL241" s="853">
        <f t="shared" si="155"/>
        <v>-3.6200000000000003E-2</v>
      </c>
      <c r="AM241" s="853">
        <f t="shared" si="155"/>
        <v>-3.6200000000000003E-2</v>
      </c>
      <c r="AN241" s="853">
        <f t="shared" si="155"/>
        <v>-3.6200000000000003E-2</v>
      </c>
      <c r="AO241" s="853">
        <f t="shared" si="155"/>
        <v>-3.6200000000000003E-2</v>
      </c>
      <c r="AP241" s="853">
        <f t="shared" si="155"/>
        <v>-3.6200000000000003E-2</v>
      </c>
      <c r="AQ241" s="853">
        <f t="shared" si="155"/>
        <v>-3.6200000000000003E-2</v>
      </c>
      <c r="AR241" s="853">
        <f t="shared" si="155"/>
        <v>-3.6200000000000003E-2</v>
      </c>
      <c r="AS241" s="853">
        <f t="shared" si="155"/>
        <v>-3.6200000000000003E-2</v>
      </c>
      <c r="AT241" s="853">
        <f t="shared" si="155"/>
        <v>-3.6200000000000003E-2</v>
      </c>
      <c r="AU241" s="853">
        <f t="shared" si="155"/>
        <v>-3.6200000000000003E-2</v>
      </c>
      <c r="AV241" s="853">
        <f t="shared" si="155"/>
        <v>-3.6200000000000003E-2</v>
      </c>
      <c r="AW241" s="853">
        <f t="shared" si="155"/>
        <v>-3.6200000000000003E-2</v>
      </c>
    </row>
    <row r="242" spans="1:49" hidden="1" outlineLevel="1">
      <c r="A242" s="851" t="s">
        <v>569</v>
      </c>
      <c r="B242" s="851"/>
      <c r="C242" s="851"/>
      <c r="D242" s="851"/>
      <c r="E242" s="851"/>
      <c r="F242" s="851"/>
      <c r="G242" s="851"/>
      <c r="H242" s="851"/>
      <c r="I242" s="851"/>
      <c r="J242" s="851"/>
      <c r="K242" s="851"/>
      <c r="L242" s="851"/>
      <c r="M242" s="851"/>
      <c r="N242" s="851"/>
      <c r="O242" s="851"/>
      <c r="P242" s="851"/>
      <c r="Q242" s="851"/>
      <c r="R242" s="851"/>
      <c r="S242" s="851"/>
      <c r="T242" s="851"/>
      <c r="U242" s="851"/>
      <c r="V242" s="851"/>
      <c r="W242" s="851"/>
      <c r="X242" s="851"/>
      <c r="Y242" s="851"/>
      <c r="Z242" s="851"/>
      <c r="AB242" s="1230">
        <v>0</v>
      </c>
      <c r="AC242" s="1230">
        <v>0</v>
      </c>
      <c r="AD242" s="1230">
        <v>0.01</v>
      </c>
      <c r="AE242" s="1230">
        <v>0.01</v>
      </c>
      <c r="AF242" s="853">
        <v>0.01</v>
      </c>
      <c r="AG242" s="853">
        <f>AF242</f>
        <v>0.01</v>
      </c>
      <c r="AH242" s="853">
        <f t="shared" ref="AH242:AW242" si="156">AG242</f>
        <v>0.01</v>
      </c>
      <c r="AI242" s="853">
        <f t="shared" si="156"/>
        <v>0.01</v>
      </c>
      <c r="AJ242" s="853">
        <f t="shared" si="156"/>
        <v>0.01</v>
      </c>
      <c r="AK242" s="853">
        <f t="shared" si="156"/>
        <v>0.01</v>
      </c>
      <c r="AL242" s="853">
        <f t="shared" si="156"/>
        <v>0.01</v>
      </c>
      <c r="AM242" s="853">
        <f t="shared" si="156"/>
        <v>0.01</v>
      </c>
      <c r="AN242" s="853">
        <f t="shared" si="156"/>
        <v>0.01</v>
      </c>
      <c r="AO242" s="853">
        <f t="shared" si="156"/>
        <v>0.01</v>
      </c>
      <c r="AP242" s="853">
        <f t="shared" si="156"/>
        <v>0.01</v>
      </c>
      <c r="AQ242" s="853">
        <f t="shared" si="156"/>
        <v>0.01</v>
      </c>
      <c r="AR242" s="853">
        <f t="shared" si="156"/>
        <v>0.01</v>
      </c>
      <c r="AS242" s="853">
        <f t="shared" si="156"/>
        <v>0.01</v>
      </c>
      <c r="AT242" s="853">
        <f t="shared" si="156"/>
        <v>0.01</v>
      </c>
      <c r="AU242" s="853">
        <f t="shared" si="156"/>
        <v>0.01</v>
      </c>
      <c r="AV242" s="853">
        <f t="shared" si="156"/>
        <v>0.01</v>
      </c>
      <c r="AW242" s="853">
        <f t="shared" si="156"/>
        <v>0.01</v>
      </c>
    </row>
    <row r="243" spans="1:49" hidden="1" outlineLevel="1">
      <c r="A243" s="851" t="s">
        <v>570</v>
      </c>
      <c r="B243" s="851"/>
      <c r="C243" s="851"/>
      <c r="D243" s="851"/>
      <c r="E243" s="851"/>
      <c r="F243" s="851"/>
      <c r="G243" s="851"/>
      <c r="H243" s="851"/>
      <c r="I243" s="851"/>
      <c r="J243" s="851"/>
      <c r="K243" s="851"/>
      <c r="L243" s="851"/>
      <c r="M243" s="851"/>
      <c r="N243" s="851"/>
      <c r="O243" s="851"/>
      <c r="P243" s="851"/>
      <c r="Q243" s="851"/>
      <c r="R243" s="851"/>
      <c r="S243" s="851"/>
      <c r="T243" s="851"/>
      <c r="U243" s="851"/>
      <c r="V243" s="851"/>
      <c r="W243" s="851"/>
      <c r="X243" s="851"/>
      <c r="Y243" s="851"/>
      <c r="Z243" s="851"/>
      <c r="AB243" s="1230">
        <v>0</v>
      </c>
      <c r="AC243" s="1230">
        <v>0</v>
      </c>
      <c r="AD243" s="1230">
        <v>0.01</v>
      </c>
      <c r="AE243" s="1230">
        <v>0.01</v>
      </c>
      <c r="AF243" s="853">
        <v>0.01</v>
      </c>
      <c r="AG243" s="853">
        <f>AF243</f>
        <v>0.01</v>
      </c>
      <c r="AH243" s="853">
        <f t="shared" ref="AH243:AW243" si="157">AG243</f>
        <v>0.01</v>
      </c>
      <c r="AI243" s="853">
        <f t="shared" si="157"/>
        <v>0.01</v>
      </c>
      <c r="AJ243" s="853">
        <f t="shared" si="157"/>
        <v>0.01</v>
      </c>
      <c r="AK243" s="853">
        <f t="shared" si="157"/>
        <v>0.01</v>
      </c>
      <c r="AL243" s="853">
        <f t="shared" si="157"/>
        <v>0.01</v>
      </c>
      <c r="AM243" s="853">
        <f t="shared" si="157"/>
        <v>0.01</v>
      </c>
      <c r="AN243" s="853">
        <f t="shared" si="157"/>
        <v>0.01</v>
      </c>
      <c r="AO243" s="853">
        <f t="shared" si="157"/>
        <v>0.01</v>
      </c>
      <c r="AP243" s="853">
        <f t="shared" si="157"/>
        <v>0.01</v>
      </c>
      <c r="AQ243" s="853">
        <f t="shared" si="157"/>
        <v>0.01</v>
      </c>
      <c r="AR243" s="853">
        <f t="shared" si="157"/>
        <v>0.01</v>
      </c>
      <c r="AS243" s="853">
        <f t="shared" si="157"/>
        <v>0.01</v>
      </c>
      <c r="AT243" s="853">
        <f t="shared" si="157"/>
        <v>0.01</v>
      </c>
      <c r="AU243" s="853">
        <f t="shared" si="157"/>
        <v>0.01</v>
      </c>
      <c r="AV243" s="853">
        <f t="shared" si="157"/>
        <v>0.01</v>
      </c>
      <c r="AW243" s="853">
        <f t="shared" si="157"/>
        <v>0.01</v>
      </c>
    </row>
    <row r="244" spans="1:49" hidden="1" outlineLevel="1">
      <c r="A244" s="851" t="s">
        <v>577</v>
      </c>
      <c r="B244" s="851"/>
      <c r="C244" s="851"/>
      <c r="D244" s="851"/>
      <c r="E244" s="851"/>
      <c r="F244" s="851"/>
      <c r="G244" s="851"/>
      <c r="H244" s="851"/>
      <c r="I244" s="851"/>
      <c r="J244" s="851"/>
      <c r="K244" s="851"/>
      <c r="L244" s="851"/>
      <c r="M244" s="851"/>
      <c r="N244" s="851"/>
      <c r="O244" s="851"/>
      <c r="P244" s="851"/>
      <c r="Q244" s="851"/>
      <c r="R244" s="851"/>
      <c r="S244" s="851"/>
      <c r="T244" s="851"/>
      <c r="U244" s="851"/>
      <c r="V244" s="851"/>
      <c r="W244" s="851"/>
      <c r="X244" s="851"/>
      <c r="Y244" s="851"/>
      <c r="Z244" s="851"/>
      <c r="AW244" s="18"/>
    </row>
    <row r="245" spans="1:49" hidden="1" outlineLevel="1">
      <c r="A245" s="2" t="s">
        <v>116</v>
      </c>
      <c r="B245" s="851"/>
      <c r="C245" s="851"/>
      <c r="D245" s="851"/>
      <c r="E245" s="851"/>
      <c r="F245" s="851"/>
      <c r="G245" s="851"/>
      <c r="H245" s="851"/>
      <c r="I245" s="851"/>
      <c r="J245" s="851"/>
      <c r="K245" s="851"/>
      <c r="L245" s="851"/>
      <c r="M245" s="851"/>
      <c r="N245" s="851"/>
      <c r="O245" s="851"/>
      <c r="P245" s="851"/>
      <c r="Q245" s="851"/>
      <c r="R245" s="851"/>
      <c r="S245" s="851"/>
      <c r="T245" s="851"/>
      <c r="U245" s="851"/>
      <c r="V245" s="851"/>
      <c r="W245" s="851"/>
      <c r="X245" s="851"/>
      <c r="Y245" s="851"/>
      <c r="Z245" s="851"/>
      <c r="AW245" s="18"/>
    </row>
    <row r="246" spans="1:49" hidden="1" outlineLevel="1">
      <c r="A246" s="851" t="s">
        <v>90</v>
      </c>
      <c r="B246" s="851"/>
      <c r="C246" s="851"/>
      <c r="D246" s="851"/>
      <c r="E246" s="851"/>
      <c r="F246" s="851"/>
      <c r="G246" s="851"/>
      <c r="H246" s="851"/>
      <c r="I246" s="851"/>
      <c r="J246" s="851"/>
      <c r="K246" s="851"/>
      <c r="L246" s="851"/>
      <c r="M246" s="851"/>
      <c r="N246" s="851"/>
      <c r="O246" s="851"/>
      <c r="P246" s="851"/>
      <c r="Q246" s="851"/>
      <c r="R246" s="851"/>
      <c r="S246" s="851"/>
      <c r="T246" s="851"/>
      <c r="U246" s="851"/>
      <c r="V246" s="851"/>
      <c r="W246" s="851"/>
      <c r="X246" s="851"/>
      <c r="Y246" s="851"/>
      <c r="Z246" s="851"/>
      <c r="AB246" s="1230">
        <v>0</v>
      </c>
      <c r="AC246" s="1230">
        <v>0</v>
      </c>
      <c r="AD246" s="1230">
        <v>0</v>
      </c>
      <c r="AE246" s="1230">
        <v>0</v>
      </c>
      <c r="AF246" s="853">
        <f t="shared" ref="AF246:AW246" si="158">-5%*AF113</f>
        <v>-3.9295000000000004E-2</v>
      </c>
      <c r="AG246" s="853">
        <f t="shared" si="158"/>
        <v>-3.9295000000000004E-2</v>
      </c>
      <c r="AH246" s="853">
        <f t="shared" si="158"/>
        <v>-3.9295000000000004E-2</v>
      </c>
      <c r="AI246" s="853">
        <f t="shared" si="158"/>
        <v>-3.9295000000000004E-2</v>
      </c>
      <c r="AJ246" s="853">
        <f t="shared" si="158"/>
        <v>-3.9295000000000004E-2</v>
      </c>
      <c r="AK246" s="853">
        <f t="shared" si="158"/>
        <v>-3.9295000000000004E-2</v>
      </c>
      <c r="AL246" s="853">
        <f t="shared" si="158"/>
        <v>-3.9295000000000004E-2</v>
      </c>
      <c r="AM246" s="853">
        <f t="shared" si="158"/>
        <v>-3.9295000000000004E-2</v>
      </c>
      <c r="AN246" s="853">
        <f t="shared" si="158"/>
        <v>-3.9295000000000004E-2</v>
      </c>
      <c r="AO246" s="853">
        <f t="shared" si="158"/>
        <v>-3.9295000000000004E-2</v>
      </c>
      <c r="AP246" s="853">
        <f t="shared" si="158"/>
        <v>-3.9295000000000004E-2</v>
      </c>
      <c r="AQ246" s="853">
        <f t="shared" si="158"/>
        <v>-3.9295000000000004E-2</v>
      </c>
      <c r="AR246" s="853">
        <f t="shared" si="158"/>
        <v>-3.9295000000000004E-2</v>
      </c>
      <c r="AS246" s="853">
        <f t="shared" si="158"/>
        <v>-3.9295000000000004E-2</v>
      </c>
      <c r="AT246" s="853">
        <f t="shared" si="158"/>
        <v>-3.9295000000000004E-2</v>
      </c>
      <c r="AU246" s="853">
        <f t="shared" si="158"/>
        <v>-3.9295000000000004E-2</v>
      </c>
      <c r="AV246" s="853">
        <f t="shared" si="158"/>
        <v>-3.9295000000000004E-2</v>
      </c>
      <c r="AW246" s="853">
        <f t="shared" si="158"/>
        <v>-3.9295000000000004E-2</v>
      </c>
    </row>
    <row r="247" spans="1:49" hidden="1" outlineLevel="1">
      <c r="A247" s="851" t="s">
        <v>569</v>
      </c>
      <c r="B247" s="851"/>
      <c r="C247" s="851"/>
      <c r="D247" s="851"/>
      <c r="E247" s="851"/>
      <c r="F247" s="851"/>
      <c r="G247" s="851"/>
      <c r="H247" s="851"/>
      <c r="I247" s="851"/>
      <c r="J247" s="851"/>
      <c r="K247" s="851"/>
      <c r="L247" s="851"/>
      <c r="M247" s="851"/>
      <c r="N247" s="851"/>
      <c r="O247" s="851"/>
      <c r="P247" s="851"/>
      <c r="Q247" s="851"/>
      <c r="R247" s="851"/>
      <c r="S247" s="851"/>
      <c r="T247" s="851"/>
      <c r="U247" s="851"/>
      <c r="V247" s="851"/>
      <c r="W247" s="851"/>
      <c r="X247" s="851"/>
      <c r="Y247" s="851"/>
      <c r="Z247" s="851"/>
      <c r="AB247" s="1230">
        <v>0</v>
      </c>
      <c r="AC247" s="1230">
        <v>0</v>
      </c>
      <c r="AD247" s="1230">
        <v>0.01</v>
      </c>
      <c r="AE247" s="1230">
        <v>0.01</v>
      </c>
      <c r="AF247" s="853">
        <v>0.01</v>
      </c>
      <c r="AG247" s="853">
        <f>AF247</f>
        <v>0.01</v>
      </c>
      <c r="AH247" s="853">
        <f t="shared" ref="AH247:AW247" si="159">AG247</f>
        <v>0.01</v>
      </c>
      <c r="AI247" s="853">
        <f t="shared" si="159"/>
        <v>0.01</v>
      </c>
      <c r="AJ247" s="853">
        <f t="shared" si="159"/>
        <v>0.01</v>
      </c>
      <c r="AK247" s="853">
        <f t="shared" si="159"/>
        <v>0.01</v>
      </c>
      <c r="AL247" s="853">
        <f t="shared" si="159"/>
        <v>0.01</v>
      </c>
      <c r="AM247" s="853">
        <f t="shared" si="159"/>
        <v>0.01</v>
      </c>
      <c r="AN247" s="853">
        <f t="shared" si="159"/>
        <v>0.01</v>
      </c>
      <c r="AO247" s="853">
        <f t="shared" si="159"/>
        <v>0.01</v>
      </c>
      <c r="AP247" s="853">
        <f t="shared" si="159"/>
        <v>0.01</v>
      </c>
      <c r="AQ247" s="853">
        <f t="shared" si="159"/>
        <v>0.01</v>
      </c>
      <c r="AR247" s="853">
        <f t="shared" si="159"/>
        <v>0.01</v>
      </c>
      <c r="AS247" s="853">
        <f t="shared" si="159"/>
        <v>0.01</v>
      </c>
      <c r="AT247" s="853">
        <f t="shared" si="159"/>
        <v>0.01</v>
      </c>
      <c r="AU247" s="853">
        <f t="shared" si="159"/>
        <v>0.01</v>
      </c>
      <c r="AV247" s="853">
        <f t="shared" si="159"/>
        <v>0.01</v>
      </c>
      <c r="AW247" s="853">
        <f t="shared" si="159"/>
        <v>0.01</v>
      </c>
    </row>
    <row r="248" spans="1:49" hidden="1" outlineLevel="1">
      <c r="A248" s="851" t="s">
        <v>570</v>
      </c>
      <c r="B248" s="851"/>
      <c r="C248" s="851"/>
      <c r="D248" s="851"/>
      <c r="E248" s="851"/>
      <c r="F248" s="851"/>
      <c r="G248" s="851"/>
      <c r="H248" s="851"/>
      <c r="I248" s="851"/>
      <c r="J248" s="851"/>
      <c r="K248" s="851"/>
      <c r="L248" s="851"/>
      <c r="M248" s="851"/>
      <c r="N248" s="851"/>
      <c r="O248" s="851"/>
      <c r="P248" s="851"/>
      <c r="Q248" s="851"/>
      <c r="R248" s="851"/>
      <c r="S248" s="851"/>
      <c r="T248" s="851"/>
      <c r="U248" s="851"/>
      <c r="V248" s="851"/>
      <c r="W248" s="851"/>
      <c r="X248" s="851"/>
      <c r="Y248" s="851"/>
      <c r="Z248" s="851"/>
      <c r="AB248" s="1230">
        <v>0</v>
      </c>
      <c r="AC248" s="1230">
        <v>0</v>
      </c>
      <c r="AD248" s="1230">
        <v>0.01</v>
      </c>
      <c r="AE248" s="1230">
        <v>0.01</v>
      </c>
      <c r="AF248" s="853">
        <v>0.01</v>
      </c>
      <c r="AG248" s="853">
        <f>AF248</f>
        <v>0.01</v>
      </c>
      <c r="AH248" s="853">
        <f t="shared" ref="AH248:AW248" si="160">AG248</f>
        <v>0.01</v>
      </c>
      <c r="AI248" s="853">
        <f t="shared" si="160"/>
        <v>0.01</v>
      </c>
      <c r="AJ248" s="853">
        <f t="shared" si="160"/>
        <v>0.01</v>
      </c>
      <c r="AK248" s="853">
        <f t="shared" si="160"/>
        <v>0.01</v>
      </c>
      <c r="AL248" s="853">
        <f t="shared" si="160"/>
        <v>0.01</v>
      </c>
      <c r="AM248" s="853">
        <f t="shared" si="160"/>
        <v>0.01</v>
      </c>
      <c r="AN248" s="853">
        <f t="shared" si="160"/>
        <v>0.01</v>
      </c>
      <c r="AO248" s="853">
        <f t="shared" si="160"/>
        <v>0.01</v>
      </c>
      <c r="AP248" s="853">
        <f t="shared" si="160"/>
        <v>0.01</v>
      </c>
      <c r="AQ248" s="853">
        <f t="shared" si="160"/>
        <v>0.01</v>
      </c>
      <c r="AR248" s="853">
        <f t="shared" si="160"/>
        <v>0.01</v>
      </c>
      <c r="AS248" s="853">
        <f t="shared" si="160"/>
        <v>0.01</v>
      </c>
      <c r="AT248" s="853">
        <f t="shared" si="160"/>
        <v>0.01</v>
      </c>
      <c r="AU248" s="853">
        <f t="shared" si="160"/>
        <v>0.01</v>
      </c>
      <c r="AV248" s="853">
        <f t="shared" si="160"/>
        <v>0.01</v>
      </c>
      <c r="AW248" s="853">
        <f t="shared" si="160"/>
        <v>0.01</v>
      </c>
    </row>
    <row r="249" spans="1:49" hidden="1" outlineLevel="1">
      <c r="A249" s="851" t="s">
        <v>577</v>
      </c>
      <c r="B249" s="851"/>
      <c r="C249" s="851"/>
      <c r="D249" s="851"/>
      <c r="E249" s="851"/>
      <c r="F249" s="851"/>
      <c r="G249" s="851"/>
      <c r="H249" s="851"/>
      <c r="I249" s="851"/>
      <c r="J249" s="851"/>
      <c r="K249" s="851"/>
      <c r="L249" s="851"/>
      <c r="M249" s="851"/>
      <c r="N249" s="851"/>
      <c r="O249" s="851"/>
      <c r="P249" s="851"/>
      <c r="Q249" s="851"/>
      <c r="R249" s="851"/>
      <c r="S249" s="851"/>
      <c r="T249" s="851"/>
      <c r="U249" s="851"/>
      <c r="V249" s="851"/>
      <c r="W249" s="851"/>
      <c r="X249" s="851"/>
      <c r="Y249" s="851"/>
      <c r="Z249" s="851"/>
      <c r="AW249" s="18"/>
    </row>
    <row r="250" spans="1:49" hidden="1" outlineLevel="1">
      <c r="A250" s="2" t="s">
        <v>121</v>
      </c>
      <c r="B250" s="851"/>
      <c r="C250" s="851"/>
      <c r="D250" s="851"/>
      <c r="E250" s="851"/>
      <c r="F250" s="851"/>
      <c r="G250" s="851"/>
      <c r="H250" s="851"/>
      <c r="I250" s="851"/>
      <c r="J250" s="851"/>
      <c r="K250" s="851"/>
      <c r="L250" s="851"/>
      <c r="M250" s="851"/>
      <c r="N250" s="851"/>
      <c r="O250" s="851"/>
      <c r="P250" s="851"/>
      <c r="Q250" s="851"/>
      <c r="R250" s="851"/>
      <c r="S250" s="851"/>
      <c r="T250" s="851"/>
      <c r="U250" s="851"/>
      <c r="V250" s="851"/>
      <c r="W250" s="851"/>
      <c r="X250" s="851"/>
      <c r="Y250" s="851"/>
      <c r="Z250" s="851"/>
      <c r="AW250" s="18"/>
    </row>
    <row r="251" spans="1:49" hidden="1" outlineLevel="1">
      <c r="A251" s="851" t="s">
        <v>571</v>
      </c>
      <c r="B251" s="851"/>
      <c r="C251" s="851"/>
      <c r="D251" s="851"/>
      <c r="E251" s="851"/>
      <c r="F251" s="851"/>
      <c r="G251" s="851"/>
      <c r="H251" s="851"/>
      <c r="I251" s="851"/>
      <c r="J251" s="851"/>
      <c r="K251" s="851"/>
      <c r="L251" s="851"/>
      <c r="M251" s="851"/>
      <c r="N251" s="851"/>
      <c r="O251" s="851"/>
      <c r="P251" s="851"/>
      <c r="Q251" s="851"/>
      <c r="R251" s="851"/>
      <c r="S251" s="851"/>
      <c r="T251" s="851"/>
      <c r="U251" s="851"/>
      <c r="V251" s="851"/>
      <c r="W251" s="851"/>
      <c r="X251" s="851"/>
      <c r="Y251" s="851"/>
      <c r="Z251" s="851"/>
      <c r="AB251" s="1230">
        <v>0</v>
      </c>
      <c r="AC251" s="1230">
        <v>0</v>
      </c>
      <c r="AD251" s="1230">
        <v>0.01</v>
      </c>
      <c r="AE251" s="1230">
        <v>0.01</v>
      </c>
      <c r="AF251" s="853">
        <v>0.01</v>
      </c>
      <c r="AG251" s="853">
        <f>AF251</f>
        <v>0.01</v>
      </c>
      <c r="AH251" s="853">
        <f t="shared" ref="AH251:AW251" si="161">AG251</f>
        <v>0.01</v>
      </c>
      <c r="AI251" s="853">
        <f t="shared" si="161"/>
        <v>0.01</v>
      </c>
      <c r="AJ251" s="853">
        <f t="shared" si="161"/>
        <v>0.01</v>
      </c>
      <c r="AK251" s="853">
        <f t="shared" si="161"/>
        <v>0.01</v>
      </c>
      <c r="AL251" s="853">
        <f t="shared" si="161"/>
        <v>0.01</v>
      </c>
      <c r="AM251" s="853">
        <f t="shared" si="161"/>
        <v>0.01</v>
      </c>
      <c r="AN251" s="853">
        <f t="shared" si="161"/>
        <v>0.01</v>
      </c>
      <c r="AO251" s="853">
        <f t="shared" si="161"/>
        <v>0.01</v>
      </c>
      <c r="AP251" s="853">
        <f t="shared" si="161"/>
        <v>0.01</v>
      </c>
      <c r="AQ251" s="853">
        <f t="shared" si="161"/>
        <v>0.01</v>
      </c>
      <c r="AR251" s="853">
        <f t="shared" si="161"/>
        <v>0.01</v>
      </c>
      <c r="AS251" s="853">
        <f t="shared" si="161"/>
        <v>0.01</v>
      </c>
      <c r="AT251" s="853">
        <f t="shared" si="161"/>
        <v>0.01</v>
      </c>
      <c r="AU251" s="853">
        <f t="shared" si="161"/>
        <v>0.01</v>
      </c>
      <c r="AV251" s="853">
        <f t="shared" si="161"/>
        <v>0.01</v>
      </c>
      <c r="AW251" s="853">
        <f t="shared" si="161"/>
        <v>0.01</v>
      </c>
    </row>
    <row r="252" spans="1:49" hidden="1" outlineLevel="1">
      <c r="A252" s="851" t="s">
        <v>90</v>
      </c>
      <c r="B252" s="851"/>
      <c r="C252" s="851"/>
      <c r="D252" s="851"/>
      <c r="E252" s="851"/>
      <c r="F252" s="851"/>
      <c r="G252" s="851"/>
      <c r="H252" s="851"/>
      <c r="I252" s="851"/>
      <c r="J252" s="851"/>
      <c r="K252" s="851"/>
      <c r="L252" s="851"/>
      <c r="M252" s="851"/>
      <c r="N252" s="851"/>
      <c r="O252" s="851"/>
      <c r="P252" s="851"/>
      <c r="Q252" s="851"/>
      <c r="R252" s="851"/>
      <c r="S252" s="851"/>
      <c r="T252" s="851"/>
      <c r="U252" s="851"/>
      <c r="V252" s="851"/>
      <c r="W252" s="851"/>
      <c r="X252" s="851"/>
      <c r="Y252" s="851"/>
      <c r="Z252" s="851"/>
      <c r="AB252" s="1230">
        <v>0</v>
      </c>
      <c r="AC252" s="1230">
        <v>0</v>
      </c>
      <c r="AD252" s="1230">
        <v>0</v>
      </c>
      <c r="AE252" s="1230">
        <v>0</v>
      </c>
      <c r="AF252" s="853">
        <f>-5%*AF120</f>
        <v>-4.4120000000000006E-2</v>
      </c>
      <c r="AG252" s="853">
        <f>AF252</f>
        <v>-4.4120000000000006E-2</v>
      </c>
      <c r="AH252" s="853">
        <f t="shared" ref="AH252:AW252" si="162">AG252</f>
        <v>-4.4120000000000006E-2</v>
      </c>
      <c r="AI252" s="853">
        <f t="shared" si="162"/>
        <v>-4.4120000000000006E-2</v>
      </c>
      <c r="AJ252" s="853">
        <f t="shared" si="162"/>
        <v>-4.4120000000000006E-2</v>
      </c>
      <c r="AK252" s="853">
        <f t="shared" si="162"/>
        <v>-4.4120000000000006E-2</v>
      </c>
      <c r="AL252" s="853">
        <f t="shared" si="162"/>
        <v>-4.4120000000000006E-2</v>
      </c>
      <c r="AM252" s="853">
        <f t="shared" si="162"/>
        <v>-4.4120000000000006E-2</v>
      </c>
      <c r="AN252" s="853">
        <f t="shared" si="162"/>
        <v>-4.4120000000000006E-2</v>
      </c>
      <c r="AO252" s="853">
        <f t="shared" si="162"/>
        <v>-4.4120000000000006E-2</v>
      </c>
      <c r="AP252" s="853">
        <f t="shared" si="162"/>
        <v>-4.4120000000000006E-2</v>
      </c>
      <c r="AQ252" s="853">
        <f t="shared" si="162"/>
        <v>-4.4120000000000006E-2</v>
      </c>
      <c r="AR252" s="853">
        <f t="shared" si="162"/>
        <v>-4.4120000000000006E-2</v>
      </c>
      <c r="AS252" s="853">
        <f t="shared" si="162"/>
        <v>-4.4120000000000006E-2</v>
      </c>
      <c r="AT252" s="853">
        <f t="shared" si="162"/>
        <v>-4.4120000000000006E-2</v>
      </c>
      <c r="AU252" s="853">
        <f t="shared" si="162"/>
        <v>-4.4120000000000006E-2</v>
      </c>
      <c r="AV252" s="853">
        <f t="shared" si="162"/>
        <v>-4.4120000000000006E-2</v>
      </c>
      <c r="AW252" s="853">
        <f t="shared" si="162"/>
        <v>-4.4120000000000006E-2</v>
      </c>
    </row>
    <row r="253" spans="1:49" hidden="1" outlineLevel="1">
      <c r="A253" s="851"/>
      <c r="B253" s="851"/>
      <c r="C253" s="851"/>
      <c r="D253" s="851"/>
      <c r="E253" s="851"/>
      <c r="F253" s="851"/>
      <c r="G253" s="851"/>
      <c r="H253" s="851"/>
      <c r="I253" s="851"/>
      <c r="J253" s="851"/>
      <c r="K253" s="851"/>
      <c r="L253" s="851"/>
      <c r="M253" s="851"/>
      <c r="N253" s="851"/>
      <c r="O253" s="851"/>
      <c r="P253" s="851"/>
      <c r="Q253" s="851"/>
      <c r="R253" s="851"/>
      <c r="S253" s="851"/>
      <c r="T253" s="851"/>
      <c r="U253" s="851"/>
      <c r="V253" s="851"/>
      <c r="W253" s="851"/>
      <c r="X253" s="851"/>
      <c r="Y253" s="851"/>
      <c r="Z253" s="851"/>
      <c r="AW253" s="18"/>
    </row>
    <row r="254" spans="1:49" hidden="1" outlineLevel="1">
      <c r="A254" s="851" t="s">
        <v>577</v>
      </c>
      <c r="B254" s="851"/>
      <c r="C254" s="851"/>
      <c r="D254" s="851"/>
      <c r="E254" s="851"/>
      <c r="F254" s="851"/>
      <c r="G254" s="851"/>
      <c r="H254" s="851"/>
      <c r="I254" s="851"/>
      <c r="J254" s="851"/>
      <c r="K254" s="851"/>
      <c r="L254" s="851"/>
      <c r="M254" s="851"/>
      <c r="N254" s="851"/>
      <c r="O254" s="851"/>
      <c r="P254" s="851"/>
      <c r="Q254" s="851"/>
      <c r="R254" s="851"/>
      <c r="S254" s="851"/>
      <c r="T254" s="851"/>
      <c r="U254" s="851"/>
      <c r="V254" s="851"/>
      <c r="W254" s="851"/>
      <c r="X254" s="851"/>
      <c r="Y254" s="851"/>
      <c r="Z254" s="851"/>
      <c r="AW254" s="18"/>
    </row>
    <row r="255" spans="1:49" hidden="1" outlineLevel="1">
      <c r="A255" s="2" t="s">
        <v>130</v>
      </c>
      <c r="B255" s="851"/>
      <c r="C255" s="851"/>
      <c r="D255" s="851"/>
      <c r="E255" s="851"/>
      <c r="F255" s="851"/>
      <c r="G255" s="851"/>
      <c r="H255" s="851"/>
      <c r="I255" s="851"/>
      <c r="J255" s="851"/>
      <c r="K255" s="851"/>
      <c r="L255" s="851"/>
      <c r="M255" s="851"/>
      <c r="N255" s="851"/>
      <c r="O255" s="851"/>
      <c r="P255" s="851"/>
      <c r="Q255" s="851"/>
      <c r="R255" s="851"/>
      <c r="S255" s="851"/>
      <c r="T255" s="851"/>
      <c r="U255" s="851"/>
      <c r="V255" s="851"/>
      <c r="W255" s="851"/>
      <c r="X255" s="851"/>
      <c r="Y255" s="851"/>
      <c r="Z255" s="851"/>
      <c r="AW255" s="18"/>
    </row>
    <row r="256" spans="1:49" hidden="1" outlineLevel="1">
      <c r="A256" s="851" t="s">
        <v>90</v>
      </c>
      <c r="B256" s="851"/>
      <c r="C256" s="851"/>
      <c r="D256" s="851"/>
      <c r="E256" s="851"/>
      <c r="F256" s="851"/>
      <c r="G256" s="851"/>
      <c r="H256" s="851"/>
      <c r="I256" s="851"/>
      <c r="J256" s="851"/>
      <c r="K256" s="851"/>
      <c r="L256" s="851"/>
      <c r="M256" s="851"/>
      <c r="N256" s="851"/>
      <c r="O256" s="851"/>
      <c r="P256" s="851"/>
      <c r="Q256" s="851"/>
      <c r="R256" s="851"/>
      <c r="S256" s="851"/>
      <c r="T256" s="851"/>
      <c r="U256" s="851"/>
      <c r="V256" s="851"/>
      <c r="W256" s="851"/>
      <c r="X256" s="851"/>
      <c r="Y256" s="851"/>
      <c r="Z256" s="851"/>
      <c r="AB256" s="1230">
        <v>0</v>
      </c>
      <c r="AC256" s="1230">
        <v>0</v>
      </c>
      <c r="AD256" s="1230">
        <v>0</v>
      </c>
      <c r="AE256" s="1230">
        <v>0</v>
      </c>
      <c r="AF256" s="853">
        <f>-5%*AF126</f>
        <v>-4.1410000000000002E-2</v>
      </c>
      <c r="AG256" s="853">
        <f>AF256</f>
        <v>-4.1410000000000002E-2</v>
      </c>
      <c r="AH256" s="853">
        <f t="shared" ref="AH256:AW256" si="163">AG256</f>
        <v>-4.1410000000000002E-2</v>
      </c>
      <c r="AI256" s="853">
        <f t="shared" si="163"/>
        <v>-4.1410000000000002E-2</v>
      </c>
      <c r="AJ256" s="853">
        <f t="shared" si="163"/>
        <v>-4.1410000000000002E-2</v>
      </c>
      <c r="AK256" s="853">
        <f t="shared" si="163"/>
        <v>-4.1410000000000002E-2</v>
      </c>
      <c r="AL256" s="853">
        <f t="shared" si="163"/>
        <v>-4.1410000000000002E-2</v>
      </c>
      <c r="AM256" s="853">
        <f t="shared" si="163"/>
        <v>-4.1410000000000002E-2</v>
      </c>
      <c r="AN256" s="853">
        <f t="shared" si="163"/>
        <v>-4.1410000000000002E-2</v>
      </c>
      <c r="AO256" s="853">
        <f t="shared" si="163"/>
        <v>-4.1410000000000002E-2</v>
      </c>
      <c r="AP256" s="853">
        <f t="shared" si="163"/>
        <v>-4.1410000000000002E-2</v>
      </c>
      <c r="AQ256" s="853">
        <f t="shared" si="163"/>
        <v>-4.1410000000000002E-2</v>
      </c>
      <c r="AR256" s="853">
        <f t="shared" si="163"/>
        <v>-4.1410000000000002E-2</v>
      </c>
      <c r="AS256" s="853">
        <f t="shared" si="163"/>
        <v>-4.1410000000000002E-2</v>
      </c>
      <c r="AT256" s="853">
        <f t="shared" si="163"/>
        <v>-4.1410000000000002E-2</v>
      </c>
      <c r="AU256" s="853">
        <f t="shared" si="163"/>
        <v>-4.1410000000000002E-2</v>
      </c>
      <c r="AV256" s="853">
        <f t="shared" si="163"/>
        <v>-4.1410000000000002E-2</v>
      </c>
      <c r="AW256" s="853">
        <f t="shared" si="163"/>
        <v>-4.1410000000000002E-2</v>
      </c>
    </row>
    <row r="257" spans="1:48" hidden="1" outlineLevel="1">
      <c r="A257" s="851"/>
      <c r="B257" s="851"/>
      <c r="C257" s="851"/>
      <c r="D257" s="851"/>
      <c r="E257" s="851"/>
      <c r="F257" s="851"/>
      <c r="G257" s="851"/>
      <c r="H257" s="851"/>
      <c r="I257" s="851"/>
      <c r="J257" s="851"/>
      <c r="K257" s="851"/>
      <c r="L257" s="851"/>
      <c r="M257" s="851"/>
      <c r="N257" s="851"/>
      <c r="O257" s="851"/>
      <c r="P257" s="851"/>
      <c r="Q257" s="851"/>
      <c r="R257" s="851"/>
      <c r="S257" s="851"/>
      <c r="T257" s="851"/>
      <c r="U257" s="851"/>
      <c r="V257" s="851"/>
      <c r="W257" s="851"/>
      <c r="X257" s="851"/>
      <c r="Y257" s="851"/>
      <c r="Z257" s="851"/>
    </row>
    <row r="258" spans="1:48" hidden="1" outlineLevel="1">
      <c r="A258" s="2"/>
      <c r="B258" s="851"/>
      <c r="C258" s="851"/>
      <c r="D258" s="851"/>
      <c r="E258" s="851"/>
      <c r="F258" s="851"/>
      <c r="G258" s="851"/>
      <c r="H258" s="851"/>
      <c r="I258" s="851"/>
      <c r="J258" s="851"/>
      <c r="K258" s="851"/>
      <c r="L258" s="851"/>
      <c r="M258" s="851"/>
      <c r="N258" s="851"/>
      <c r="O258" s="851"/>
      <c r="P258" s="851"/>
      <c r="Q258" s="851"/>
      <c r="R258" s="851"/>
      <c r="S258" s="851"/>
      <c r="T258" s="851"/>
      <c r="U258" s="851"/>
      <c r="V258" s="851"/>
      <c r="W258" s="851"/>
      <c r="X258" s="851"/>
      <c r="Y258" s="851"/>
      <c r="Z258" s="851"/>
    </row>
    <row r="259" spans="1:48" s="851" customFormat="1" hidden="1" outlineLevel="1">
      <c r="A259" s="2"/>
      <c r="AA259" s="1224"/>
      <c r="AB259" s="1224"/>
      <c r="AC259" s="1224"/>
      <c r="AD259" s="1224"/>
      <c r="AE259" s="1224"/>
      <c r="AF259" s="18"/>
      <c r="AG259" s="18"/>
      <c r="AH259" s="18"/>
      <c r="AI259" s="18"/>
      <c r="AJ259" s="18"/>
      <c r="AK259" s="18"/>
      <c r="AL259" s="18"/>
      <c r="AM259" s="18"/>
      <c r="AN259" s="18"/>
      <c r="AO259" s="18"/>
      <c r="AP259" s="18"/>
      <c r="AQ259" s="18"/>
      <c r="AR259" s="18"/>
      <c r="AS259" s="18"/>
      <c r="AT259" s="18"/>
      <c r="AU259" s="18"/>
      <c r="AV259" s="18"/>
    </row>
    <row r="260" spans="1:48" s="851" customFormat="1" hidden="1" outlineLevel="1">
      <c r="A260" s="2"/>
      <c r="AA260" s="1224"/>
      <c r="AB260" s="1224"/>
      <c r="AC260" s="1224"/>
      <c r="AD260" s="1224"/>
      <c r="AE260" s="1224"/>
      <c r="AF260" s="18"/>
      <c r="AG260" s="18"/>
      <c r="AH260" s="18"/>
      <c r="AI260" s="18"/>
      <c r="AJ260" s="18"/>
      <c r="AK260" s="18"/>
      <c r="AL260" s="18"/>
      <c r="AM260" s="18"/>
      <c r="AN260" s="18"/>
      <c r="AO260" s="18"/>
      <c r="AP260" s="18"/>
      <c r="AQ260" s="18"/>
      <c r="AR260" s="18"/>
      <c r="AS260" s="18"/>
      <c r="AT260" s="18"/>
      <c r="AU260" s="18"/>
      <c r="AV260" s="18"/>
    </row>
    <row r="261" spans="1:48" s="851" customFormat="1" hidden="1" outlineLevel="1">
      <c r="A261" s="2"/>
      <c r="AA261" s="1224"/>
      <c r="AB261" s="1224"/>
      <c r="AC261" s="1224"/>
      <c r="AD261" s="1224"/>
      <c r="AE261" s="1224"/>
      <c r="AF261" s="18"/>
      <c r="AG261" s="18"/>
      <c r="AH261" s="18"/>
      <c r="AI261" s="18"/>
      <c r="AJ261" s="18"/>
      <c r="AK261" s="18"/>
      <c r="AL261" s="18"/>
      <c r="AM261" s="18"/>
      <c r="AN261" s="18"/>
      <c r="AO261" s="18"/>
      <c r="AP261" s="18"/>
      <c r="AQ261" s="18"/>
      <c r="AR261" s="18"/>
      <c r="AS261" s="18"/>
      <c r="AT261" s="18"/>
      <c r="AU261" s="18"/>
      <c r="AV261" s="18"/>
    </row>
    <row r="262" spans="1:48" s="851" customFormat="1" hidden="1" outlineLevel="1">
      <c r="A262" s="2"/>
      <c r="AA262" s="1224"/>
      <c r="AB262" s="1224"/>
      <c r="AC262" s="1224"/>
      <c r="AD262" s="1224"/>
      <c r="AE262" s="1224"/>
      <c r="AF262" s="18"/>
      <c r="AG262" s="18"/>
      <c r="AH262" s="18"/>
      <c r="AI262" s="18"/>
      <c r="AJ262" s="18"/>
      <c r="AK262" s="18"/>
      <c r="AL262" s="18"/>
      <c r="AM262" s="18"/>
      <c r="AN262" s="18"/>
      <c r="AO262" s="18"/>
      <c r="AP262" s="18"/>
      <c r="AQ262" s="18"/>
      <c r="AR262" s="18"/>
      <c r="AS262" s="18"/>
      <c r="AT262" s="18"/>
      <c r="AU262" s="18"/>
      <c r="AV262" s="18"/>
    </row>
    <row r="263" spans="1:48" s="851" customFormat="1" hidden="1" outlineLevel="1">
      <c r="A263" s="2"/>
      <c r="AA263" s="1224"/>
      <c r="AB263" s="1224"/>
      <c r="AC263" s="1224"/>
      <c r="AD263" s="1224"/>
      <c r="AE263" s="1224"/>
      <c r="AF263" s="18"/>
      <c r="AG263" s="18"/>
      <c r="AH263" s="18"/>
      <c r="AI263" s="18"/>
      <c r="AJ263" s="18"/>
      <c r="AK263" s="18"/>
      <c r="AL263" s="18"/>
      <c r="AM263" s="18"/>
      <c r="AN263" s="18"/>
      <c r="AO263" s="18"/>
      <c r="AP263" s="18"/>
      <c r="AQ263" s="18"/>
      <c r="AR263" s="18"/>
      <c r="AS263" s="18"/>
      <c r="AT263" s="18"/>
      <c r="AU263" s="18"/>
      <c r="AV263" s="18"/>
    </row>
    <row r="264" spans="1:48" s="851" customFormat="1" hidden="1" outlineLevel="1">
      <c r="A264" s="2"/>
      <c r="AA264" s="1224"/>
      <c r="AB264" s="1224"/>
      <c r="AC264" s="1224"/>
      <c r="AD264" s="1224"/>
      <c r="AE264" s="1224"/>
      <c r="AF264" s="18"/>
      <c r="AG264" s="18"/>
      <c r="AH264" s="18"/>
      <c r="AI264" s="18"/>
      <c r="AJ264" s="18"/>
      <c r="AK264" s="18"/>
      <c r="AL264" s="18"/>
      <c r="AM264" s="18"/>
      <c r="AN264" s="18"/>
      <c r="AO264" s="18"/>
      <c r="AP264" s="18"/>
      <c r="AQ264" s="18"/>
      <c r="AR264" s="18"/>
      <c r="AS264" s="18"/>
      <c r="AT264" s="18"/>
      <c r="AU264" s="18"/>
      <c r="AV264" s="18"/>
    </row>
    <row r="265" spans="1:48" s="851" customFormat="1" hidden="1" outlineLevel="1">
      <c r="A265" s="2"/>
      <c r="AA265" s="1224"/>
      <c r="AB265" s="1224"/>
      <c r="AC265" s="1224"/>
      <c r="AD265" s="1224"/>
      <c r="AE265" s="1224"/>
      <c r="AF265" s="18"/>
      <c r="AG265" s="18"/>
      <c r="AH265" s="18"/>
      <c r="AI265" s="18"/>
      <c r="AJ265" s="18"/>
      <c r="AK265" s="18"/>
      <c r="AL265" s="18"/>
      <c r="AM265" s="18"/>
      <c r="AN265" s="18"/>
      <c r="AO265" s="18"/>
      <c r="AP265" s="18"/>
      <c r="AQ265" s="18"/>
      <c r="AR265" s="18"/>
      <c r="AS265" s="18"/>
      <c r="AT265" s="18"/>
      <c r="AU265" s="18"/>
      <c r="AV265" s="18"/>
    </row>
    <row r="266" spans="1:48" s="851" customFormat="1" hidden="1" outlineLevel="1">
      <c r="A266" s="2"/>
      <c r="AA266" s="1224"/>
      <c r="AB266" s="1224"/>
      <c r="AC266" s="1224"/>
      <c r="AD266" s="1224"/>
      <c r="AE266" s="1224"/>
      <c r="AF266" s="18"/>
      <c r="AG266" s="18"/>
      <c r="AH266" s="18"/>
      <c r="AI266" s="18"/>
      <c r="AJ266" s="18"/>
      <c r="AK266" s="18"/>
      <c r="AL266" s="18"/>
      <c r="AM266" s="18"/>
      <c r="AN266" s="18"/>
      <c r="AO266" s="18"/>
      <c r="AP266" s="18"/>
      <c r="AQ266" s="18"/>
      <c r="AR266" s="18"/>
      <c r="AS266" s="18"/>
      <c r="AT266" s="18"/>
      <c r="AU266" s="18"/>
      <c r="AV266" s="18"/>
    </row>
    <row r="267" spans="1:48" s="851" customFormat="1" hidden="1" outlineLevel="1">
      <c r="A267" s="2"/>
      <c r="AA267" s="1224"/>
      <c r="AB267" s="1224"/>
      <c r="AC267" s="1224"/>
      <c r="AD267" s="1224"/>
      <c r="AE267" s="1224"/>
      <c r="AF267" s="18"/>
      <c r="AG267" s="18"/>
      <c r="AH267" s="18"/>
      <c r="AI267" s="18"/>
      <c r="AJ267" s="18"/>
      <c r="AK267" s="18"/>
      <c r="AL267" s="18"/>
      <c r="AM267" s="18"/>
      <c r="AN267" s="18"/>
      <c r="AO267" s="18"/>
      <c r="AP267" s="18"/>
      <c r="AQ267" s="18"/>
      <c r="AR267" s="18"/>
      <c r="AS267" s="18"/>
      <c r="AT267" s="18"/>
      <c r="AU267" s="18"/>
      <c r="AV267" s="18"/>
    </row>
    <row r="268" spans="1:48" s="851" customFormat="1" hidden="1" outlineLevel="1">
      <c r="A268" s="2"/>
      <c r="AA268" s="1224"/>
      <c r="AB268" s="1224"/>
      <c r="AC268" s="1224"/>
      <c r="AD268" s="1224"/>
      <c r="AE268" s="1224"/>
      <c r="AF268" s="18"/>
      <c r="AG268" s="18"/>
      <c r="AH268" s="18"/>
      <c r="AI268" s="18"/>
      <c r="AJ268" s="18"/>
      <c r="AK268" s="18"/>
      <c r="AL268" s="18"/>
      <c r="AM268" s="18"/>
      <c r="AN268" s="18"/>
      <c r="AO268" s="18"/>
      <c r="AP268" s="18"/>
      <c r="AQ268" s="18"/>
      <c r="AR268" s="18"/>
      <c r="AS268" s="18"/>
      <c r="AT268" s="18"/>
      <c r="AU268" s="18"/>
      <c r="AV268" s="18"/>
    </row>
    <row r="269" spans="1:48" s="851" customFormat="1" hidden="1" outlineLevel="1">
      <c r="A269" s="2"/>
      <c r="AA269" s="1224"/>
      <c r="AB269" s="1224"/>
      <c r="AC269" s="1224"/>
      <c r="AD269" s="1224"/>
      <c r="AE269" s="1224"/>
      <c r="AF269" s="18"/>
      <c r="AG269" s="18"/>
      <c r="AH269" s="18"/>
      <c r="AI269" s="18"/>
      <c r="AJ269" s="18"/>
      <c r="AK269" s="18"/>
      <c r="AL269" s="18"/>
      <c r="AM269" s="18"/>
      <c r="AN269" s="18"/>
      <c r="AO269" s="18"/>
      <c r="AP269" s="18"/>
      <c r="AQ269" s="18"/>
      <c r="AR269" s="18"/>
      <c r="AS269" s="18"/>
      <c r="AT269" s="18"/>
      <c r="AU269" s="18"/>
      <c r="AV269" s="18"/>
    </row>
    <row r="270" spans="1:48" s="851" customFormat="1" hidden="1" outlineLevel="1">
      <c r="A270" s="2"/>
      <c r="AA270" s="1224"/>
      <c r="AB270" s="1224"/>
      <c r="AC270" s="1224"/>
      <c r="AD270" s="1224"/>
      <c r="AE270" s="1224"/>
      <c r="AF270" s="18"/>
      <c r="AG270" s="18"/>
      <c r="AH270" s="18"/>
      <c r="AI270" s="18"/>
      <c r="AJ270" s="18"/>
      <c r="AK270" s="18"/>
      <c r="AL270" s="18"/>
      <c r="AM270" s="18"/>
      <c r="AN270" s="18"/>
      <c r="AO270" s="18"/>
      <c r="AP270" s="18"/>
      <c r="AQ270" s="18"/>
      <c r="AR270" s="18"/>
      <c r="AS270" s="18"/>
      <c r="AT270" s="18"/>
      <c r="AU270" s="18"/>
      <c r="AV270" s="18"/>
    </row>
    <row r="271" spans="1:48" s="851" customFormat="1" hidden="1" outlineLevel="1">
      <c r="A271" s="2"/>
      <c r="AA271" s="1224"/>
      <c r="AB271" s="1224"/>
      <c r="AC271" s="1224"/>
      <c r="AD271" s="1224"/>
      <c r="AE271" s="1224"/>
      <c r="AF271" s="18"/>
      <c r="AG271" s="18"/>
      <c r="AH271" s="18"/>
      <c r="AI271" s="18"/>
      <c r="AJ271" s="18"/>
      <c r="AK271" s="18"/>
      <c r="AL271" s="18"/>
      <c r="AM271" s="18"/>
      <c r="AN271" s="18"/>
      <c r="AO271" s="18"/>
      <c r="AP271" s="18"/>
      <c r="AQ271" s="18"/>
      <c r="AR271" s="18"/>
      <c r="AS271" s="18"/>
      <c r="AT271" s="18"/>
      <c r="AU271" s="18"/>
      <c r="AV271" s="18"/>
    </row>
    <row r="272" spans="1:48" s="851" customFormat="1" hidden="1" outlineLevel="1">
      <c r="A272" s="2"/>
      <c r="AA272" s="1224"/>
      <c r="AB272" s="1224"/>
      <c r="AC272" s="1224"/>
      <c r="AD272" s="1224"/>
      <c r="AE272" s="1224"/>
      <c r="AF272" s="18"/>
      <c r="AG272" s="18"/>
      <c r="AH272" s="18"/>
      <c r="AI272" s="18"/>
      <c r="AJ272" s="18"/>
      <c r="AK272" s="18"/>
      <c r="AL272" s="18"/>
      <c r="AM272" s="18"/>
      <c r="AN272" s="18"/>
      <c r="AO272" s="18"/>
      <c r="AP272" s="18"/>
      <c r="AQ272" s="18"/>
      <c r="AR272" s="18"/>
      <c r="AS272" s="18"/>
      <c r="AT272" s="18"/>
      <c r="AU272" s="18"/>
      <c r="AV272" s="18"/>
    </row>
    <row r="273" spans="1:48" s="851" customFormat="1" hidden="1" outlineLevel="1">
      <c r="A273" s="2"/>
      <c r="AA273" s="1224"/>
      <c r="AB273" s="1224"/>
      <c r="AC273" s="1224"/>
      <c r="AD273" s="1224"/>
      <c r="AE273" s="1224"/>
      <c r="AF273" s="18"/>
      <c r="AG273" s="18"/>
      <c r="AH273" s="18"/>
      <c r="AI273" s="18"/>
      <c r="AJ273" s="18"/>
      <c r="AK273" s="18"/>
      <c r="AL273" s="18"/>
      <c r="AM273" s="18"/>
      <c r="AN273" s="18"/>
      <c r="AO273" s="18"/>
      <c r="AP273" s="18"/>
      <c r="AQ273" s="18"/>
      <c r="AR273" s="18"/>
      <c r="AS273" s="18"/>
      <c r="AT273" s="18"/>
      <c r="AU273" s="18"/>
      <c r="AV273" s="18"/>
    </row>
    <row r="274" spans="1:48" s="851" customFormat="1" hidden="1" outlineLevel="1">
      <c r="A274" s="2"/>
      <c r="AA274" s="1224"/>
      <c r="AB274" s="1224"/>
      <c r="AC274" s="1224"/>
      <c r="AD274" s="1224"/>
      <c r="AE274" s="1224"/>
      <c r="AF274" s="18"/>
      <c r="AG274" s="18"/>
      <c r="AH274" s="18"/>
      <c r="AI274" s="18"/>
      <c r="AJ274" s="18"/>
      <c r="AK274" s="18"/>
      <c r="AL274" s="18"/>
      <c r="AM274" s="18"/>
      <c r="AN274" s="18"/>
      <c r="AO274" s="18"/>
      <c r="AP274" s="18"/>
      <c r="AQ274" s="18"/>
      <c r="AR274" s="18"/>
      <c r="AS274" s="18"/>
      <c r="AT274" s="18"/>
      <c r="AU274" s="18"/>
      <c r="AV274" s="18"/>
    </row>
    <row r="275" spans="1:48" s="851" customFormat="1" hidden="1" outlineLevel="1">
      <c r="A275" s="2"/>
      <c r="AA275" s="1224"/>
      <c r="AB275" s="1224"/>
      <c r="AC275" s="1224"/>
      <c r="AD275" s="1224"/>
      <c r="AE275" s="1224"/>
      <c r="AF275" s="18"/>
      <c r="AG275" s="18"/>
      <c r="AH275" s="18"/>
      <c r="AI275" s="18"/>
      <c r="AJ275" s="18"/>
      <c r="AK275" s="18"/>
      <c r="AL275" s="18"/>
      <c r="AM275" s="18"/>
      <c r="AN275" s="18"/>
      <c r="AO275" s="18"/>
      <c r="AP275" s="18"/>
      <c r="AQ275" s="18"/>
      <c r="AR275" s="18"/>
      <c r="AS275" s="18"/>
      <c r="AT275" s="18"/>
      <c r="AU275" s="18"/>
      <c r="AV275" s="18"/>
    </row>
    <row r="276" spans="1:48" s="851" customFormat="1" hidden="1" outlineLevel="1">
      <c r="A276" s="2"/>
      <c r="AA276" s="1224"/>
      <c r="AB276" s="1224"/>
      <c r="AC276" s="1224"/>
      <c r="AD276" s="1224"/>
      <c r="AE276" s="1224"/>
      <c r="AF276" s="18"/>
      <c r="AG276" s="18"/>
      <c r="AH276" s="18"/>
      <c r="AI276" s="18"/>
      <c r="AJ276" s="18"/>
      <c r="AK276" s="18"/>
      <c r="AL276" s="18"/>
      <c r="AM276" s="18"/>
      <c r="AN276" s="18"/>
      <c r="AO276" s="18"/>
      <c r="AP276" s="18"/>
      <c r="AQ276" s="18"/>
      <c r="AR276" s="18"/>
      <c r="AS276" s="18"/>
      <c r="AT276" s="18"/>
      <c r="AU276" s="18"/>
      <c r="AV276" s="18"/>
    </row>
    <row r="277" spans="1:48" s="851" customFormat="1" hidden="1" outlineLevel="1">
      <c r="A277" s="2"/>
      <c r="AA277" s="1224"/>
      <c r="AB277" s="1224"/>
      <c r="AC277" s="1224"/>
      <c r="AD277" s="1224"/>
      <c r="AE277" s="1224"/>
      <c r="AF277" s="18"/>
      <c r="AG277" s="18"/>
      <c r="AH277" s="18"/>
      <c r="AI277" s="18"/>
      <c r="AJ277" s="18"/>
      <c r="AK277" s="18"/>
      <c r="AL277" s="18"/>
      <c r="AM277" s="18"/>
      <c r="AN277" s="18"/>
      <c r="AO277" s="18"/>
      <c r="AP277" s="18"/>
      <c r="AQ277" s="18"/>
      <c r="AR277" s="18"/>
      <c r="AS277" s="18"/>
      <c r="AT277" s="18"/>
      <c r="AU277" s="18"/>
      <c r="AV277" s="18"/>
    </row>
    <row r="278" spans="1:48" s="851" customFormat="1" hidden="1" outlineLevel="1">
      <c r="A278" s="2"/>
      <c r="AA278" s="1224"/>
      <c r="AB278" s="1224"/>
      <c r="AC278" s="1224"/>
      <c r="AD278" s="1224"/>
      <c r="AE278" s="1224"/>
      <c r="AF278" s="18"/>
      <c r="AG278" s="18"/>
      <c r="AH278" s="18"/>
      <c r="AI278" s="18"/>
      <c r="AJ278" s="18"/>
      <c r="AK278" s="18"/>
      <c r="AL278" s="18"/>
      <c r="AM278" s="18"/>
      <c r="AN278" s="18"/>
      <c r="AO278" s="18"/>
      <c r="AP278" s="18"/>
      <c r="AQ278" s="18"/>
      <c r="AR278" s="18"/>
      <c r="AS278" s="18"/>
      <c r="AT278" s="18"/>
      <c r="AU278" s="18"/>
      <c r="AV278" s="18"/>
    </row>
    <row r="279" spans="1:48" s="851" customFormat="1" hidden="1" outlineLevel="1">
      <c r="A279" s="2"/>
      <c r="AA279" s="1224"/>
      <c r="AB279" s="1224"/>
      <c r="AC279" s="1224"/>
      <c r="AD279" s="1224"/>
      <c r="AE279" s="1224"/>
      <c r="AF279" s="18"/>
      <c r="AG279" s="18"/>
      <c r="AH279" s="18"/>
      <c r="AI279" s="18"/>
      <c r="AJ279" s="18"/>
      <c r="AK279" s="18"/>
      <c r="AL279" s="18"/>
      <c r="AM279" s="18"/>
      <c r="AN279" s="18"/>
      <c r="AO279" s="18"/>
      <c r="AP279" s="18"/>
      <c r="AQ279" s="18"/>
      <c r="AR279" s="18"/>
      <c r="AS279" s="18"/>
      <c r="AT279" s="18"/>
      <c r="AU279" s="18"/>
      <c r="AV279" s="18"/>
    </row>
    <row r="280" spans="1:48" s="851" customFormat="1" hidden="1" outlineLevel="1">
      <c r="A280" s="2"/>
      <c r="AA280" s="1224"/>
      <c r="AB280" s="1224"/>
      <c r="AC280" s="1224"/>
      <c r="AD280" s="1224"/>
      <c r="AE280" s="1224"/>
      <c r="AF280" s="18"/>
      <c r="AG280" s="18"/>
      <c r="AH280" s="18"/>
      <c r="AI280" s="18"/>
      <c r="AJ280" s="18"/>
      <c r="AK280" s="18"/>
      <c r="AL280" s="18"/>
      <c r="AM280" s="18"/>
      <c r="AN280" s="18"/>
      <c r="AO280" s="18"/>
      <c r="AP280" s="18"/>
      <c r="AQ280" s="18"/>
      <c r="AR280" s="18"/>
      <c r="AS280" s="18"/>
      <c r="AT280" s="18"/>
      <c r="AU280" s="18"/>
      <c r="AV280" s="18"/>
    </row>
    <row r="281" spans="1:48" s="851" customFormat="1" hidden="1" outlineLevel="1">
      <c r="A281" s="2"/>
      <c r="AA281" s="1224"/>
      <c r="AB281" s="1224"/>
      <c r="AC281" s="1224"/>
      <c r="AD281" s="1224"/>
      <c r="AE281" s="1224"/>
      <c r="AF281" s="18"/>
      <c r="AG281" s="18"/>
      <c r="AH281" s="18"/>
      <c r="AI281" s="18"/>
      <c r="AJ281" s="18"/>
      <c r="AK281" s="18"/>
      <c r="AL281" s="18"/>
      <c r="AM281" s="18"/>
      <c r="AN281" s="18"/>
      <c r="AO281" s="18"/>
      <c r="AP281" s="18"/>
      <c r="AQ281" s="18"/>
      <c r="AR281" s="18"/>
      <c r="AS281" s="18"/>
      <c r="AT281" s="18"/>
      <c r="AU281" s="18"/>
      <c r="AV281" s="18"/>
    </row>
    <row r="282" spans="1:48" s="851" customFormat="1" hidden="1" outlineLevel="1">
      <c r="A282" s="2"/>
      <c r="AA282" s="1224"/>
      <c r="AB282" s="1224"/>
      <c r="AC282" s="1224"/>
      <c r="AD282" s="1224"/>
      <c r="AE282" s="1224"/>
      <c r="AF282" s="18"/>
      <c r="AG282" s="18"/>
      <c r="AH282" s="18"/>
      <c r="AI282" s="18"/>
      <c r="AJ282" s="18"/>
      <c r="AK282" s="18"/>
      <c r="AL282" s="18"/>
      <c r="AM282" s="18"/>
      <c r="AN282" s="18"/>
      <c r="AO282" s="18"/>
      <c r="AP282" s="18"/>
      <c r="AQ282" s="18"/>
      <c r="AR282" s="18"/>
      <c r="AS282" s="18"/>
      <c r="AT282" s="18"/>
      <c r="AU282" s="18"/>
      <c r="AV282" s="18"/>
    </row>
    <row r="283" spans="1:48" s="851" customFormat="1" hidden="1" outlineLevel="1">
      <c r="A283" s="2"/>
      <c r="AA283" s="1224"/>
      <c r="AB283" s="1224"/>
      <c r="AC283" s="1224"/>
      <c r="AD283" s="1224"/>
      <c r="AE283" s="1224"/>
      <c r="AF283" s="18"/>
      <c r="AG283" s="18"/>
      <c r="AH283" s="18"/>
      <c r="AI283" s="18"/>
      <c r="AJ283" s="18"/>
      <c r="AK283" s="18"/>
      <c r="AL283" s="18"/>
      <c r="AM283" s="18"/>
      <c r="AN283" s="18"/>
      <c r="AO283" s="18"/>
      <c r="AP283" s="18"/>
      <c r="AQ283" s="18"/>
      <c r="AR283" s="18"/>
      <c r="AS283" s="18"/>
      <c r="AT283" s="18"/>
      <c r="AU283" s="18"/>
      <c r="AV283" s="18"/>
    </row>
    <row r="284" spans="1:48" s="851" customFormat="1" hidden="1" outlineLevel="1">
      <c r="A284" s="2"/>
      <c r="AA284" s="1224"/>
      <c r="AB284" s="1224"/>
      <c r="AC284" s="1224"/>
      <c r="AD284" s="1224"/>
      <c r="AE284" s="1224"/>
      <c r="AF284" s="18"/>
      <c r="AG284" s="18"/>
      <c r="AH284" s="18"/>
      <c r="AI284" s="18"/>
      <c r="AJ284" s="18"/>
      <c r="AK284" s="18"/>
      <c r="AL284" s="18"/>
      <c r="AM284" s="18"/>
      <c r="AN284" s="18"/>
      <c r="AO284" s="18"/>
      <c r="AP284" s="18"/>
      <c r="AQ284" s="18"/>
      <c r="AR284" s="18"/>
      <c r="AS284" s="18"/>
      <c r="AT284" s="18"/>
      <c r="AU284" s="18"/>
      <c r="AV284" s="18"/>
    </row>
    <row r="285" spans="1:48" s="851" customFormat="1" hidden="1" outlineLevel="1">
      <c r="A285" s="2"/>
      <c r="AA285" s="1224"/>
      <c r="AB285" s="1224"/>
      <c r="AC285" s="1224"/>
      <c r="AD285" s="1224"/>
      <c r="AE285" s="1224"/>
      <c r="AF285" s="18"/>
      <c r="AG285" s="18"/>
      <c r="AH285" s="18"/>
      <c r="AI285" s="18"/>
      <c r="AJ285" s="18"/>
      <c r="AK285" s="18"/>
      <c r="AL285" s="18"/>
      <c r="AM285" s="18"/>
      <c r="AN285" s="18"/>
      <c r="AO285" s="18"/>
      <c r="AP285" s="18"/>
      <c r="AQ285" s="18"/>
      <c r="AR285" s="18"/>
      <c r="AS285" s="18"/>
      <c r="AT285" s="18"/>
      <c r="AU285" s="18"/>
      <c r="AV285" s="18"/>
    </row>
    <row r="286" spans="1:48" s="851" customFormat="1" hidden="1" outlineLevel="1">
      <c r="A286" s="2"/>
      <c r="AA286" s="1224"/>
      <c r="AB286" s="1224"/>
      <c r="AC286" s="1224"/>
      <c r="AD286" s="1224"/>
      <c r="AE286" s="1224"/>
      <c r="AF286" s="18"/>
      <c r="AG286" s="18"/>
      <c r="AH286" s="18"/>
      <c r="AI286" s="18"/>
      <c r="AJ286" s="18"/>
      <c r="AK286" s="18"/>
      <c r="AL286" s="18"/>
      <c r="AM286" s="18"/>
      <c r="AN286" s="18"/>
      <c r="AO286" s="18"/>
      <c r="AP286" s="18"/>
      <c r="AQ286" s="18"/>
      <c r="AR286" s="18"/>
      <c r="AS286" s="18"/>
      <c r="AT286" s="18"/>
      <c r="AU286" s="18"/>
      <c r="AV286" s="18"/>
    </row>
    <row r="287" spans="1:48" s="851" customFormat="1" hidden="1" outlineLevel="1">
      <c r="A287" s="2"/>
      <c r="AA287" s="1224"/>
      <c r="AB287" s="1224"/>
      <c r="AC287" s="1224"/>
      <c r="AD287" s="1224"/>
      <c r="AE287" s="1224"/>
      <c r="AF287" s="18"/>
      <c r="AG287" s="18"/>
      <c r="AH287" s="18"/>
      <c r="AI287" s="18"/>
      <c r="AJ287" s="18"/>
      <c r="AK287" s="18"/>
      <c r="AL287" s="18"/>
      <c r="AM287" s="18"/>
      <c r="AN287" s="18"/>
      <c r="AO287" s="18"/>
      <c r="AP287" s="18"/>
      <c r="AQ287" s="18"/>
      <c r="AR287" s="18"/>
      <c r="AS287" s="18"/>
      <c r="AT287" s="18"/>
      <c r="AU287" s="18"/>
      <c r="AV287" s="18"/>
    </row>
    <row r="288" spans="1:48" s="851" customFormat="1" hidden="1" outlineLevel="1">
      <c r="A288" s="2"/>
      <c r="AA288" s="1224"/>
      <c r="AB288" s="1224"/>
      <c r="AC288" s="1224"/>
      <c r="AD288" s="1224"/>
      <c r="AE288" s="1224"/>
      <c r="AF288" s="18"/>
      <c r="AG288" s="18"/>
      <c r="AH288" s="18"/>
      <c r="AI288" s="18"/>
      <c r="AJ288" s="18"/>
      <c r="AK288" s="18"/>
      <c r="AL288" s="18"/>
      <c r="AM288" s="18"/>
      <c r="AN288" s="18"/>
      <c r="AO288" s="18"/>
      <c r="AP288" s="18"/>
      <c r="AQ288" s="18"/>
      <c r="AR288" s="18"/>
      <c r="AS288" s="18"/>
      <c r="AT288" s="18"/>
      <c r="AU288" s="18"/>
      <c r="AV288" s="18"/>
    </row>
    <row r="289" spans="1:49" s="851" customFormat="1" hidden="1" outlineLevel="1">
      <c r="A289" s="2"/>
      <c r="AA289" s="1224"/>
      <c r="AB289" s="1224"/>
      <c r="AC289" s="1224"/>
      <c r="AD289" s="1224"/>
      <c r="AE289" s="1224"/>
      <c r="AF289" s="18"/>
      <c r="AG289" s="18"/>
      <c r="AH289" s="18"/>
      <c r="AI289" s="18"/>
      <c r="AJ289" s="18"/>
      <c r="AK289" s="18"/>
      <c r="AL289" s="18"/>
      <c r="AM289" s="18"/>
      <c r="AN289" s="18"/>
      <c r="AO289" s="18"/>
      <c r="AP289" s="18"/>
      <c r="AQ289" s="18"/>
      <c r="AR289" s="18"/>
      <c r="AS289" s="18"/>
      <c r="AT289" s="18"/>
      <c r="AU289" s="18"/>
      <c r="AV289" s="18"/>
    </row>
    <row r="290" spans="1:49" s="851" customFormat="1" hidden="1" outlineLevel="1">
      <c r="A290" s="2"/>
      <c r="AA290" s="1224"/>
      <c r="AB290" s="1224"/>
      <c r="AC290" s="1224"/>
      <c r="AD290" s="1224"/>
      <c r="AE290" s="1224"/>
      <c r="AF290" s="18"/>
      <c r="AG290" s="18"/>
      <c r="AH290" s="18"/>
      <c r="AI290" s="18"/>
      <c r="AJ290" s="18"/>
      <c r="AK290" s="18"/>
      <c r="AL290" s="18"/>
      <c r="AM290" s="18"/>
      <c r="AN290" s="18"/>
      <c r="AO290" s="18"/>
      <c r="AP290" s="18"/>
      <c r="AQ290" s="18"/>
      <c r="AR290" s="18"/>
      <c r="AS290" s="18"/>
      <c r="AT290" s="18"/>
      <c r="AU290" s="18"/>
      <c r="AV290" s="18"/>
    </row>
    <row r="291" spans="1:49" s="851" customFormat="1" hidden="1" outlineLevel="1">
      <c r="A291" s="2"/>
      <c r="AA291" s="1224"/>
      <c r="AB291" s="1224"/>
      <c r="AC291" s="1224"/>
      <c r="AD291" s="1224"/>
      <c r="AE291" s="1224"/>
      <c r="AF291" s="18"/>
      <c r="AG291" s="18"/>
      <c r="AH291" s="18"/>
      <c r="AI291" s="18"/>
      <c r="AJ291" s="18"/>
      <c r="AK291" s="18"/>
      <c r="AL291" s="18"/>
      <c r="AM291" s="18"/>
      <c r="AN291" s="18"/>
      <c r="AO291" s="18"/>
      <c r="AP291" s="18"/>
      <c r="AQ291" s="18"/>
      <c r="AR291" s="18"/>
      <c r="AS291" s="18"/>
      <c r="AT291" s="18"/>
      <c r="AU291" s="18"/>
      <c r="AV291" s="18"/>
    </row>
    <row r="292" spans="1:49" s="851" customFormat="1" hidden="1" outlineLevel="1">
      <c r="A292" s="2"/>
      <c r="AA292" s="1224"/>
      <c r="AB292" s="1224"/>
      <c r="AC292" s="1224"/>
      <c r="AD292" s="1224"/>
      <c r="AE292" s="1224"/>
      <c r="AF292" s="18"/>
      <c r="AG292" s="18"/>
      <c r="AH292" s="18"/>
      <c r="AI292" s="18"/>
      <c r="AJ292" s="18"/>
      <c r="AK292" s="18"/>
      <c r="AL292" s="18"/>
      <c r="AM292" s="18"/>
      <c r="AN292" s="18"/>
      <c r="AO292" s="18"/>
      <c r="AP292" s="18"/>
      <c r="AQ292" s="18"/>
      <c r="AR292" s="18"/>
      <c r="AS292" s="18"/>
      <c r="AT292" s="18"/>
      <c r="AU292" s="18"/>
      <c r="AV292" s="18"/>
    </row>
    <row r="293" spans="1:49" s="851" customFormat="1" hidden="1" outlineLevel="1">
      <c r="A293" s="2"/>
      <c r="AA293" s="1224"/>
      <c r="AB293" s="1224"/>
      <c r="AC293" s="1224"/>
      <c r="AD293" s="1224"/>
      <c r="AE293" s="1224"/>
      <c r="AF293" s="18"/>
      <c r="AG293" s="18"/>
      <c r="AH293" s="18"/>
      <c r="AI293" s="18"/>
      <c r="AJ293" s="18"/>
      <c r="AK293" s="18"/>
      <c r="AL293" s="18"/>
      <c r="AM293" s="18"/>
      <c r="AN293" s="18"/>
      <c r="AO293" s="18"/>
      <c r="AP293" s="18"/>
      <c r="AQ293" s="18"/>
      <c r="AR293" s="18"/>
      <c r="AS293" s="18"/>
      <c r="AT293" s="18"/>
      <c r="AU293" s="18"/>
      <c r="AV293" s="18"/>
    </row>
    <row r="294" spans="1:49" s="851" customFormat="1" hidden="1" outlineLevel="1">
      <c r="A294" s="2"/>
      <c r="AA294" s="1224"/>
      <c r="AB294" s="1224"/>
      <c r="AC294" s="1224"/>
      <c r="AD294" s="1224"/>
      <c r="AE294" s="1224"/>
      <c r="AF294" s="18"/>
      <c r="AG294" s="18"/>
      <c r="AH294" s="18"/>
      <c r="AI294" s="18"/>
      <c r="AJ294" s="18"/>
      <c r="AK294" s="18"/>
      <c r="AL294" s="18"/>
      <c r="AM294" s="18"/>
      <c r="AN294" s="18"/>
      <c r="AO294" s="18"/>
      <c r="AP294" s="18"/>
      <c r="AQ294" s="18"/>
      <c r="AR294" s="18"/>
      <c r="AS294" s="18"/>
      <c r="AT294" s="18"/>
      <c r="AU294" s="18"/>
      <c r="AV294" s="18"/>
    </row>
    <row r="295" spans="1:49" s="851" customFormat="1" hidden="1" outlineLevel="1">
      <c r="A295" s="2"/>
      <c r="AA295" s="1224"/>
      <c r="AB295" s="1224"/>
      <c r="AC295" s="1224"/>
      <c r="AD295" s="1224"/>
      <c r="AE295" s="1224"/>
      <c r="AF295" s="18"/>
      <c r="AG295" s="18"/>
      <c r="AH295" s="18"/>
      <c r="AI295" s="18"/>
      <c r="AJ295" s="18"/>
      <c r="AK295" s="18"/>
      <c r="AL295" s="18"/>
      <c r="AM295" s="18"/>
      <c r="AN295" s="18"/>
      <c r="AO295" s="18"/>
      <c r="AP295" s="18"/>
      <c r="AQ295" s="18"/>
      <c r="AR295" s="18"/>
      <c r="AS295" s="18"/>
      <c r="AT295" s="18"/>
      <c r="AU295" s="18"/>
      <c r="AV295" s="18"/>
    </row>
    <row r="296" spans="1:49" s="851" customFormat="1" hidden="1" outlineLevel="1">
      <c r="A296" s="2"/>
      <c r="AA296" s="1224"/>
      <c r="AB296" s="1224"/>
      <c r="AC296" s="1224"/>
      <c r="AD296" s="1224"/>
      <c r="AE296" s="1224"/>
      <c r="AF296" s="18"/>
      <c r="AG296" s="18"/>
      <c r="AH296" s="18"/>
      <c r="AI296" s="18"/>
      <c r="AJ296" s="18"/>
      <c r="AK296" s="18"/>
      <c r="AL296" s="18"/>
      <c r="AM296" s="18"/>
      <c r="AN296" s="18"/>
      <c r="AO296" s="18"/>
      <c r="AP296" s="18"/>
      <c r="AQ296" s="18"/>
      <c r="AR296" s="18"/>
      <c r="AS296" s="18"/>
      <c r="AT296" s="18"/>
      <c r="AU296" s="18"/>
      <c r="AV296" s="18"/>
    </row>
    <row r="297" spans="1:49" s="851" customFormat="1" hidden="1" outlineLevel="1">
      <c r="A297" s="2"/>
      <c r="AA297" s="1224"/>
      <c r="AB297" s="1224"/>
      <c r="AC297" s="1224"/>
      <c r="AD297" s="1224"/>
      <c r="AE297" s="1224"/>
      <c r="AF297" s="18"/>
      <c r="AG297" s="18"/>
      <c r="AH297" s="18"/>
      <c r="AI297" s="18"/>
      <c r="AJ297" s="18"/>
      <c r="AK297" s="18"/>
      <c r="AL297" s="18"/>
      <c r="AM297" s="18"/>
      <c r="AN297" s="18"/>
      <c r="AO297" s="18"/>
      <c r="AP297" s="18"/>
      <c r="AQ297" s="18"/>
      <c r="AR297" s="18"/>
      <c r="AS297" s="18"/>
      <c r="AT297" s="18"/>
      <c r="AU297" s="18"/>
      <c r="AV297" s="18"/>
    </row>
    <row r="298" spans="1:49" s="851" customFormat="1" hidden="1" outlineLevel="1">
      <c r="A298" s="2"/>
      <c r="AA298" s="1224"/>
      <c r="AB298" s="1224"/>
      <c r="AC298" s="1224"/>
      <c r="AD298" s="1224"/>
      <c r="AE298" s="1224"/>
      <c r="AF298" s="18"/>
      <c r="AG298" s="18"/>
      <c r="AH298" s="18"/>
      <c r="AI298" s="18"/>
      <c r="AJ298" s="18"/>
      <c r="AK298" s="18"/>
      <c r="AL298" s="18"/>
      <c r="AM298" s="18"/>
      <c r="AN298" s="18"/>
      <c r="AO298" s="18"/>
      <c r="AP298" s="18"/>
      <c r="AQ298" s="18"/>
      <c r="AR298" s="18"/>
      <c r="AS298" s="18"/>
      <c r="AT298" s="18"/>
      <c r="AU298" s="18"/>
      <c r="AV298" s="18"/>
    </row>
    <row r="299" spans="1:49" hidden="1" outlineLevel="1">
      <c r="A299" s="851"/>
      <c r="B299" s="851"/>
      <c r="C299" s="851"/>
      <c r="D299" s="851"/>
      <c r="E299" s="851"/>
      <c r="F299" s="851"/>
      <c r="G299" s="851"/>
      <c r="H299" s="851"/>
      <c r="I299" s="851"/>
      <c r="J299" s="851"/>
      <c r="K299" s="851"/>
      <c r="L299" s="851"/>
      <c r="M299" s="851"/>
      <c r="N299" s="851"/>
      <c r="O299" s="851"/>
      <c r="P299" s="851"/>
      <c r="Q299" s="851"/>
      <c r="R299" s="851"/>
      <c r="S299" s="851"/>
      <c r="T299" s="851"/>
      <c r="U299" s="851"/>
      <c r="V299" s="851"/>
      <c r="W299" s="851"/>
      <c r="X299" s="851"/>
      <c r="Y299" s="851"/>
      <c r="Z299" s="851"/>
    </row>
    <row r="300" spans="1:49" s="1010" customFormat="1" ht="21" collapsed="1">
      <c r="A300" s="1010" t="s">
        <v>574</v>
      </c>
      <c r="B300" s="1011"/>
      <c r="C300" s="1011"/>
      <c r="D300" s="1011"/>
      <c r="E300" s="1011"/>
      <c r="F300" s="1011"/>
      <c r="G300" s="1011"/>
      <c r="H300" s="1011"/>
      <c r="I300" s="1011"/>
      <c r="J300" s="1011"/>
      <c r="K300" s="1011"/>
      <c r="L300" s="1011"/>
      <c r="M300" s="1011"/>
      <c r="N300" s="1011"/>
      <c r="O300" s="1011"/>
      <c r="P300" s="1011"/>
      <c r="Q300" s="1011"/>
      <c r="R300" s="1011"/>
      <c r="S300" s="1011"/>
      <c r="T300" s="1011"/>
      <c r="U300" s="1011"/>
      <c r="V300" s="1011"/>
      <c r="W300" s="1011"/>
      <c r="X300" s="1011"/>
      <c r="Y300" s="1011"/>
      <c r="Z300" s="1011"/>
      <c r="AA300" s="1232"/>
      <c r="AB300" s="1233"/>
      <c r="AC300" s="1233"/>
      <c r="AD300" s="1233"/>
      <c r="AE300" s="1233"/>
      <c r="AF300" s="1012"/>
      <c r="AG300" s="1012"/>
      <c r="AH300" s="1012"/>
      <c r="AI300" s="1012"/>
      <c r="AJ300" s="1012"/>
      <c r="AK300" s="1012"/>
      <c r="AL300" s="1012"/>
      <c r="AM300" s="1012"/>
      <c r="AN300" s="1012"/>
      <c r="AO300" s="1013"/>
      <c r="AP300" s="1013"/>
      <c r="AQ300" s="1013"/>
      <c r="AR300" s="1013"/>
      <c r="AS300" s="1013"/>
      <c r="AT300" s="1014"/>
      <c r="AU300" s="1014"/>
      <c r="AV300" s="1014"/>
    </row>
    <row r="301" spans="1:49" s="851" customFormat="1" hidden="1" outlineLevel="1">
      <c r="A301" s="2" t="str">
        <f t="shared" ref="A301:AS301" si="164">IF(A101="","",A101)</f>
        <v>Swiss Universal Bank</v>
      </c>
      <c r="B301" s="851" t="str">
        <f t="shared" si="164"/>
        <v/>
      </c>
      <c r="C301" s="851" t="str">
        <f t="shared" si="164"/>
        <v/>
      </c>
      <c r="D301" s="851" t="str">
        <f t="shared" si="164"/>
        <v/>
      </c>
      <c r="E301" s="851" t="str">
        <f t="shared" si="164"/>
        <v/>
      </c>
      <c r="F301" s="851" t="str">
        <f t="shared" si="164"/>
        <v/>
      </c>
      <c r="G301" s="851" t="str">
        <f t="shared" si="164"/>
        <v/>
      </c>
      <c r="H301" s="851" t="str">
        <f t="shared" si="164"/>
        <v/>
      </c>
      <c r="I301" s="851" t="str">
        <f t="shared" si="164"/>
        <v/>
      </c>
      <c r="J301" s="851" t="str">
        <f t="shared" si="164"/>
        <v/>
      </c>
      <c r="K301" s="851" t="str">
        <f t="shared" si="164"/>
        <v/>
      </c>
      <c r="L301" s="851" t="str">
        <f t="shared" si="164"/>
        <v/>
      </c>
      <c r="M301" s="851" t="str">
        <f t="shared" si="164"/>
        <v/>
      </c>
      <c r="N301" s="851" t="str">
        <f t="shared" si="164"/>
        <v/>
      </c>
      <c r="O301" s="851" t="str">
        <f t="shared" si="164"/>
        <v/>
      </c>
      <c r="P301" s="851" t="str">
        <f t="shared" si="164"/>
        <v/>
      </c>
      <c r="Q301" s="851" t="str">
        <f t="shared" si="164"/>
        <v/>
      </c>
      <c r="R301" s="851" t="str">
        <f t="shared" si="164"/>
        <v/>
      </c>
      <c r="S301" s="851" t="str">
        <f t="shared" si="164"/>
        <v/>
      </c>
      <c r="T301" s="851" t="str">
        <f t="shared" si="164"/>
        <v/>
      </c>
      <c r="U301" s="851" t="str">
        <f t="shared" si="164"/>
        <v/>
      </c>
      <c r="V301" s="851" t="str">
        <f t="shared" si="164"/>
        <v/>
      </c>
      <c r="W301" s="851" t="str">
        <f t="shared" si="164"/>
        <v/>
      </c>
      <c r="X301" s="851" t="str">
        <f t="shared" si="164"/>
        <v/>
      </c>
      <c r="Y301" s="851" t="str">
        <f t="shared" si="164"/>
        <v/>
      </c>
      <c r="Z301" s="851" t="str">
        <f t="shared" si="164"/>
        <v/>
      </c>
      <c r="AA301" s="1224" t="str">
        <f t="shared" si="164"/>
        <v/>
      </c>
      <c r="AB301" s="1224" t="str">
        <f t="shared" si="164"/>
        <v/>
      </c>
      <c r="AC301" s="1224" t="str">
        <f t="shared" si="164"/>
        <v/>
      </c>
      <c r="AD301" s="1224" t="str">
        <f t="shared" si="164"/>
        <v/>
      </c>
      <c r="AE301" s="1224" t="str">
        <f t="shared" si="164"/>
        <v/>
      </c>
      <c r="AF301" s="18" t="str">
        <f t="shared" si="164"/>
        <v/>
      </c>
      <c r="AG301" s="18" t="str">
        <f t="shared" si="164"/>
        <v/>
      </c>
      <c r="AH301" s="18" t="str">
        <f t="shared" si="164"/>
        <v/>
      </c>
      <c r="AI301" s="18" t="str">
        <f t="shared" si="164"/>
        <v/>
      </c>
      <c r="AJ301" s="18" t="str">
        <f t="shared" si="164"/>
        <v/>
      </c>
      <c r="AK301" s="18" t="str">
        <f t="shared" si="164"/>
        <v/>
      </c>
      <c r="AL301" s="18" t="str">
        <f t="shared" si="164"/>
        <v/>
      </c>
      <c r="AM301" s="18" t="str">
        <f t="shared" si="164"/>
        <v/>
      </c>
      <c r="AN301" s="18" t="str">
        <f t="shared" si="164"/>
        <v/>
      </c>
      <c r="AO301" s="18" t="str">
        <f t="shared" si="164"/>
        <v/>
      </c>
      <c r="AP301" s="18" t="str">
        <f t="shared" si="164"/>
        <v/>
      </c>
      <c r="AQ301" s="18" t="str">
        <f t="shared" si="164"/>
        <v/>
      </c>
      <c r="AR301" s="18" t="str">
        <f t="shared" si="164"/>
        <v/>
      </c>
      <c r="AS301" s="18" t="str">
        <f t="shared" si="164"/>
        <v/>
      </c>
      <c r="AT301" s="18"/>
      <c r="AU301" s="18"/>
      <c r="AV301" s="18"/>
    </row>
    <row r="302" spans="1:49" s="851" customFormat="1" hidden="1" outlineLevel="1">
      <c r="A302" s="851" t="str">
        <f t="shared" ref="A302:AA302" si="165">IF(A102="","",A102)</f>
        <v>Cost/income ratio</v>
      </c>
      <c r="B302" s="851" t="str">
        <f t="shared" si="165"/>
        <v/>
      </c>
      <c r="C302" s="851" t="str">
        <f t="shared" si="165"/>
        <v/>
      </c>
      <c r="D302" s="851" t="str">
        <f t="shared" si="165"/>
        <v/>
      </c>
      <c r="E302" s="851" t="str">
        <f t="shared" si="165"/>
        <v/>
      </c>
      <c r="F302" s="851" t="str">
        <f t="shared" si="165"/>
        <v/>
      </c>
      <c r="G302" s="851" t="str">
        <f t="shared" si="165"/>
        <v/>
      </c>
      <c r="H302" s="851" t="str">
        <f t="shared" si="165"/>
        <v/>
      </c>
      <c r="I302" s="851" t="str">
        <f t="shared" si="165"/>
        <v/>
      </c>
      <c r="J302" s="851" t="str">
        <f t="shared" si="165"/>
        <v/>
      </c>
      <c r="K302" s="851" t="str">
        <f t="shared" si="165"/>
        <v/>
      </c>
      <c r="L302" s="851" t="str">
        <f t="shared" si="165"/>
        <v/>
      </c>
      <c r="M302" s="851" t="str">
        <f t="shared" si="165"/>
        <v/>
      </c>
      <c r="N302" s="851" t="str">
        <f t="shared" si="165"/>
        <v/>
      </c>
      <c r="O302" s="851" t="str">
        <f t="shared" si="165"/>
        <v/>
      </c>
      <c r="P302" s="851" t="str">
        <f t="shared" si="165"/>
        <v/>
      </c>
      <c r="Q302" s="851" t="str">
        <f t="shared" si="165"/>
        <v/>
      </c>
      <c r="R302" s="851" t="str">
        <f t="shared" si="165"/>
        <v/>
      </c>
      <c r="S302" s="851" t="str">
        <f t="shared" si="165"/>
        <v/>
      </c>
      <c r="T302" s="851" t="str">
        <f t="shared" si="165"/>
        <v/>
      </c>
      <c r="U302" s="851" t="str">
        <f t="shared" si="165"/>
        <v/>
      </c>
      <c r="V302" s="851" t="str">
        <f t="shared" si="165"/>
        <v/>
      </c>
      <c r="W302" s="851" t="str">
        <f t="shared" si="165"/>
        <v/>
      </c>
      <c r="X302" s="851" t="str">
        <f t="shared" si="165"/>
        <v/>
      </c>
      <c r="Y302" s="851" t="str">
        <f t="shared" si="165"/>
        <v/>
      </c>
      <c r="Z302" s="851" t="str">
        <f t="shared" si="165"/>
        <v/>
      </c>
      <c r="AA302" s="1224" t="str">
        <f t="shared" si="165"/>
        <v/>
      </c>
      <c r="AB302" s="1226">
        <f t="shared" ref="AB302:AW302" si="166">IF(AB102="","",AB102)+AB336</f>
        <v>0.66107238223524911</v>
      </c>
      <c r="AC302" s="1226">
        <f t="shared" si="166"/>
        <v>0.64407235016073905</v>
      </c>
      <c r="AD302" s="1226">
        <f t="shared" si="166"/>
        <v>0.66142940583719712</v>
      </c>
      <c r="AE302" s="1226">
        <f t="shared" si="166"/>
        <v>0.66481646006804762</v>
      </c>
      <c r="AF302" s="924">
        <f t="shared" si="166"/>
        <v>0.69281802595401221</v>
      </c>
      <c r="AG302" s="924">
        <f t="shared" si="166"/>
        <v>0.66537160619182623</v>
      </c>
      <c r="AH302" s="924">
        <f t="shared" si="166"/>
        <v>0.65780669645993295</v>
      </c>
      <c r="AI302" s="924">
        <f t="shared" si="166"/>
        <v>0.58836500004966574</v>
      </c>
      <c r="AJ302" s="924">
        <f t="shared" si="166"/>
        <v>0.63276388953512186</v>
      </c>
      <c r="AK302" s="924">
        <f t="shared" si="166"/>
        <v>0.63176388953512186</v>
      </c>
      <c r="AL302" s="924">
        <f t="shared" si="166"/>
        <v>0.63076388953512186</v>
      </c>
      <c r="AM302" s="924">
        <f t="shared" si="166"/>
        <v>0.62976388953512186</v>
      </c>
      <c r="AN302" s="924">
        <f t="shared" si="166"/>
        <v>0.62876388953512186</v>
      </c>
      <c r="AO302" s="924">
        <f t="shared" si="166"/>
        <v>0.62776388953512186</v>
      </c>
      <c r="AP302" s="924">
        <f t="shared" si="166"/>
        <v>0.62676388953512185</v>
      </c>
      <c r="AQ302" s="924">
        <f t="shared" si="166"/>
        <v>0.62576388953512185</v>
      </c>
      <c r="AR302" s="924">
        <f t="shared" si="166"/>
        <v>0.62476388953512185</v>
      </c>
      <c r="AS302" s="924">
        <f t="shared" si="166"/>
        <v>0.62376388953512185</v>
      </c>
      <c r="AT302" s="924">
        <f t="shared" si="166"/>
        <v>0.62276388953512185</v>
      </c>
      <c r="AU302" s="924">
        <f t="shared" si="166"/>
        <v>0.62176388953512185</v>
      </c>
      <c r="AV302" s="924">
        <f t="shared" si="166"/>
        <v>0.62076388953512185</v>
      </c>
      <c r="AW302" s="924">
        <f t="shared" si="166"/>
        <v>0.61976388953512185</v>
      </c>
    </row>
    <row r="303" spans="1:49" s="851" customFormat="1" hidden="1" outlineLevel="1">
      <c r="A303" s="851" t="str">
        <f t="shared" ref="A303:AA303" si="167">IF(A103="","",A103)</f>
        <v>Net loans growth</v>
      </c>
      <c r="B303" s="851" t="str">
        <f t="shared" si="167"/>
        <v/>
      </c>
      <c r="C303" s="851" t="str">
        <f t="shared" si="167"/>
        <v/>
      </c>
      <c r="D303" s="851" t="str">
        <f t="shared" si="167"/>
        <v/>
      </c>
      <c r="E303" s="851" t="str">
        <f t="shared" si="167"/>
        <v/>
      </c>
      <c r="F303" s="851" t="str">
        <f t="shared" si="167"/>
        <v/>
      </c>
      <c r="G303" s="851" t="str">
        <f t="shared" si="167"/>
        <v/>
      </c>
      <c r="H303" s="851" t="str">
        <f t="shared" si="167"/>
        <v/>
      </c>
      <c r="I303" s="851" t="str">
        <f t="shared" si="167"/>
        <v/>
      </c>
      <c r="J303" s="851" t="str">
        <f t="shared" si="167"/>
        <v/>
      </c>
      <c r="K303" s="851" t="str">
        <f t="shared" si="167"/>
        <v/>
      </c>
      <c r="L303" s="851" t="str">
        <f t="shared" si="167"/>
        <v/>
      </c>
      <c r="M303" s="851" t="str">
        <f t="shared" si="167"/>
        <v/>
      </c>
      <c r="N303" s="851" t="str">
        <f t="shared" si="167"/>
        <v/>
      </c>
      <c r="O303" s="851" t="str">
        <f t="shared" si="167"/>
        <v/>
      </c>
      <c r="P303" s="851" t="str">
        <f t="shared" si="167"/>
        <v/>
      </c>
      <c r="Q303" s="851" t="str">
        <f t="shared" si="167"/>
        <v/>
      </c>
      <c r="R303" s="851" t="str">
        <f t="shared" si="167"/>
        <v/>
      </c>
      <c r="S303" s="851" t="str">
        <f t="shared" si="167"/>
        <v/>
      </c>
      <c r="T303" s="851" t="str">
        <f t="shared" si="167"/>
        <v/>
      </c>
      <c r="U303" s="851" t="str">
        <f t="shared" si="167"/>
        <v/>
      </c>
      <c r="V303" s="851" t="str">
        <f t="shared" si="167"/>
        <v/>
      </c>
      <c r="W303" s="851" t="str">
        <f t="shared" si="167"/>
        <v/>
      </c>
      <c r="X303" s="851" t="str">
        <f t="shared" si="167"/>
        <v/>
      </c>
      <c r="Y303" s="851" t="str">
        <f t="shared" si="167"/>
        <v/>
      </c>
      <c r="Z303" s="851" t="str">
        <f t="shared" si="167"/>
        <v/>
      </c>
      <c r="AA303" s="1224" t="str">
        <f t="shared" si="167"/>
        <v/>
      </c>
      <c r="AB303" s="1226" t="e">
        <f t="shared" ref="AB303:AE304" si="168">IF(AB103="","",AB103)+AB337</f>
        <v>#VALUE!</v>
      </c>
      <c r="AC303" s="1226">
        <f t="shared" si="168"/>
        <v>-8.7643105212401977E-3</v>
      </c>
      <c r="AD303" s="1226">
        <f t="shared" si="168"/>
        <v>2.2352981389438618E-3</v>
      </c>
      <c r="AE303" s="1226">
        <f t="shared" si="168"/>
        <v>2.2352981389438618E-3</v>
      </c>
      <c r="AF303" s="924">
        <f t="shared" ref="AF303:AW303" si="169">IF(AF103="","",AF103)+AF338</f>
        <v>2.2352981389438618E-3</v>
      </c>
      <c r="AG303" s="924">
        <f t="shared" si="169"/>
        <v>2.2352981389438618E-3</v>
      </c>
      <c r="AH303" s="924">
        <f t="shared" si="169"/>
        <v>9.3698784534197201E-4</v>
      </c>
      <c r="AI303" s="924">
        <f t="shared" si="169"/>
        <v>9.3698784534197201E-4</v>
      </c>
      <c r="AJ303" s="924">
        <f t="shared" si="169"/>
        <v>9.3698784534197201E-4</v>
      </c>
      <c r="AK303" s="924">
        <f t="shared" si="169"/>
        <v>9.3698784534197201E-4</v>
      </c>
      <c r="AL303" s="924">
        <f t="shared" si="169"/>
        <v>6.0758545203449567E-4</v>
      </c>
      <c r="AM303" s="924">
        <f t="shared" si="169"/>
        <v>6.0758545203449567E-4</v>
      </c>
      <c r="AN303" s="924">
        <f t="shared" si="169"/>
        <v>6.0758545203449567E-4</v>
      </c>
      <c r="AO303" s="924">
        <f t="shared" si="169"/>
        <v>6.0758545203449567E-4</v>
      </c>
      <c r="AP303" s="924">
        <f t="shared" si="169"/>
        <v>2.4937458158625671E-4</v>
      </c>
      <c r="AQ303" s="924">
        <f t="shared" si="169"/>
        <v>2.4937458158625671E-4</v>
      </c>
      <c r="AR303" s="924">
        <f t="shared" si="169"/>
        <v>2.4937458158625671E-4</v>
      </c>
      <c r="AS303" s="924">
        <f t="shared" si="169"/>
        <v>2.4937458158625671E-4</v>
      </c>
      <c r="AT303" s="924">
        <f t="shared" si="169"/>
        <v>-1.1069723519229434E-4</v>
      </c>
      <c r="AU303" s="924">
        <f t="shared" si="169"/>
        <v>-1.1069723519229434E-4</v>
      </c>
      <c r="AV303" s="924">
        <f t="shared" si="169"/>
        <v>-1.1069723519229434E-4</v>
      </c>
      <c r="AW303" s="924">
        <f t="shared" si="169"/>
        <v>-1.1069723519229434E-4</v>
      </c>
    </row>
    <row r="304" spans="1:49" s="851" customFormat="1" hidden="1" outlineLevel="1">
      <c r="A304" s="851" t="str">
        <f t="shared" ref="A304:AA304" si="170">IF(A104="","",A104)</f>
        <v>Assets under management growth</v>
      </c>
      <c r="B304" s="851" t="str">
        <f t="shared" si="170"/>
        <v/>
      </c>
      <c r="C304" s="851" t="str">
        <f t="shared" si="170"/>
        <v/>
      </c>
      <c r="D304" s="851" t="str">
        <f t="shared" si="170"/>
        <v/>
      </c>
      <c r="E304" s="851" t="str">
        <f t="shared" si="170"/>
        <v/>
      </c>
      <c r="F304" s="851" t="str">
        <f t="shared" si="170"/>
        <v/>
      </c>
      <c r="G304" s="851" t="str">
        <f t="shared" si="170"/>
        <v/>
      </c>
      <c r="H304" s="851" t="str">
        <f t="shared" si="170"/>
        <v/>
      </c>
      <c r="I304" s="851" t="str">
        <f t="shared" si="170"/>
        <v/>
      </c>
      <c r="J304" s="851" t="str">
        <f t="shared" si="170"/>
        <v/>
      </c>
      <c r="K304" s="851" t="str">
        <f t="shared" si="170"/>
        <v/>
      </c>
      <c r="L304" s="851" t="str">
        <f t="shared" si="170"/>
        <v/>
      </c>
      <c r="M304" s="851" t="str">
        <f t="shared" si="170"/>
        <v/>
      </c>
      <c r="N304" s="851" t="str">
        <f t="shared" si="170"/>
        <v/>
      </c>
      <c r="O304" s="851" t="str">
        <f t="shared" si="170"/>
        <v/>
      </c>
      <c r="P304" s="851" t="str">
        <f t="shared" si="170"/>
        <v/>
      </c>
      <c r="Q304" s="851" t="str">
        <f t="shared" si="170"/>
        <v/>
      </c>
      <c r="R304" s="851" t="str">
        <f t="shared" si="170"/>
        <v/>
      </c>
      <c r="S304" s="851" t="str">
        <f t="shared" si="170"/>
        <v/>
      </c>
      <c r="T304" s="851" t="str">
        <f t="shared" si="170"/>
        <v/>
      </c>
      <c r="U304" s="851" t="str">
        <f t="shared" si="170"/>
        <v/>
      </c>
      <c r="V304" s="851" t="str">
        <f t="shared" si="170"/>
        <v/>
      </c>
      <c r="W304" s="851" t="str">
        <f t="shared" si="170"/>
        <v/>
      </c>
      <c r="X304" s="851" t="str">
        <f t="shared" si="170"/>
        <v/>
      </c>
      <c r="Y304" s="851" t="str">
        <f t="shared" si="170"/>
        <v/>
      </c>
      <c r="Z304" s="851" t="str">
        <f t="shared" si="170"/>
        <v/>
      </c>
      <c r="AA304" s="1224" t="str">
        <f t="shared" si="170"/>
        <v/>
      </c>
      <c r="AB304" s="1226">
        <f t="shared" si="168"/>
        <v>-0.01</v>
      </c>
      <c r="AC304" s="1226">
        <f t="shared" si="168"/>
        <v>-0.01</v>
      </c>
      <c r="AD304" s="1226">
        <f t="shared" si="168"/>
        <v>0</v>
      </c>
      <c r="AE304" s="1226">
        <f t="shared" si="168"/>
        <v>0</v>
      </c>
      <c r="AF304" s="924">
        <f t="shared" ref="AF304:AW304" si="171">IF(AF104="","",AF104)+AF338</f>
        <v>-5.400155963243938E-3</v>
      </c>
      <c r="AG304" s="924">
        <f t="shared" si="171"/>
        <v>-5.400155963243938E-3</v>
      </c>
      <c r="AH304" s="924">
        <f t="shared" si="171"/>
        <v>-5.400155963243938E-3</v>
      </c>
      <c r="AI304" s="924">
        <f t="shared" si="171"/>
        <v>-5.400155963243938E-3</v>
      </c>
      <c r="AJ304" s="924">
        <f t="shared" si="171"/>
        <v>-5.400155963243938E-3</v>
      </c>
      <c r="AK304" s="924">
        <f t="shared" si="171"/>
        <v>-5.400155963243938E-3</v>
      </c>
      <c r="AL304" s="924">
        <f t="shared" si="171"/>
        <v>-5.400155963243938E-3</v>
      </c>
      <c r="AM304" s="924">
        <f t="shared" si="171"/>
        <v>-5.400155963243938E-3</v>
      </c>
      <c r="AN304" s="924">
        <f t="shared" si="171"/>
        <v>-5.400155963243938E-3</v>
      </c>
      <c r="AO304" s="924">
        <f t="shared" si="171"/>
        <v>-5.400155963243938E-3</v>
      </c>
      <c r="AP304" s="924">
        <f t="shared" si="171"/>
        <v>-5.400155963243938E-3</v>
      </c>
      <c r="AQ304" s="924">
        <f t="shared" si="171"/>
        <v>-5.400155963243938E-3</v>
      </c>
      <c r="AR304" s="924">
        <f t="shared" si="171"/>
        <v>-5.400155963243938E-3</v>
      </c>
      <c r="AS304" s="924">
        <f t="shared" si="171"/>
        <v>-5.400155963243938E-3</v>
      </c>
      <c r="AT304" s="924">
        <f t="shared" si="171"/>
        <v>-5.400155963243938E-3</v>
      </c>
      <c r="AU304" s="924">
        <f t="shared" si="171"/>
        <v>-5.400155963243938E-3</v>
      </c>
      <c r="AV304" s="924">
        <f t="shared" si="171"/>
        <v>-5.400155963243938E-3</v>
      </c>
      <c r="AW304" s="924">
        <f t="shared" si="171"/>
        <v>-5.400155963243938E-3</v>
      </c>
    </row>
    <row r="305" spans="1:49" s="851" customFormat="1" hidden="1" outlineLevel="1">
      <c r="A305" s="851" t="str">
        <f t="shared" ref="A305:AA305" si="172">IF(A105="","",A105)</f>
        <v/>
      </c>
      <c r="B305" s="851" t="str">
        <f t="shared" si="172"/>
        <v/>
      </c>
      <c r="C305" s="851" t="str">
        <f t="shared" si="172"/>
        <v/>
      </c>
      <c r="D305" s="851" t="str">
        <f t="shared" si="172"/>
        <v/>
      </c>
      <c r="E305" s="851" t="str">
        <f t="shared" si="172"/>
        <v/>
      </c>
      <c r="F305" s="851" t="str">
        <f t="shared" si="172"/>
        <v/>
      </c>
      <c r="G305" s="851" t="str">
        <f t="shared" si="172"/>
        <v/>
      </c>
      <c r="H305" s="851" t="str">
        <f t="shared" si="172"/>
        <v/>
      </c>
      <c r="I305" s="851" t="str">
        <f t="shared" si="172"/>
        <v/>
      </c>
      <c r="J305" s="851" t="str">
        <f t="shared" si="172"/>
        <v/>
      </c>
      <c r="K305" s="851" t="str">
        <f t="shared" si="172"/>
        <v/>
      </c>
      <c r="L305" s="851" t="str">
        <f t="shared" si="172"/>
        <v/>
      </c>
      <c r="M305" s="851" t="str">
        <f t="shared" si="172"/>
        <v/>
      </c>
      <c r="N305" s="851" t="str">
        <f t="shared" si="172"/>
        <v/>
      </c>
      <c r="O305" s="851" t="str">
        <f t="shared" si="172"/>
        <v/>
      </c>
      <c r="P305" s="851" t="str">
        <f t="shared" si="172"/>
        <v/>
      </c>
      <c r="Q305" s="851" t="str">
        <f t="shared" si="172"/>
        <v/>
      </c>
      <c r="R305" s="851" t="str">
        <f t="shared" si="172"/>
        <v/>
      </c>
      <c r="S305" s="851" t="str">
        <f t="shared" si="172"/>
        <v/>
      </c>
      <c r="T305" s="851" t="str">
        <f t="shared" si="172"/>
        <v/>
      </c>
      <c r="U305" s="851" t="str">
        <f t="shared" si="172"/>
        <v/>
      </c>
      <c r="V305" s="851" t="str">
        <f t="shared" si="172"/>
        <v/>
      </c>
      <c r="W305" s="851" t="str">
        <f t="shared" si="172"/>
        <v/>
      </c>
      <c r="X305" s="851" t="str">
        <f t="shared" si="172"/>
        <v/>
      </c>
      <c r="Y305" s="851" t="str">
        <f t="shared" si="172"/>
        <v/>
      </c>
      <c r="Z305" s="851" t="str">
        <f t="shared" si="172"/>
        <v/>
      </c>
      <c r="AA305" s="1224" t="str">
        <f t="shared" si="172"/>
        <v/>
      </c>
      <c r="AB305" s="1224" t="str">
        <f t="shared" ref="AB305:AW305" si="173">IF(AB105="","",AB105)</f>
        <v/>
      </c>
      <c r="AC305" s="1224" t="str">
        <f t="shared" si="173"/>
        <v/>
      </c>
      <c r="AD305" s="1224" t="str">
        <f t="shared" si="173"/>
        <v/>
      </c>
      <c r="AE305" s="1224" t="str">
        <f t="shared" si="173"/>
        <v/>
      </c>
      <c r="AF305" s="18" t="str">
        <f t="shared" si="173"/>
        <v/>
      </c>
      <c r="AG305" s="18" t="str">
        <f t="shared" si="173"/>
        <v/>
      </c>
      <c r="AH305" s="18" t="str">
        <f t="shared" si="173"/>
        <v/>
      </c>
      <c r="AI305" s="18" t="str">
        <f t="shared" si="173"/>
        <v/>
      </c>
      <c r="AJ305" s="18" t="str">
        <f t="shared" si="173"/>
        <v/>
      </c>
      <c r="AK305" s="18" t="str">
        <f t="shared" si="173"/>
        <v/>
      </c>
      <c r="AL305" s="18" t="str">
        <f t="shared" si="173"/>
        <v/>
      </c>
      <c r="AM305" s="18" t="str">
        <f t="shared" si="173"/>
        <v/>
      </c>
      <c r="AN305" s="18" t="str">
        <f t="shared" si="173"/>
        <v/>
      </c>
      <c r="AO305" s="18" t="str">
        <f t="shared" si="173"/>
        <v/>
      </c>
      <c r="AP305" s="18" t="str">
        <f t="shared" si="173"/>
        <v/>
      </c>
      <c r="AQ305" s="18" t="str">
        <f t="shared" si="173"/>
        <v/>
      </c>
      <c r="AR305" s="18" t="str">
        <f t="shared" si="173"/>
        <v/>
      </c>
      <c r="AS305" s="18" t="str">
        <f t="shared" si="173"/>
        <v/>
      </c>
      <c r="AT305" s="18" t="str">
        <f t="shared" si="173"/>
        <v/>
      </c>
      <c r="AU305" s="18" t="str">
        <f t="shared" si="173"/>
        <v/>
      </c>
      <c r="AV305" s="18" t="str">
        <f t="shared" si="173"/>
        <v/>
      </c>
      <c r="AW305" s="18" t="str">
        <f t="shared" si="173"/>
        <v/>
      </c>
    </row>
    <row r="306" spans="1:49" s="851" customFormat="1" hidden="1" outlineLevel="1">
      <c r="A306" s="2" t="str">
        <f t="shared" ref="A306:AA306" si="174">IF(A106="","",A106)</f>
        <v>International Wealth Management</v>
      </c>
      <c r="B306" s="851" t="str">
        <f t="shared" si="174"/>
        <v/>
      </c>
      <c r="C306" s="851" t="str">
        <f t="shared" si="174"/>
        <v/>
      </c>
      <c r="D306" s="851" t="str">
        <f t="shared" si="174"/>
        <v/>
      </c>
      <c r="E306" s="851" t="str">
        <f t="shared" si="174"/>
        <v/>
      </c>
      <c r="F306" s="851" t="str">
        <f t="shared" si="174"/>
        <v/>
      </c>
      <c r="G306" s="851" t="str">
        <f t="shared" si="174"/>
        <v/>
      </c>
      <c r="H306" s="851" t="str">
        <f t="shared" si="174"/>
        <v/>
      </c>
      <c r="I306" s="851" t="str">
        <f t="shared" si="174"/>
        <v/>
      </c>
      <c r="J306" s="851" t="str">
        <f t="shared" si="174"/>
        <v/>
      </c>
      <c r="K306" s="851" t="str">
        <f t="shared" si="174"/>
        <v/>
      </c>
      <c r="L306" s="851" t="str">
        <f t="shared" si="174"/>
        <v/>
      </c>
      <c r="M306" s="851" t="str">
        <f t="shared" si="174"/>
        <v/>
      </c>
      <c r="N306" s="851" t="str">
        <f t="shared" si="174"/>
        <v/>
      </c>
      <c r="O306" s="851" t="str">
        <f t="shared" si="174"/>
        <v/>
      </c>
      <c r="P306" s="851" t="str">
        <f t="shared" si="174"/>
        <v/>
      </c>
      <c r="Q306" s="851" t="str">
        <f t="shared" si="174"/>
        <v/>
      </c>
      <c r="R306" s="851" t="str">
        <f t="shared" si="174"/>
        <v/>
      </c>
      <c r="S306" s="851" t="str">
        <f t="shared" si="174"/>
        <v/>
      </c>
      <c r="T306" s="851" t="str">
        <f t="shared" si="174"/>
        <v/>
      </c>
      <c r="U306" s="851" t="str">
        <f t="shared" si="174"/>
        <v/>
      </c>
      <c r="V306" s="851" t="str">
        <f t="shared" si="174"/>
        <v/>
      </c>
      <c r="W306" s="851" t="str">
        <f t="shared" si="174"/>
        <v/>
      </c>
      <c r="X306" s="851" t="str">
        <f t="shared" si="174"/>
        <v/>
      </c>
      <c r="Y306" s="851" t="str">
        <f t="shared" si="174"/>
        <v/>
      </c>
      <c r="Z306" s="851" t="str">
        <f t="shared" si="174"/>
        <v/>
      </c>
      <c r="AA306" s="1224" t="str">
        <f t="shared" si="174"/>
        <v/>
      </c>
      <c r="AB306" s="1224" t="str">
        <f t="shared" ref="AB306:AW306" si="175">IF(AB106="","",AB106)</f>
        <v/>
      </c>
      <c r="AC306" s="1224" t="str">
        <f t="shared" si="175"/>
        <v/>
      </c>
      <c r="AD306" s="1224" t="str">
        <f t="shared" si="175"/>
        <v/>
      </c>
      <c r="AE306" s="1224" t="str">
        <f t="shared" si="175"/>
        <v/>
      </c>
      <c r="AF306" s="18" t="str">
        <f t="shared" si="175"/>
        <v/>
      </c>
      <c r="AG306" s="18" t="str">
        <f t="shared" si="175"/>
        <v/>
      </c>
      <c r="AH306" s="18" t="str">
        <f t="shared" si="175"/>
        <v/>
      </c>
      <c r="AI306" s="18" t="str">
        <f t="shared" si="175"/>
        <v/>
      </c>
      <c r="AJ306" s="18" t="str">
        <f t="shared" si="175"/>
        <v/>
      </c>
      <c r="AK306" s="18" t="str">
        <f t="shared" si="175"/>
        <v/>
      </c>
      <c r="AL306" s="18" t="str">
        <f t="shared" si="175"/>
        <v/>
      </c>
      <c r="AM306" s="18" t="str">
        <f t="shared" si="175"/>
        <v/>
      </c>
      <c r="AN306" s="18" t="str">
        <f t="shared" si="175"/>
        <v/>
      </c>
      <c r="AO306" s="18" t="str">
        <f t="shared" si="175"/>
        <v/>
      </c>
      <c r="AP306" s="18" t="str">
        <f t="shared" si="175"/>
        <v/>
      </c>
      <c r="AQ306" s="18" t="str">
        <f t="shared" si="175"/>
        <v/>
      </c>
      <c r="AR306" s="18" t="str">
        <f t="shared" si="175"/>
        <v/>
      </c>
      <c r="AS306" s="18" t="str">
        <f t="shared" si="175"/>
        <v/>
      </c>
      <c r="AT306" s="18" t="str">
        <f t="shared" si="175"/>
        <v/>
      </c>
      <c r="AU306" s="18" t="str">
        <f t="shared" si="175"/>
        <v/>
      </c>
      <c r="AV306" s="18" t="str">
        <f t="shared" si="175"/>
        <v/>
      </c>
      <c r="AW306" s="18" t="str">
        <f t="shared" si="175"/>
        <v/>
      </c>
    </row>
    <row r="307" spans="1:49" s="851" customFormat="1" hidden="1" outlineLevel="1">
      <c r="A307" s="851" t="str">
        <f t="shared" ref="A307:AA307" si="176">IF(A107="","",A107)</f>
        <v>Cost/income ratio</v>
      </c>
      <c r="B307" s="851" t="str">
        <f t="shared" si="176"/>
        <v/>
      </c>
      <c r="C307" s="851" t="str">
        <f t="shared" si="176"/>
        <v/>
      </c>
      <c r="D307" s="851" t="str">
        <f t="shared" si="176"/>
        <v/>
      </c>
      <c r="E307" s="851" t="str">
        <f t="shared" si="176"/>
        <v/>
      </c>
      <c r="F307" s="851" t="str">
        <f t="shared" si="176"/>
        <v/>
      </c>
      <c r="G307" s="851" t="str">
        <f t="shared" si="176"/>
        <v/>
      </c>
      <c r="H307" s="851" t="str">
        <f t="shared" si="176"/>
        <v/>
      </c>
      <c r="I307" s="851" t="str">
        <f t="shared" si="176"/>
        <v/>
      </c>
      <c r="J307" s="851" t="str">
        <f t="shared" si="176"/>
        <v/>
      </c>
      <c r="K307" s="851" t="str">
        <f t="shared" si="176"/>
        <v/>
      </c>
      <c r="L307" s="851" t="str">
        <f t="shared" si="176"/>
        <v/>
      </c>
      <c r="M307" s="851" t="str">
        <f t="shared" si="176"/>
        <v/>
      </c>
      <c r="N307" s="851" t="str">
        <f t="shared" si="176"/>
        <v/>
      </c>
      <c r="O307" s="851" t="str">
        <f t="shared" si="176"/>
        <v/>
      </c>
      <c r="P307" s="851" t="str">
        <f t="shared" si="176"/>
        <v/>
      </c>
      <c r="Q307" s="851" t="str">
        <f t="shared" si="176"/>
        <v/>
      </c>
      <c r="R307" s="851" t="str">
        <f t="shared" si="176"/>
        <v/>
      </c>
      <c r="S307" s="851" t="str">
        <f t="shared" si="176"/>
        <v/>
      </c>
      <c r="T307" s="851" t="str">
        <f t="shared" si="176"/>
        <v/>
      </c>
      <c r="U307" s="851" t="str">
        <f t="shared" si="176"/>
        <v/>
      </c>
      <c r="V307" s="851" t="str">
        <f t="shared" si="176"/>
        <v/>
      </c>
      <c r="W307" s="851" t="str">
        <f t="shared" si="176"/>
        <v/>
      </c>
      <c r="X307" s="851" t="str">
        <f t="shared" si="176"/>
        <v/>
      </c>
      <c r="Y307" s="851" t="str">
        <f t="shared" si="176"/>
        <v/>
      </c>
      <c r="Z307" s="851" t="str">
        <f t="shared" si="176"/>
        <v/>
      </c>
      <c r="AA307" s="1224" t="str">
        <f t="shared" si="176"/>
        <v/>
      </c>
      <c r="AB307" s="1226">
        <f t="shared" ref="AB307:AW307" si="177">IF(AB107="","",AB107)+AB341</f>
        <v>0.78860426619109569</v>
      </c>
      <c r="AC307" s="1226">
        <f t="shared" si="177"/>
        <v>0.78892208509189088</v>
      </c>
      <c r="AD307" s="1226">
        <f t="shared" si="177"/>
        <v>0.79821375175855758</v>
      </c>
      <c r="AE307" s="1226">
        <f t="shared" si="177"/>
        <v>0.79943587486292866</v>
      </c>
      <c r="AF307" s="924">
        <f t="shared" si="177"/>
        <v>0.76019999999999999</v>
      </c>
      <c r="AG307" s="924">
        <f t="shared" si="177"/>
        <v>0.75486288620274766</v>
      </c>
      <c r="AH307" s="924">
        <f t="shared" si="177"/>
        <v>0.74956511602936948</v>
      </c>
      <c r="AI307" s="924">
        <f t="shared" si="177"/>
        <v>0.7443063994503103</v>
      </c>
      <c r="AJ307" s="924">
        <f t="shared" si="177"/>
        <v>0.73908644857402728</v>
      </c>
      <c r="AK307" s="924">
        <f t="shared" si="177"/>
        <v>0.73390497763122875</v>
      </c>
      <c r="AL307" s="924">
        <f t="shared" si="177"/>
        <v>0.72876170295922982</v>
      </c>
      <c r="AM307" s="924">
        <f t="shared" si="177"/>
        <v>0.7236563429864229</v>
      </c>
      <c r="AN307" s="924">
        <f t="shared" si="177"/>
        <v>0.71858861821686293</v>
      </c>
      <c r="AO307" s="924">
        <f t="shared" si="177"/>
        <v>0.7135582512149663</v>
      </c>
      <c r="AP307" s="924">
        <f t="shared" si="177"/>
        <v>0.70856496659032253</v>
      </c>
      <c r="AQ307" s="924">
        <f t="shared" si="177"/>
        <v>0.70360849098261768</v>
      </c>
      <c r="AR307" s="924">
        <f t="shared" si="177"/>
        <v>0.69868855304666921</v>
      </c>
      <c r="AS307" s="924">
        <f t="shared" si="177"/>
        <v>0.69380488343757107</v>
      </c>
      <c r="AT307" s="924">
        <f t="shared" si="177"/>
        <v>0.68895721479594796</v>
      </c>
      <c r="AU307" s="924">
        <f t="shared" si="177"/>
        <v>0.6841452817333189</v>
      </c>
      <c r="AV307" s="924">
        <f t="shared" si="177"/>
        <v>0.67936882081756833</v>
      </c>
      <c r="AW307" s="924">
        <f t="shared" si="177"/>
        <v>0.67462757055852418</v>
      </c>
    </row>
    <row r="308" spans="1:49" s="851" customFormat="1" hidden="1" outlineLevel="1">
      <c r="A308" s="851" t="str">
        <f t="shared" ref="A308:AA308" si="178">IF(A109="","",A109)</f>
        <v>Net loans growth</v>
      </c>
      <c r="B308" s="851" t="str">
        <f t="shared" si="178"/>
        <v/>
      </c>
      <c r="C308" s="851" t="str">
        <f t="shared" si="178"/>
        <v/>
      </c>
      <c r="D308" s="851" t="str">
        <f t="shared" si="178"/>
        <v/>
      </c>
      <c r="E308" s="851" t="str">
        <f t="shared" si="178"/>
        <v/>
      </c>
      <c r="F308" s="851" t="str">
        <f t="shared" si="178"/>
        <v/>
      </c>
      <c r="G308" s="851" t="str">
        <f t="shared" si="178"/>
        <v/>
      </c>
      <c r="H308" s="851" t="str">
        <f t="shared" si="178"/>
        <v/>
      </c>
      <c r="I308" s="851" t="str">
        <f t="shared" si="178"/>
        <v/>
      </c>
      <c r="J308" s="851" t="str">
        <f t="shared" si="178"/>
        <v/>
      </c>
      <c r="K308" s="851" t="str">
        <f t="shared" si="178"/>
        <v/>
      </c>
      <c r="L308" s="851" t="str">
        <f t="shared" si="178"/>
        <v/>
      </c>
      <c r="M308" s="851" t="str">
        <f t="shared" si="178"/>
        <v/>
      </c>
      <c r="N308" s="851" t="str">
        <f t="shared" si="178"/>
        <v/>
      </c>
      <c r="O308" s="851" t="str">
        <f t="shared" si="178"/>
        <v/>
      </c>
      <c r="P308" s="851" t="str">
        <f t="shared" si="178"/>
        <v/>
      </c>
      <c r="Q308" s="851" t="str">
        <f t="shared" si="178"/>
        <v/>
      </c>
      <c r="R308" s="851" t="str">
        <f t="shared" si="178"/>
        <v/>
      </c>
      <c r="S308" s="851" t="str">
        <f t="shared" si="178"/>
        <v/>
      </c>
      <c r="T308" s="851" t="str">
        <f t="shared" si="178"/>
        <v/>
      </c>
      <c r="U308" s="851" t="str">
        <f t="shared" si="178"/>
        <v/>
      </c>
      <c r="V308" s="851" t="str">
        <f t="shared" si="178"/>
        <v/>
      </c>
      <c r="W308" s="851" t="str">
        <f t="shared" si="178"/>
        <v/>
      </c>
      <c r="X308" s="851" t="str">
        <f t="shared" si="178"/>
        <v/>
      </c>
      <c r="Y308" s="851" t="str">
        <f t="shared" si="178"/>
        <v/>
      </c>
      <c r="Z308" s="851" t="str">
        <f t="shared" si="178"/>
        <v/>
      </c>
      <c r="AA308" s="1224" t="str">
        <f t="shared" si="178"/>
        <v/>
      </c>
      <c r="AB308" s="1226">
        <f t="shared" ref="AB308:AW308" si="179">IF(AB109="","",AB109)+AB342</f>
        <v>-8.0685329088314092E-3</v>
      </c>
      <c r="AC308" s="1226">
        <f t="shared" si="179"/>
        <v>-8.0685329088314092E-3</v>
      </c>
      <c r="AD308" s="1226">
        <f t="shared" si="179"/>
        <v>6.9773415127939373E-4</v>
      </c>
      <c r="AE308" s="1226">
        <f t="shared" si="179"/>
        <v>6.9773415127939373E-4</v>
      </c>
      <c r="AF308" s="924">
        <f t="shared" si="179"/>
        <v>3.3043712925612794E-3</v>
      </c>
      <c r="AG308" s="924">
        <f t="shared" si="179"/>
        <v>3.3043712925612794E-3</v>
      </c>
      <c r="AH308" s="924">
        <f t="shared" si="179"/>
        <v>3.9635848119567788E-3</v>
      </c>
      <c r="AI308" s="924">
        <f t="shared" si="179"/>
        <v>3.9635848119567788E-3</v>
      </c>
      <c r="AJ308" s="924">
        <f t="shared" si="179"/>
        <v>3.9635848119567788E-3</v>
      </c>
      <c r="AK308" s="924">
        <f t="shared" si="179"/>
        <v>3.9635848119567788E-3</v>
      </c>
      <c r="AL308" s="924">
        <f t="shared" si="179"/>
        <v>4.1550743650280303E-3</v>
      </c>
      <c r="AM308" s="924">
        <f t="shared" si="179"/>
        <v>4.1550743650280303E-3</v>
      </c>
      <c r="AN308" s="924">
        <f t="shared" si="179"/>
        <v>4.1550743650280303E-3</v>
      </c>
      <c r="AO308" s="924">
        <f t="shared" si="179"/>
        <v>4.1550743650280303E-3</v>
      </c>
      <c r="AP308" s="924">
        <f t="shared" si="179"/>
        <v>4.0920225421331186E-3</v>
      </c>
      <c r="AQ308" s="924">
        <f t="shared" si="179"/>
        <v>4.0920225421331186E-3</v>
      </c>
      <c r="AR308" s="924">
        <f t="shared" si="179"/>
        <v>4.0920225421331186E-3</v>
      </c>
      <c r="AS308" s="924">
        <f t="shared" si="179"/>
        <v>4.0920225421331186E-3</v>
      </c>
      <c r="AT308" s="924">
        <f t="shared" si="179"/>
        <v>3.9407250449512606E-3</v>
      </c>
      <c r="AU308" s="924">
        <f t="shared" si="179"/>
        <v>3.9407250449512606E-3</v>
      </c>
      <c r="AV308" s="924">
        <f t="shared" si="179"/>
        <v>3.9407250449512606E-3</v>
      </c>
      <c r="AW308" s="924">
        <f t="shared" si="179"/>
        <v>3.9407250449512606E-3</v>
      </c>
    </row>
    <row r="309" spans="1:49" s="851" customFormat="1" hidden="1" outlineLevel="1">
      <c r="A309" s="851" t="str">
        <f t="shared" ref="A309:AA309" si="180">IF(A110="","",A110)</f>
        <v>Assets under management growth</v>
      </c>
      <c r="B309" s="851" t="str">
        <f t="shared" si="180"/>
        <v/>
      </c>
      <c r="C309" s="851" t="str">
        <f t="shared" si="180"/>
        <v/>
      </c>
      <c r="D309" s="851" t="str">
        <f t="shared" si="180"/>
        <v/>
      </c>
      <c r="E309" s="851" t="str">
        <f t="shared" si="180"/>
        <v/>
      </c>
      <c r="F309" s="851" t="str">
        <f t="shared" si="180"/>
        <v/>
      </c>
      <c r="G309" s="851" t="str">
        <f t="shared" si="180"/>
        <v/>
      </c>
      <c r="H309" s="851" t="str">
        <f t="shared" si="180"/>
        <v/>
      </c>
      <c r="I309" s="851" t="str">
        <f t="shared" si="180"/>
        <v/>
      </c>
      <c r="J309" s="851" t="str">
        <f t="shared" si="180"/>
        <v/>
      </c>
      <c r="K309" s="851" t="str">
        <f t="shared" si="180"/>
        <v/>
      </c>
      <c r="L309" s="851" t="str">
        <f t="shared" si="180"/>
        <v/>
      </c>
      <c r="M309" s="851" t="str">
        <f t="shared" si="180"/>
        <v/>
      </c>
      <c r="N309" s="851" t="str">
        <f t="shared" si="180"/>
        <v/>
      </c>
      <c r="O309" s="851" t="str">
        <f t="shared" si="180"/>
        <v/>
      </c>
      <c r="P309" s="851" t="str">
        <f t="shared" si="180"/>
        <v/>
      </c>
      <c r="Q309" s="851" t="str">
        <f t="shared" si="180"/>
        <v/>
      </c>
      <c r="R309" s="851" t="str">
        <f t="shared" si="180"/>
        <v/>
      </c>
      <c r="S309" s="851" t="str">
        <f t="shared" si="180"/>
        <v/>
      </c>
      <c r="T309" s="851" t="str">
        <f t="shared" si="180"/>
        <v/>
      </c>
      <c r="U309" s="851" t="str">
        <f t="shared" si="180"/>
        <v/>
      </c>
      <c r="V309" s="851" t="str">
        <f t="shared" si="180"/>
        <v/>
      </c>
      <c r="W309" s="851" t="str">
        <f t="shared" si="180"/>
        <v/>
      </c>
      <c r="X309" s="851" t="str">
        <f t="shared" si="180"/>
        <v/>
      </c>
      <c r="Y309" s="851" t="str">
        <f t="shared" si="180"/>
        <v/>
      </c>
      <c r="Z309" s="851" t="str">
        <f t="shared" si="180"/>
        <v/>
      </c>
      <c r="AA309" s="1224" t="str">
        <f t="shared" si="180"/>
        <v/>
      </c>
      <c r="AB309" s="1226">
        <f t="shared" ref="AB309:AW309" si="181">IF(AB110="","",AB110)+AB343</f>
        <v>-7.3307272418254681E-3</v>
      </c>
      <c r="AC309" s="1226">
        <f t="shared" si="181"/>
        <v>-7.3307272418254681E-3</v>
      </c>
      <c r="AD309" s="1226">
        <f t="shared" si="181"/>
        <v>2.6692727581745321E-3</v>
      </c>
      <c r="AE309" s="1226">
        <f t="shared" si="181"/>
        <v>2.6692727581745321E-3</v>
      </c>
      <c r="AF309" s="924">
        <f t="shared" si="181"/>
        <v>2.6692727581745321E-3</v>
      </c>
      <c r="AG309" s="924">
        <f t="shared" si="181"/>
        <v>2.6692727581745321E-3</v>
      </c>
      <c r="AH309" s="924">
        <f t="shared" si="181"/>
        <v>2.6692727581745321E-3</v>
      </c>
      <c r="AI309" s="924">
        <f t="shared" si="181"/>
        <v>2.6692727581745321E-3</v>
      </c>
      <c r="AJ309" s="924">
        <f t="shared" si="181"/>
        <v>2.6692727581745321E-3</v>
      </c>
      <c r="AK309" s="924">
        <f t="shared" si="181"/>
        <v>2.6692727581745321E-3</v>
      </c>
      <c r="AL309" s="924">
        <f t="shared" si="181"/>
        <v>2.6692727581745321E-3</v>
      </c>
      <c r="AM309" s="924">
        <f t="shared" si="181"/>
        <v>2.6692727581745321E-3</v>
      </c>
      <c r="AN309" s="924">
        <f t="shared" si="181"/>
        <v>2.6692727581745321E-3</v>
      </c>
      <c r="AO309" s="924">
        <f t="shared" si="181"/>
        <v>2.6692727581745321E-3</v>
      </c>
      <c r="AP309" s="924">
        <f t="shared" si="181"/>
        <v>2.6692727581745321E-3</v>
      </c>
      <c r="AQ309" s="924">
        <f t="shared" si="181"/>
        <v>2.6692727581745321E-3</v>
      </c>
      <c r="AR309" s="924">
        <f t="shared" si="181"/>
        <v>2.6692727581745321E-3</v>
      </c>
      <c r="AS309" s="924">
        <f t="shared" si="181"/>
        <v>2.6692727581745321E-3</v>
      </c>
      <c r="AT309" s="924">
        <f t="shared" si="181"/>
        <v>2.6692727581745321E-3</v>
      </c>
      <c r="AU309" s="924">
        <f t="shared" si="181"/>
        <v>2.6692727581745321E-3</v>
      </c>
      <c r="AV309" s="924">
        <f t="shared" si="181"/>
        <v>2.6692727581745321E-3</v>
      </c>
      <c r="AW309" s="924">
        <f t="shared" si="181"/>
        <v>2.6692727581745321E-3</v>
      </c>
    </row>
    <row r="310" spans="1:49" s="851" customFormat="1" hidden="1" outlineLevel="1">
      <c r="A310" s="851" t="str">
        <f t="shared" ref="A310:AA310" si="182">IF(A111="","",A111)</f>
        <v/>
      </c>
      <c r="B310" s="851" t="str">
        <f t="shared" si="182"/>
        <v/>
      </c>
      <c r="C310" s="851" t="str">
        <f t="shared" si="182"/>
        <v/>
      </c>
      <c r="D310" s="851" t="str">
        <f t="shared" si="182"/>
        <v/>
      </c>
      <c r="E310" s="851" t="str">
        <f t="shared" si="182"/>
        <v/>
      </c>
      <c r="F310" s="851" t="str">
        <f t="shared" si="182"/>
        <v/>
      </c>
      <c r="G310" s="851" t="str">
        <f t="shared" si="182"/>
        <v/>
      </c>
      <c r="H310" s="851" t="str">
        <f t="shared" si="182"/>
        <v/>
      </c>
      <c r="I310" s="851" t="str">
        <f t="shared" si="182"/>
        <v/>
      </c>
      <c r="J310" s="851" t="str">
        <f t="shared" si="182"/>
        <v/>
      </c>
      <c r="K310" s="851" t="str">
        <f t="shared" si="182"/>
        <v/>
      </c>
      <c r="L310" s="851" t="str">
        <f t="shared" si="182"/>
        <v/>
      </c>
      <c r="M310" s="851" t="str">
        <f t="shared" si="182"/>
        <v/>
      </c>
      <c r="N310" s="851" t="str">
        <f t="shared" si="182"/>
        <v/>
      </c>
      <c r="O310" s="851" t="str">
        <f t="shared" si="182"/>
        <v/>
      </c>
      <c r="P310" s="851" t="str">
        <f t="shared" si="182"/>
        <v/>
      </c>
      <c r="Q310" s="851" t="str">
        <f t="shared" si="182"/>
        <v/>
      </c>
      <c r="R310" s="851" t="str">
        <f t="shared" si="182"/>
        <v/>
      </c>
      <c r="S310" s="851" t="str">
        <f t="shared" si="182"/>
        <v/>
      </c>
      <c r="T310" s="851" t="str">
        <f t="shared" si="182"/>
        <v/>
      </c>
      <c r="U310" s="851" t="str">
        <f t="shared" si="182"/>
        <v/>
      </c>
      <c r="V310" s="851" t="str">
        <f t="shared" si="182"/>
        <v/>
      </c>
      <c r="W310" s="851" t="str">
        <f t="shared" si="182"/>
        <v/>
      </c>
      <c r="X310" s="851" t="str">
        <f t="shared" si="182"/>
        <v/>
      </c>
      <c r="Y310" s="851" t="str">
        <f t="shared" si="182"/>
        <v/>
      </c>
      <c r="Z310" s="851" t="str">
        <f t="shared" si="182"/>
        <v/>
      </c>
      <c r="AA310" s="1224" t="str">
        <f t="shared" si="182"/>
        <v/>
      </c>
      <c r="AB310" s="1224" t="str">
        <f t="shared" ref="AB310:AW310" si="183">IF(AB111="","",AB111)</f>
        <v/>
      </c>
      <c r="AC310" s="1224" t="str">
        <f t="shared" si="183"/>
        <v/>
      </c>
      <c r="AD310" s="1224" t="str">
        <f t="shared" si="183"/>
        <v/>
      </c>
      <c r="AE310" s="1224" t="str">
        <f t="shared" si="183"/>
        <v/>
      </c>
      <c r="AF310" s="18" t="str">
        <f t="shared" si="183"/>
        <v/>
      </c>
      <c r="AG310" s="18" t="str">
        <f t="shared" si="183"/>
        <v/>
      </c>
      <c r="AH310" s="18" t="str">
        <f t="shared" si="183"/>
        <v/>
      </c>
      <c r="AI310" s="18" t="str">
        <f t="shared" si="183"/>
        <v/>
      </c>
      <c r="AJ310" s="18" t="str">
        <f t="shared" si="183"/>
        <v/>
      </c>
      <c r="AK310" s="18" t="str">
        <f t="shared" si="183"/>
        <v/>
      </c>
      <c r="AL310" s="18" t="str">
        <f t="shared" si="183"/>
        <v/>
      </c>
      <c r="AM310" s="18" t="str">
        <f t="shared" si="183"/>
        <v/>
      </c>
      <c r="AN310" s="18" t="str">
        <f t="shared" si="183"/>
        <v/>
      </c>
      <c r="AO310" s="18" t="str">
        <f t="shared" si="183"/>
        <v/>
      </c>
      <c r="AP310" s="18" t="str">
        <f t="shared" si="183"/>
        <v/>
      </c>
      <c r="AQ310" s="18" t="str">
        <f t="shared" si="183"/>
        <v/>
      </c>
      <c r="AR310" s="18" t="str">
        <f t="shared" si="183"/>
        <v/>
      </c>
      <c r="AS310" s="18" t="str">
        <f t="shared" si="183"/>
        <v/>
      </c>
      <c r="AT310" s="18" t="str">
        <f t="shared" si="183"/>
        <v/>
      </c>
      <c r="AU310" s="18" t="str">
        <f t="shared" si="183"/>
        <v/>
      </c>
      <c r="AV310" s="18" t="str">
        <f t="shared" si="183"/>
        <v/>
      </c>
      <c r="AW310" s="18" t="str">
        <f t="shared" si="183"/>
        <v/>
      </c>
    </row>
    <row r="311" spans="1:49" s="851" customFormat="1" hidden="1" outlineLevel="1">
      <c r="A311" s="2" t="str">
        <f t="shared" ref="A311:AA311" si="184">IF(A112="","",A112)</f>
        <v>Asia Pacific</v>
      </c>
      <c r="B311" s="851" t="str">
        <f t="shared" si="184"/>
        <v/>
      </c>
      <c r="C311" s="851" t="str">
        <f t="shared" si="184"/>
        <v/>
      </c>
      <c r="D311" s="851" t="str">
        <f t="shared" si="184"/>
        <v/>
      </c>
      <c r="E311" s="851" t="str">
        <f t="shared" si="184"/>
        <v/>
      </c>
      <c r="F311" s="851" t="str">
        <f t="shared" si="184"/>
        <v/>
      </c>
      <c r="G311" s="851" t="str">
        <f t="shared" si="184"/>
        <v/>
      </c>
      <c r="H311" s="851" t="str">
        <f t="shared" si="184"/>
        <v/>
      </c>
      <c r="I311" s="851" t="str">
        <f t="shared" si="184"/>
        <v/>
      </c>
      <c r="J311" s="851" t="str">
        <f t="shared" si="184"/>
        <v/>
      </c>
      <c r="K311" s="851" t="str">
        <f t="shared" si="184"/>
        <v/>
      </c>
      <c r="L311" s="851" t="str">
        <f t="shared" si="184"/>
        <v/>
      </c>
      <c r="M311" s="851" t="str">
        <f t="shared" si="184"/>
        <v/>
      </c>
      <c r="N311" s="851" t="str">
        <f t="shared" si="184"/>
        <v/>
      </c>
      <c r="O311" s="851" t="str">
        <f t="shared" si="184"/>
        <v/>
      </c>
      <c r="P311" s="851" t="str">
        <f t="shared" si="184"/>
        <v/>
      </c>
      <c r="Q311" s="851" t="str">
        <f t="shared" si="184"/>
        <v/>
      </c>
      <c r="R311" s="851" t="str">
        <f t="shared" si="184"/>
        <v/>
      </c>
      <c r="S311" s="851" t="str">
        <f t="shared" si="184"/>
        <v/>
      </c>
      <c r="T311" s="851" t="str">
        <f t="shared" si="184"/>
        <v/>
      </c>
      <c r="U311" s="851" t="str">
        <f t="shared" si="184"/>
        <v/>
      </c>
      <c r="V311" s="851" t="str">
        <f t="shared" si="184"/>
        <v/>
      </c>
      <c r="W311" s="851" t="str">
        <f t="shared" si="184"/>
        <v/>
      </c>
      <c r="X311" s="851" t="str">
        <f t="shared" si="184"/>
        <v/>
      </c>
      <c r="Y311" s="851" t="str">
        <f t="shared" si="184"/>
        <v/>
      </c>
      <c r="Z311" s="851" t="str">
        <f t="shared" si="184"/>
        <v/>
      </c>
      <c r="AA311" s="1224" t="str">
        <f t="shared" si="184"/>
        <v/>
      </c>
      <c r="AB311" s="1224" t="str">
        <f t="shared" ref="AB311:AW311" si="185">IF(AB112="","",AB112)</f>
        <v/>
      </c>
      <c r="AC311" s="1224" t="str">
        <f t="shared" si="185"/>
        <v/>
      </c>
      <c r="AD311" s="1224" t="str">
        <f t="shared" si="185"/>
        <v/>
      </c>
      <c r="AE311" s="1224" t="str">
        <f t="shared" si="185"/>
        <v/>
      </c>
      <c r="AF311" s="18" t="str">
        <f t="shared" si="185"/>
        <v/>
      </c>
      <c r="AG311" s="18" t="str">
        <f t="shared" si="185"/>
        <v/>
      </c>
      <c r="AH311" s="18" t="str">
        <f t="shared" si="185"/>
        <v/>
      </c>
      <c r="AI311" s="18" t="str">
        <f t="shared" si="185"/>
        <v/>
      </c>
      <c r="AJ311" s="18" t="str">
        <f t="shared" si="185"/>
        <v/>
      </c>
      <c r="AK311" s="18" t="str">
        <f t="shared" si="185"/>
        <v/>
      </c>
      <c r="AL311" s="18" t="str">
        <f t="shared" si="185"/>
        <v/>
      </c>
      <c r="AM311" s="18" t="str">
        <f t="shared" si="185"/>
        <v/>
      </c>
      <c r="AN311" s="18" t="str">
        <f t="shared" si="185"/>
        <v/>
      </c>
      <c r="AO311" s="18" t="str">
        <f t="shared" si="185"/>
        <v/>
      </c>
      <c r="AP311" s="18" t="str">
        <f t="shared" si="185"/>
        <v/>
      </c>
      <c r="AQ311" s="18" t="str">
        <f t="shared" si="185"/>
        <v/>
      </c>
      <c r="AR311" s="18" t="str">
        <f t="shared" si="185"/>
        <v/>
      </c>
      <c r="AS311" s="18" t="str">
        <f t="shared" si="185"/>
        <v/>
      </c>
      <c r="AT311" s="18" t="str">
        <f t="shared" si="185"/>
        <v/>
      </c>
      <c r="AU311" s="18" t="str">
        <f t="shared" si="185"/>
        <v/>
      </c>
      <c r="AV311" s="18" t="str">
        <f t="shared" si="185"/>
        <v/>
      </c>
      <c r="AW311" s="18" t="str">
        <f t="shared" si="185"/>
        <v/>
      </c>
    </row>
    <row r="312" spans="1:49" s="851" customFormat="1" hidden="1" outlineLevel="1">
      <c r="A312" s="851" t="str">
        <f t="shared" ref="A312:AA312" si="186">IF(A113="","",A113)</f>
        <v>Cost/income ratio</v>
      </c>
      <c r="B312" s="851" t="str">
        <f t="shared" si="186"/>
        <v/>
      </c>
      <c r="C312" s="851" t="str">
        <f t="shared" si="186"/>
        <v/>
      </c>
      <c r="D312" s="851" t="str">
        <f t="shared" si="186"/>
        <v/>
      </c>
      <c r="E312" s="851" t="str">
        <f t="shared" si="186"/>
        <v/>
      </c>
      <c r="F312" s="851" t="str">
        <f t="shared" si="186"/>
        <v/>
      </c>
      <c r="G312" s="851" t="str">
        <f t="shared" si="186"/>
        <v/>
      </c>
      <c r="H312" s="851" t="str">
        <f t="shared" si="186"/>
        <v/>
      </c>
      <c r="I312" s="851" t="str">
        <f t="shared" si="186"/>
        <v/>
      </c>
      <c r="J312" s="851" t="str">
        <f t="shared" si="186"/>
        <v/>
      </c>
      <c r="K312" s="851" t="str">
        <f t="shared" si="186"/>
        <v/>
      </c>
      <c r="L312" s="851" t="str">
        <f t="shared" si="186"/>
        <v/>
      </c>
      <c r="M312" s="851" t="str">
        <f t="shared" si="186"/>
        <v/>
      </c>
      <c r="N312" s="851" t="str">
        <f t="shared" si="186"/>
        <v/>
      </c>
      <c r="O312" s="851" t="str">
        <f t="shared" si="186"/>
        <v/>
      </c>
      <c r="P312" s="851" t="str">
        <f t="shared" si="186"/>
        <v/>
      </c>
      <c r="Q312" s="851" t="str">
        <f t="shared" si="186"/>
        <v/>
      </c>
      <c r="R312" s="851" t="str">
        <f t="shared" si="186"/>
        <v/>
      </c>
      <c r="S312" s="851" t="str">
        <f t="shared" si="186"/>
        <v/>
      </c>
      <c r="T312" s="851" t="str">
        <f t="shared" si="186"/>
        <v/>
      </c>
      <c r="U312" s="851" t="str">
        <f t="shared" si="186"/>
        <v/>
      </c>
      <c r="V312" s="851" t="str">
        <f t="shared" si="186"/>
        <v/>
      </c>
      <c r="W312" s="851" t="str">
        <f t="shared" si="186"/>
        <v/>
      </c>
      <c r="X312" s="851" t="str">
        <f t="shared" si="186"/>
        <v/>
      </c>
      <c r="Y312" s="851" t="str">
        <f t="shared" si="186"/>
        <v/>
      </c>
      <c r="Z312" s="851" t="str">
        <f t="shared" si="186"/>
        <v/>
      </c>
      <c r="AA312" s="1224" t="str">
        <f t="shared" si="186"/>
        <v/>
      </c>
      <c r="AB312" s="1226">
        <f t="shared" ref="AB312:AW312" si="187">IF(AB113="","",AB113)+AB346</f>
        <v>0.83835420654332871</v>
      </c>
      <c r="AC312" s="1226">
        <f t="shared" si="187"/>
        <v>0.85918205597739039</v>
      </c>
      <c r="AD312" s="1226">
        <f t="shared" si="187"/>
        <v>0.86425134945565119</v>
      </c>
      <c r="AE312" s="1226">
        <f t="shared" si="187"/>
        <v>0.89595539357329834</v>
      </c>
      <c r="AF312" s="924">
        <f t="shared" si="187"/>
        <v>0.82519500000000001</v>
      </c>
      <c r="AG312" s="924">
        <f t="shared" si="187"/>
        <v>0.82519500000000001</v>
      </c>
      <c r="AH312" s="924">
        <f t="shared" si="187"/>
        <v>0.82519500000000001</v>
      </c>
      <c r="AI312" s="924">
        <f t="shared" si="187"/>
        <v>0.82519500000000001</v>
      </c>
      <c r="AJ312" s="924">
        <f t="shared" si="187"/>
        <v>0.82519500000000001</v>
      </c>
      <c r="AK312" s="924">
        <f t="shared" si="187"/>
        <v>0.82519500000000001</v>
      </c>
      <c r="AL312" s="924">
        <f t="shared" si="187"/>
        <v>0.82519500000000001</v>
      </c>
      <c r="AM312" s="924">
        <f t="shared" si="187"/>
        <v>0.82519500000000001</v>
      </c>
      <c r="AN312" s="924">
        <f t="shared" si="187"/>
        <v>0.82519500000000001</v>
      </c>
      <c r="AO312" s="924">
        <f t="shared" si="187"/>
        <v>0.82519500000000001</v>
      </c>
      <c r="AP312" s="924">
        <f t="shared" si="187"/>
        <v>0.82519500000000001</v>
      </c>
      <c r="AQ312" s="924">
        <f t="shared" si="187"/>
        <v>0.82519500000000001</v>
      </c>
      <c r="AR312" s="924">
        <f t="shared" si="187"/>
        <v>0.82519500000000001</v>
      </c>
      <c r="AS312" s="924">
        <f t="shared" si="187"/>
        <v>0.82519500000000001</v>
      </c>
      <c r="AT312" s="924">
        <f t="shared" si="187"/>
        <v>0.82519500000000001</v>
      </c>
      <c r="AU312" s="924">
        <f t="shared" si="187"/>
        <v>0.82519500000000001</v>
      </c>
      <c r="AV312" s="924">
        <f t="shared" si="187"/>
        <v>0.82519500000000001</v>
      </c>
      <c r="AW312" s="924">
        <f t="shared" si="187"/>
        <v>0.82519500000000001</v>
      </c>
    </row>
    <row r="313" spans="1:49" s="851" customFormat="1" hidden="1" outlineLevel="1">
      <c r="A313" s="851" t="str">
        <f t="shared" ref="A313:AA313" si="188">IF(A114="","",A114)</f>
        <v>Net loans growth</v>
      </c>
      <c r="B313" s="851" t="str">
        <f t="shared" si="188"/>
        <v/>
      </c>
      <c r="C313" s="851" t="str">
        <f t="shared" si="188"/>
        <v/>
      </c>
      <c r="D313" s="851" t="str">
        <f t="shared" si="188"/>
        <v/>
      </c>
      <c r="E313" s="851" t="str">
        <f t="shared" si="188"/>
        <v/>
      </c>
      <c r="F313" s="851" t="str">
        <f t="shared" si="188"/>
        <v/>
      </c>
      <c r="G313" s="851" t="str">
        <f t="shared" si="188"/>
        <v/>
      </c>
      <c r="H313" s="851" t="str">
        <f t="shared" si="188"/>
        <v/>
      </c>
      <c r="I313" s="851" t="str">
        <f t="shared" si="188"/>
        <v/>
      </c>
      <c r="J313" s="851" t="str">
        <f t="shared" si="188"/>
        <v/>
      </c>
      <c r="K313" s="851" t="str">
        <f t="shared" si="188"/>
        <v/>
      </c>
      <c r="L313" s="851" t="str">
        <f t="shared" si="188"/>
        <v/>
      </c>
      <c r="M313" s="851" t="str">
        <f t="shared" si="188"/>
        <v/>
      </c>
      <c r="N313" s="851" t="str">
        <f t="shared" si="188"/>
        <v/>
      </c>
      <c r="O313" s="851" t="str">
        <f t="shared" si="188"/>
        <v/>
      </c>
      <c r="P313" s="851" t="str">
        <f t="shared" si="188"/>
        <v/>
      </c>
      <c r="Q313" s="851" t="str">
        <f t="shared" si="188"/>
        <v/>
      </c>
      <c r="R313" s="851" t="str">
        <f t="shared" si="188"/>
        <v/>
      </c>
      <c r="S313" s="851" t="str">
        <f t="shared" si="188"/>
        <v/>
      </c>
      <c r="T313" s="851" t="str">
        <f t="shared" si="188"/>
        <v/>
      </c>
      <c r="U313" s="851" t="str">
        <f t="shared" si="188"/>
        <v/>
      </c>
      <c r="V313" s="851" t="str">
        <f t="shared" si="188"/>
        <v/>
      </c>
      <c r="W313" s="851" t="str">
        <f t="shared" si="188"/>
        <v/>
      </c>
      <c r="X313" s="851" t="str">
        <f t="shared" si="188"/>
        <v/>
      </c>
      <c r="Y313" s="851" t="str">
        <f t="shared" si="188"/>
        <v/>
      </c>
      <c r="Z313" s="851" t="str">
        <f t="shared" si="188"/>
        <v/>
      </c>
      <c r="AA313" s="1224" t="str">
        <f t="shared" si="188"/>
        <v/>
      </c>
      <c r="AB313" s="1226">
        <f t="shared" ref="AB313:AW313" si="189">IF(AB114="","",AB114)+AB347</f>
        <v>2.2790936605117575E-2</v>
      </c>
      <c r="AC313" s="1226">
        <f t="shared" si="189"/>
        <v>2.2790936605117575E-2</v>
      </c>
      <c r="AD313" s="1226">
        <f t="shared" si="189"/>
        <v>4.3217485170245117E-2</v>
      </c>
      <c r="AE313" s="1226">
        <f t="shared" si="189"/>
        <v>4.3217485170245117E-2</v>
      </c>
      <c r="AF313" s="924">
        <f t="shared" si="189"/>
        <v>4.3217485170245117E-2</v>
      </c>
      <c r="AG313" s="924">
        <f t="shared" si="189"/>
        <v>4.3217485170245117E-2</v>
      </c>
      <c r="AH313" s="924">
        <f t="shared" si="189"/>
        <v>4.5854339247827114E-2</v>
      </c>
      <c r="AI313" s="924">
        <f t="shared" si="189"/>
        <v>4.5854339247827114E-2</v>
      </c>
      <c r="AJ313" s="924">
        <f t="shared" si="189"/>
        <v>4.5854339247827114E-2</v>
      </c>
      <c r="AK313" s="924">
        <f t="shared" si="189"/>
        <v>4.5854339247827114E-2</v>
      </c>
      <c r="AL313" s="924">
        <f t="shared" si="189"/>
        <v>4.662029746011212E-2</v>
      </c>
      <c r="AM313" s="924">
        <f t="shared" si="189"/>
        <v>4.662029746011212E-2</v>
      </c>
      <c r="AN313" s="924">
        <f t="shared" si="189"/>
        <v>4.662029746011212E-2</v>
      </c>
      <c r="AO313" s="924">
        <f t="shared" si="189"/>
        <v>4.662029746011212E-2</v>
      </c>
      <c r="AP313" s="924">
        <f t="shared" si="189"/>
        <v>4.6368090168532473E-2</v>
      </c>
      <c r="AQ313" s="924">
        <f t="shared" si="189"/>
        <v>4.6368090168532473E-2</v>
      </c>
      <c r="AR313" s="924">
        <f t="shared" si="189"/>
        <v>4.6368090168532473E-2</v>
      </c>
      <c r="AS313" s="924">
        <f t="shared" si="189"/>
        <v>4.6368090168532473E-2</v>
      </c>
      <c r="AT313" s="924">
        <f t="shared" si="189"/>
        <v>4.5762900179805041E-2</v>
      </c>
      <c r="AU313" s="924">
        <f t="shared" si="189"/>
        <v>4.5762900179805041E-2</v>
      </c>
      <c r="AV313" s="924">
        <f t="shared" si="189"/>
        <v>4.5762900179805041E-2</v>
      </c>
      <c r="AW313" s="924">
        <f t="shared" si="189"/>
        <v>4.5762900179805041E-2</v>
      </c>
    </row>
    <row r="314" spans="1:49" s="851" customFormat="1" hidden="1" outlineLevel="1">
      <c r="A314" s="851" t="str">
        <f t="shared" ref="A314:AA314" si="190">IF(A115="","",A115)</f>
        <v>Assets under management growth</v>
      </c>
      <c r="B314" s="851" t="str">
        <f t="shared" si="190"/>
        <v/>
      </c>
      <c r="C314" s="851" t="str">
        <f t="shared" si="190"/>
        <v/>
      </c>
      <c r="D314" s="851" t="str">
        <f t="shared" si="190"/>
        <v/>
      </c>
      <c r="E314" s="851" t="str">
        <f t="shared" si="190"/>
        <v/>
      </c>
      <c r="F314" s="851" t="str">
        <f t="shared" si="190"/>
        <v/>
      </c>
      <c r="G314" s="851" t="str">
        <f t="shared" si="190"/>
        <v/>
      </c>
      <c r="H314" s="851" t="str">
        <f t="shared" si="190"/>
        <v/>
      </c>
      <c r="I314" s="851" t="str">
        <f t="shared" si="190"/>
        <v/>
      </c>
      <c r="J314" s="851" t="str">
        <f t="shared" si="190"/>
        <v/>
      </c>
      <c r="K314" s="851" t="str">
        <f t="shared" si="190"/>
        <v/>
      </c>
      <c r="L314" s="851" t="str">
        <f t="shared" si="190"/>
        <v/>
      </c>
      <c r="M314" s="851" t="str">
        <f t="shared" si="190"/>
        <v/>
      </c>
      <c r="N314" s="851" t="str">
        <f t="shared" si="190"/>
        <v/>
      </c>
      <c r="O314" s="851" t="str">
        <f t="shared" si="190"/>
        <v/>
      </c>
      <c r="P314" s="851" t="str">
        <f t="shared" si="190"/>
        <v/>
      </c>
      <c r="Q314" s="851" t="str">
        <f t="shared" si="190"/>
        <v/>
      </c>
      <c r="R314" s="851" t="str">
        <f t="shared" si="190"/>
        <v/>
      </c>
      <c r="S314" s="851" t="str">
        <f t="shared" si="190"/>
        <v/>
      </c>
      <c r="T314" s="851" t="str">
        <f t="shared" si="190"/>
        <v/>
      </c>
      <c r="U314" s="851" t="str">
        <f t="shared" si="190"/>
        <v/>
      </c>
      <c r="V314" s="851" t="str">
        <f t="shared" si="190"/>
        <v/>
      </c>
      <c r="W314" s="851" t="str">
        <f t="shared" si="190"/>
        <v/>
      </c>
      <c r="X314" s="851" t="str">
        <f t="shared" si="190"/>
        <v/>
      </c>
      <c r="Y314" s="851" t="str">
        <f t="shared" si="190"/>
        <v/>
      </c>
      <c r="Z314" s="851" t="str">
        <f t="shared" si="190"/>
        <v/>
      </c>
      <c r="AA314" s="1224" t="str">
        <f t="shared" si="190"/>
        <v/>
      </c>
      <c r="AB314" s="1226">
        <f t="shared" ref="AB314:AW314" si="191">IF(AB115="","",AB115)+AB348</f>
        <v>-1.1939202861508888E-4</v>
      </c>
      <c r="AC314" s="1226">
        <f t="shared" si="191"/>
        <v>-1.1939202861508888E-4</v>
      </c>
      <c r="AD314" s="1226">
        <f t="shared" si="191"/>
        <v>9.8806079713849113E-3</v>
      </c>
      <c r="AE314" s="1226">
        <f t="shared" si="191"/>
        <v>9.8806079713849113E-3</v>
      </c>
      <c r="AF314" s="924">
        <f t="shared" si="191"/>
        <v>9.8806079713849113E-3</v>
      </c>
      <c r="AG314" s="924">
        <f t="shared" si="191"/>
        <v>9.8806079713849113E-3</v>
      </c>
      <c r="AH314" s="924">
        <f t="shared" si="191"/>
        <v>9.8806079713849113E-3</v>
      </c>
      <c r="AI314" s="924">
        <f t="shared" si="191"/>
        <v>9.8806079713849113E-3</v>
      </c>
      <c r="AJ314" s="924">
        <f t="shared" si="191"/>
        <v>9.8806079713849113E-3</v>
      </c>
      <c r="AK314" s="924">
        <f t="shared" si="191"/>
        <v>9.8806079713849113E-3</v>
      </c>
      <c r="AL314" s="924">
        <f t="shared" si="191"/>
        <v>9.8806079713849113E-3</v>
      </c>
      <c r="AM314" s="924">
        <f t="shared" si="191"/>
        <v>9.8806079713849113E-3</v>
      </c>
      <c r="AN314" s="924">
        <f t="shared" si="191"/>
        <v>9.8806079713849113E-3</v>
      </c>
      <c r="AO314" s="924">
        <f t="shared" si="191"/>
        <v>9.8806079713849113E-3</v>
      </c>
      <c r="AP314" s="924">
        <f t="shared" si="191"/>
        <v>9.8806079713849113E-3</v>
      </c>
      <c r="AQ314" s="924">
        <f t="shared" si="191"/>
        <v>9.8806079713849113E-3</v>
      </c>
      <c r="AR314" s="924">
        <f t="shared" si="191"/>
        <v>9.8806079713849113E-3</v>
      </c>
      <c r="AS314" s="924">
        <f t="shared" si="191"/>
        <v>9.8806079713849113E-3</v>
      </c>
      <c r="AT314" s="924">
        <f t="shared" si="191"/>
        <v>9.8806079713849113E-3</v>
      </c>
      <c r="AU314" s="924">
        <f t="shared" si="191"/>
        <v>9.8806079713849113E-3</v>
      </c>
      <c r="AV314" s="924">
        <f t="shared" si="191"/>
        <v>9.8806079713849113E-3</v>
      </c>
      <c r="AW314" s="924">
        <f t="shared" si="191"/>
        <v>9.8806079713849113E-3</v>
      </c>
    </row>
    <row r="315" spans="1:49" s="851" customFormat="1" hidden="1" outlineLevel="1">
      <c r="A315" s="851" t="str">
        <f t="shared" ref="A315:AA315" si="192">IF(A116="","",A116)</f>
        <v/>
      </c>
      <c r="B315" s="851" t="str">
        <f t="shared" si="192"/>
        <v/>
      </c>
      <c r="C315" s="851" t="str">
        <f t="shared" si="192"/>
        <v/>
      </c>
      <c r="D315" s="851" t="str">
        <f t="shared" si="192"/>
        <v/>
      </c>
      <c r="E315" s="851" t="str">
        <f t="shared" si="192"/>
        <v/>
      </c>
      <c r="F315" s="851" t="str">
        <f t="shared" si="192"/>
        <v/>
      </c>
      <c r="G315" s="851" t="str">
        <f t="shared" si="192"/>
        <v/>
      </c>
      <c r="H315" s="851" t="str">
        <f t="shared" si="192"/>
        <v/>
      </c>
      <c r="I315" s="851" t="str">
        <f t="shared" si="192"/>
        <v/>
      </c>
      <c r="J315" s="851" t="str">
        <f t="shared" si="192"/>
        <v/>
      </c>
      <c r="K315" s="851" t="str">
        <f t="shared" si="192"/>
        <v/>
      </c>
      <c r="L315" s="851" t="str">
        <f t="shared" si="192"/>
        <v/>
      </c>
      <c r="M315" s="851" t="str">
        <f t="shared" si="192"/>
        <v/>
      </c>
      <c r="N315" s="851" t="str">
        <f t="shared" si="192"/>
        <v/>
      </c>
      <c r="O315" s="851" t="str">
        <f t="shared" si="192"/>
        <v/>
      </c>
      <c r="P315" s="851" t="str">
        <f t="shared" si="192"/>
        <v/>
      </c>
      <c r="Q315" s="851" t="str">
        <f t="shared" si="192"/>
        <v/>
      </c>
      <c r="R315" s="851" t="str">
        <f t="shared" si="192"/>
        <v/>
      </c>
      <c r="S315" s="851" t="str">
        <f t="shared" si="192"/>
        <v/>
      </c>
      <c r="T315" s="851" t="str">
        <f t="shared" si="192"/>
        <v/>
      </c>
      <c r="U315" s="851" t="str">
        <f t="shared" si="192"/>
        <v/>
      </c>
      <c r="V315" s="851" t="str">
        <f t="shared" si="192"/>
        <v/>
      </c>
      <c r="W315" s="851" t="str">
        <f t="shared" si="192"/>
        <v/>
      </c>
      <c r="X315" s="851" t="str">
        <f t="shared" si="192"/>
        <v/>
      </c>
      <c r="Y315" s="851" t="str">
        <f t="shared" si="192"/>
        <v/>
      </c>
      <c r="Z315" s="851" t="str">
        <f t="shared" si="192"/>
        <v/>
      </c>
      <c r="AA315" s="1224" t="str">
        <f t="shared" si="192"/>
        <v/>
      </c>
      <c r="AB315" s="1224" t="str">
        <f t="shared" ref="AB315:AW315" si="193">IF(AB116="","",AB116)</f>
        <v/>
      </c>
      <c r="AC315" s="1224" t="str">
        <f t="shared" si="193"/>
        <v/>
      </c>
      <c r="AD315" s="1224" t="str">
        <f t="shared" si="193"/>
        <v/>
      </c>
      <c r="AE315" s="1224" t="str">
        <f t="shared" si="193"/>
        <v/>
      </c>
      <c r="AF315" s="18" t="str">
        <f t="shared" si="193"/>
        <v/>
      </c>
      <c r="AG315" s="18" t="str">
        <f t="shared" si="193"/>
        <v/>
      </c>
      <c r="AH315" s="18" t="str">
        <f t="shared" si="193"/>
        <v/>
      </c>
      <c r="AI315" s="18" t="str">
        <f t="shared" si="193"/>
        <v/>
      </c>
      <c r="AJ315" s="18" t="str">
        <f t="shared" si="193"/>
        <v/>
      </c>
      <c r="AK315" s="18" t="str">
        <f t="shared" si="193"/>
        <v/>
      </c>
      <c r="AL315" s="18" t="str">
        <f t="shared" si="193"/>
        <v/>
      </c>
      <c r="AM315" s="18" t="str">
        <f t="shared" si="193"/>
        <v/>
      </c>
      <c r="AN315" s="18" t="str">
        <f t="shared" si="193"/>
        <v/>
      </c>
      <c r="AO315" s="18" t="str">
        <f t="shared" si="193"/>
        <v/>
      </c>
      <c r="AP315" s="18" t="str">
        <f t="shared" si="193"/>
        <v/>
      </c>
      <c r="AQ315" s="18" t="str">
        <f t="shared" si="193"/>
        <v/>
      </c>
      <c r="AR315" s="18" t="str">
        <f t="shared" si="193"/>
        <v/>
      </c>
      <c r="AS315" s="18" t="str">
        <f t="shared" si="193"/>
        <v/>
      </c>
      <c r="AT315" s="18" t="str">
        <f t="shared" si="193"/>
        <v/>
      </c>
      <c r="AU315" s="18" t="str">
        <f t="shared" si="193"/>
        <v/>
      </c>
      <c r="AV315" s="18" t="str">
        <f t="shared" si="193"/>
        <v/>
      </c>
      <c r="AW315" s="18" t="str">
        <f t="shared" si="193"/>
        <v/>
      </c>
    </row>
    <row r="316" spans="1:49" s="851" customFormat="1" hidden="1" outlineLevel="1">
      <c r="A316" s="2" t="str">
        <f t="shared" ref="A316:AA316" si="194">IF(A117="","",A117)</f>
        <v>Global Markets</v>
      </c>
      <c r="B316" s="851" t="str">
        <f t="shared" si="194"/>
        <v/>
      </c>
      <c r="C316" s="851" t="str">
        <f t="shared" si="194"/>
        <v/>
      </c>
      <c r="D316" s="851" t="str">
        <f t="shared" si="194"/>
        <v/>
      </c>
      <c r="E316" s="851" t="str">
        <f t="shared" si="194"/>
        <v/>
      </c>
      <c r="F316" s="851" t="str">
        <f t="shared" si="194"/>
        <v/>
      </c>
      <c r="G316" s="851" t="str">
        <f t="shared" si="194"/>
        <v/>
      </c>
      <c r="H316" s="851" t="str">
        <f t="shared" si="194"/>
        <v/>
      </c>
      <c r="I316" s="851" t="str">
        <f t="shared" si="194"/>
        <v/>
      </c>
      <c r="J316" s="851" t="str">
        <f t="shared" si="194"/>
        <v/>
      </c>
      <c r="K316" s="851" t="str">
        <f t="shared" si="194"/>
        <v/>
      </c>
      <c r="L316" s="851" t="str">
        <f t="shared" si="194"/>
        <v/>
      </c>
      <c r="M316" s="851" t="str">
        <f t="shared" si="194"/>
        <v/>
      </c>
      <c r="N316" s="851" t="str">
        <f t="shared" si="194"/>
        <v/>
      </c>
      <c r="O316" s="851" t="str">
        <f t="shared" si="194"/>
        <v/>
      </c>
      <c r="P316" s="851" t="str">
        <f t="shared" si="194"/>
        <v/>
      </c>
      <c r="Q316" s="851" t="str">
        <f t="shared" si="194"/>
        <v/>
      </c>
      <c r="R316" s="851" t="str">
        <f t="shared" si="194"/>
        <v/>
      </c>
      <c r="S316" s="851" t="str">
        <f t="shared" si="194"/>
        <v/>
      </c>
      <c r="T316" s="851" t="str">
        <f t="shared" si="194"/>
        <v/>
      </c>
      <c r="U316" s="851" t="str">
        <f t="shared" si="194"/>
        <v/>
      </c>
      <c r="V316" s="851" t="str">
        <f t="shared" si="194"/>
        <v/>
      </c>
      <c r="W316" s="851" t="str">
        <f t="shared" si="194"/>
        <v/>
      </c>
      <c r="X316" s="851" t="str">
        <f t="shared" si="194"/>
        <v/>
      </c>
      <c r="Y316" s="851" t="str">
        <f t="shared" si="194"/>
        <v/>
      </c>
      <c r="Z316" s="851" t="str">
        <f t="shared" si="194"/>
        <v/>
      </c>
      <c r="AA316" s="1224" t="str">
        <f t="shared" si="194"/>
        <v/>
      </c>
      <c r="AB316" s="1224" t="str">
        <f t="shared" ref="AB316:AW316" si="195">IF(AB117="","",AB117)</f>
        <v/>
      </c>
      <c r="AC316" s="1224" t="str">
        <f t="shared" si="195"/>
        <v/>
      </c>
      <c r="AD316" s="1224" t="str">
        <f t="shared" si="195"/>
        <v/>
      </c>
      <c r="AE316" s="1224" t="str">
        <f t="shared" si="195"/>
        <v/>
      </c>
      <c r="AF316" s="18" t="str">
        <f t="shared" si="195"/>
        <v/>
      </c>
      <c r="AG316" s="18" t="str">
        <f t="shared" si="195"/>
        <v/>
      </c>
      <c r="AH316" s="18" t="str">
        <f t="shared" si="195"/>
        <v/>
      </c>
      <c r="AI316" s="18" t="str">
        <f t="shared" si="195"/>
        <v/>
      </c>
      <c r="AJ316" s="18" t="str">
        <f t="shared" si="195"/>
        <v/>
      </c>
      <c r="AK316" s="18" t="str">
        <f t="shared" si="195"/>
        <v/>
      </c>
      <c r="AL316" s="18" t="str">
        <f t="shared" si="195"/>
        <v/>
      </c>
      <c r="AM316" s="18" t="str">
        <f t="shared" si="195"/>
        <v/>
      </c>
      <c r="AN316" s="18" t="str">
        <f t="shared" si="195"/>
        <v/>
      </c>
      <c r="AO316" s="18" t="str">
        <f t="shared" si="195"/>
        <v/>
      </c>
      <c r="AP316" s="18" t="str">
        <f t="shared" si="195"/>
        <v/>
      </c>
      <c r="AQ316" s="18" t="str">
        <f t="shared" si="195"/>
        <v/>
      </c>
      <c r="AR316" s="18" t="str">
        <f t="shared" si="195"/>
        <v/>
      </c>
      <c r="AS316" s="18" t="str">
        <f t="shared" si="195"/>
        <v/>
      </c>
      <c r="AT316" s="18" t="str">
        <f t="shared" si="195"/>
        <v/>
      </c>
      <c r="AU316" s="18" t="str">
        <f t="shared" si="195"/>
        <v/>
      </c>
      <c r="AV316" s="18" t="str">
        <f t="shared" si="195"/>
        <v/>
      </c>
      <c r="AW316" s="18" t="str">
        <f t="shared" si="195"/>
        <v/>
      </c>
    </row>
    <row r="317" spans="1:49" s="851" customFormat="1" hidden="1" outlineLevel="1">
      <c r="A317" s="851" t="str">
        <f t="shared" ref="A317:AA317" si="196">IF(A118="","",A118)</f>
        <v>Net revenue growth</v>
      </c>
      <c r="B317" s="851" t="str">
        <f t="shared" si="196"/>
        <v/>
      </c>
      <c r="C317" s="851" t="str">
        <f t="shared" si="196"/>
        <v/>
      </c>
      <c r="D317" s="851" t="str">
        <f t="shared" si="196"/>
        <v/>
      </c>
      <c r="E317" s="851" t="str">
        <f t="shared" si="196"/>
        <v/>
      </c>
      <c r="F317" s="851" t="str">
        <f t="shared" si="196"/>
        <v/>
      </c>
      <c r="G317" s="851" t="str">
        <f t="shared" si="196"/>
        <v/>
      </c>
      <c r="H317" s="851" t="str">
        <f t="shared" si="196"/>
        <v/>
      </c>
      <c r="I317" s="851" t="str">
        <f t="shared" si="196"/>
        <v/>
      </c>
      <c r="J317" s="851" t="str">
        <f t="shared" si="196"/>
        <v/>
      </c>
      <c r="K317" s="851" t="str">
        <f t="shared" si="196"/>
        <v/>
      </c>
      <c r="L317" s="851" t="str">
        <f t="shared" si="196"/>
        <v/>
      </c>
      <c r="M317" s="851" t="str">
        <f t="shared" si="196"/>
        <v/>
      </c>
      <c r="N317" s="851" t="str">
        <f t="shared" si="196"/>
        <v/>
      </c>
      <c r="O317" s="851" t="str">
        <f t="shared" si="196"/>
        <v/>
      </c>
      <c r="P317" s="851" t="str">
        <f t="shared" si="196"/>
        <v/>
      </c>
      <c r="Q317" s="851" t="str">
        <f t="shared" si="196"/>
        <v/>
      </c>
      <c r="R317" s="851" t="str">
        <f t="shared" si="196"/>
        <v/>
      </c>
      <c r="S317" s="851" t="str">
        <f t="shared" si="196"/>
        <v/>
      </c>
      <c r="T317" s="851" t="str">
        <f t="shared" si="196"/>
        <v/>
      </c>
      <c r="U317" s="851" t="str">
        <f t="shared" si="196"/>
        <v/>
      </c>
      <c r="V317" s="851" t="str">
        <f t="shared" si="196"/>
        <v/>
      </c>
      <c r="W317" s="851" t="str">
        <f t="shared" si="196"/>
        <v/>
      </c>
      <c r="X317" s="851" t="str">
        <f t="shared" si="196"/>
        <v/>
      </c>
      <c r="Y317" s="851" t="str">
        <f t="shared" si="196"/>
        <v/>
      </c>
      <c r="Z317" s="851" t="str">
        <f t="shared" si="196"/>
        <v/>
      </c>
      <c r="AA317" s="1224" t="str">
        <f t="shared" si="196"/>
        <v/>
      </c>
      <c r="AB317" s="1226">
        <f t="shared" ref="AB317:AW317" si="197">IF(AB118="","",AB118)+AB351</f>
        <v>-4.3181703801814686E-2</v>
      </c>
      <c r="AC317" s="1226">
        <f t="shared" si="197"/>
        <v>-4.3181703801814686E-2</v>
      </c>
      <c r="AD317" s="1226">
        <f t="shared" si="197"/>
        <v>-3.3181703801814691E-2</v>
      </c>
      <c r="AE317" s="1226">
        <f t="shared" si="197"/>
        <v>-3.3181703801814691E-2</v>
      </c>
      <c r="AF317" s="924">
        <f t="shared" si="197"/>
        <v>-2.5169947119837548E-2</v>
      </c>
      <c r="AG317" s="924">
        <f t="shared" si="197"/>
        <v>-2.5169947119837548E-2</v>
      </c>
      <c r="AH317" s="924">
        <f t="shared" si="197"/>
        <v>-2.5169947119837548E-2</v>
      </c>
      <c r="AI317" s="924">
        <f t="shared" si="197"/>
        <v>-2.5169947119837548E-2</v>
      </c>
      <c r="AJ317" s="924">
        <f t="shared" si="197"/>
        <v>-2.5169947119837548E-2</v>
      </c>
      <c r="AK317" s="924">
        <f t="shared" si="197"/>
        <v>-2.5169947119837548E-2</v>
      </c>
      <c r="AL317" s="924">
        <f t="shared" si="197"/>
        <v>-2.5169947119837548E-2</v>
      </c>
      <c r="AM317" s="924">
        <f t="shared" si="197"/>
        <v>-2.5169947119837548E-2</v>
      </c>
      <c r="AN317" s="924">
        <f t="shared" si="197"/>
        <v>-2.5169947119837548E-2</v>
      </c>
      <c r="AO317" s="924">
        <f t="shared" si="197"/>
        <v>-2.5169947119837548E-2</v>
      </c>
      <c r="AP317" s="924">
        <f t="shared" si="197"/>
        <v>-2.5169947119837548E-2</v>
      </c>
      <c r="AQ317" s="924">
        <f t="shared" si="197"/>
        <v>-2.5169947119837548E-2</v>
      </c>
      <c r="AR317" s="924">
        <f t="shared" si="197"/>
        <v>-2.5169947119837548E-2</v>
      </c>
      <c r="AS317" s="924">
        <f t="shared" si="197"/>
        <v>-2.5169947119837548E-2</v>
      </c>
      <c r="AT317" s="924">
        <f t="shared" si="197"/>
        <v>-2.5169947119837548E-2</v>
      </c>
      <c r="AU317" s="924">
        <f t="shared" si="197"/>
        <v>-2.5169947119837548E-2</v>
      </c>
      <c r="AV317" s="924">
        <f t="shared" si="197"/>
        <v>-2.5169947119837548E-2</v>
      </c>
      <c r="AW317" s="924">
        <f t="shared" si="197"/>
        <v>-2.5169947119837548E-2</v>
      </c>
    </row>
    <row r="318" spans="1:49" s="851" customFormat="1" hidden="1" outlineLevel="1">
      <c r="A318" s="851" t="str">
        <f t="shared" ref="A318:AA318" si="198">IF(A120="","",A120)</f>
        <v>Cost/income ratio</v>
      </c>
      <c r="B318" s="851" t="str">
        <f t="shared" si="198"/>
        <v/>
      </c>
      <c r="C318" s="851" t="str">
        <f t="shared" si="198"/>
        <v/>
      </c>
      <c r="D318" s="851" t="str">
        <f t="shared" si="198"/>
        <v/>
      </c>
      <c r="E318" s="851" t="str">
        <f t="shared" si="198"/>
        <v/>
      </c>
      <c r="F318" s="851" t="str">
        <f t="shared" si="198"/>
        <v/>
      </c>
      <c r="G318" s="851" t="str">
        <f t="shared" si="198"/>
        <v/>
      </c>
      <c r="H318" s="851" t="str">
        <f t="shared" si="198"/>
        <v/>
      </c>
      <c r="I318" s="851" t="str">
        <f t="shared" si="198"/>
        <v/>
      </c>
      <c r="J318" s="851" t="str">
        <f t="shared" si="198"/>
        <v/>
      </c>
      <c r="K318" s="851" t="str">
        <f t="shared" si="198"/>
        <v/>
      </c>
      <c r="L318" s="851" t="str">
        <f t="shared" si="198"/>
        <v/>
      </c>
      <c r="M318" s="851" t="str">
        <f t="shared" si="198"/>
        <v/>
      </c>
      <c r="N318" s="851" t="str">
        <f t="shared" si="198"/>
        <v/>
      </c>
      <c r="O318" s="851" t="str">
        <f t="shared" si="198"/>
        <v/>
      </c>
      <c r="P318" s="851" t="str">
        <f t="shared" si="198"/>
        <v/>
      </c>
      <c r="Q318" s="851" t="str">
        <f t="shared" si="198"/>
        <v/>
      </c>
      <c r="R318" s="851" t="str">
        <f t="shared" si="198"/>
        <v/>
      </c>
      <c r="S318" s="851" t="str">
        <f t="shared" si="198"/>
        <v/>
      </c>
      <c r="T318" s="851" t="str">
        <f t="shared" si="198"/>
        <v/>
      </c>
      <c r="U318" s="851" t="str">
        <f t="shared" si="198"/>
        <v/>
      </c>
      <c r="V318" s="851" t="str">
        <f t="shared" si="198"/>
        <v/>
      </c>
      <c r="W318" s="851" t="str">
        <f t="shared" si="198"/>
        <v/>
      </c>
      <c r="X318" s="851" t="str">
        <f t="shared" si="198"/>
        <v/>
      </c>
      <c r="Y318" s="851" t="str">
        <f t="shared" si="198"/>
        <v/>
      </c>
      <c r="Z318" s="851" t="str">
        <f t="shared" si="198"/>
        <v/>
      </c>
      <c r="AA318" s="1224" t="str">
        <f t="shared" si="198"/>
        <v/>
      </c>
      <c r="AB318" s="1226">
        <f t="shared" ref="AB318:AW318" si="199">IF(AB120="","",AB120)+AB352</f>
        <v>0.82292046596524937</v>
      </c>
      <c r="AC318" s="1226">
        <f t="shared" si="199"/>
        <v>0.87026171724746193</v>
      </c>
      <c r="AD318" s="1226">
        <f t="shared" si="199"/>
        <v>0.92776175341673039</v>
      </c>
      <c r="AE318" s="1226">
        <f t="shared" si="199"/>
        <v>0.92776175341673039</v>
      </c>
      <c r="AF318" s="924">
        <f t="shared" si="199"/>
        <v>0.92652000000000012</v>
      </c>
      <c r="AG318" s="924">
        <f t="shared" si="199"/>
        <v>0.92210800000000015</v>
      </c>
      <c r="AH318" s="924">
        <f t="shared" si="199"/>
        <v>0.91771806000000011</v>
      </c>
      <c r="AI318" s="924">
        <f t="shared" si="199"/>
        <v>0.9133500697000001</v>
      </c>
      <c r="AJ318" s="924">
        <f t="shared" si="199"/>
        <v>0.90900391935150004</v>
      </c>
      <c r="AK318" s="924">
        <f t="shared" si="199"/>
        <v>0.90467949975474249</v>
      </c>
      <c r="AL318" s="924">
        <f t="shared" si="199"/>
        <v>0.90037670225596877</v>
      </c>
      <c r="AM318" s="924">
        <f t="shared" si="199"/>
        <v>0.8960954187446889</v>
      </c>
      <c r="AN318" s="924">
        <f t="shared" si="199"/>
        <v>0.89183554165096546</v>
      </c>
      <c r="AO318" s="924">
        <f t="shared" si="199"/>
        <v>0.88759696394271059</v>
      </c>
      <c r="AP318" s="924">
        <f t="shared" si="199"/>
        <v>0.88337957912299703</v>
      </c>
      <c r="AQ318" s="924">
        <f t="shared" si="199"/>
        <v>0.87918328122738199</v>
      </c>
      <c r="AR318" s="924">
        <f t="shared" si="199"/>
        <v>0.8750079648212451</v>
      </c>
      <c r="AS318" s="924">
        <f t="shared" si="199"/>
        <v>0.87085352499713886</v>
      </c>
      <c r="AT318" s="924">
        <f t="shared" si="199"/>
        <v>0.86671985737215318</v>
      </c>
      <c r="AU318" s="924">
        <f t="shared" si="199"/>
        <v>0.86260685808529236</v>
      </c>
      <c r="AV318" s="924">
        <f t="shared" si="199"/>
        <v>0.85851442379486587</v>
      </c>
      <c r="AW318" s="924">
        <f t="shared" si="199"/>
        <v>0.8544424516758915</v>
      </c>
    </row>
    <row r="319" spans="1:49" hidden="1" outlineLevel="1">
      <c r="AW319" s="18"/>
    </row>
    <row r="320" spans="1:49" s="851" customFormat="1" hidden="1" outlineLevel="1">
      <c r="A320" s="851" t="str">
        <f t="shared" ref="A320:AF320" si="200">IF(A122="","",A122)</f>
        <v/>
      </c>
      <c r="B320" s="851" t="str">
        <f t="shared" si="200"/>
        <v/>
      </c>
      <c r="C320" s="851" t="str">
        <f t="shared" si="200"/>
        <v/>
      </c>
      <c r="D320" s="851" t="str">
        <f t="shared" si="200"/>
        <v/>
      </c>
      <c r="E320" s="851" t="str">
        <f t="shared" si="200"/>
        <v/>
      </c>
      <c r="F320" s="851" t="str">
        <f t="shared" si="200"/>
        <v/>
      </c>
      <c r="G320" s="851" t="str">
        <f t="shared" si="200"/>
        <v/>
      </c>
      <c r="H320" s="851" t="str">
        <f t="shared" si="200"/>
        <v/>
      </c>
      <c r="I320" s="851" t="str">
        <f t="shared" si="200"/>
        <v/>
      </c>
      <c r="J320" s="851" t="str">
        <f t="shared" si="200"/>
        <v/>
      </c>
      <c r="K320" s="851" t="str">
        <f t="shared" si="200"/>
        <v/>
      </c>
      <c r="L320" s="851" t="str">
        <f t="shared" si="200"/>
        <v/>
      </c>
      <c r="M320" s="851" t="str">
        <f t="shared" si="200"/>
        <v/>
      </c>
      <c r="N320" s="851" t="str">
        <f t="shared" si="200"/>
        <v/>
      </c>
      <c r="O320" s="851" t="str">
        <f t="shared" si="200"/>
        <v/>
      </c>
      <c r="P320" s="851" t="str">
        <f t="shared" si="200"/>
        <v/>
      </c>
      <c r="Q320" s="851" t="str">
        <f t="shared" si="200"/>
        <v/>
      </c>
      <c r="R320" s="851" t="str">
        <f t="shared" si="200"/>
        <v/>
      </c>
      <c r="S320" s="851" t="str">
        <f t="shared" si="200"/>
        <v/>
      </c>
      <c r="T320" s="851" t="str">
        <f t="shared" si="200"/>
        <v/>
      </c>
      <c r="U320" s="851" t="str">
        <f t="shared" si="200"/>
        <v/>
      </c>
      <c r="V320" s="851" t="str">
        <f t="shared" si="200"/>
        <v/>
      </c>
      <c r="W320" s="851" t="str">
        <f t="shared" si="200"/>
        <v/>
      </c>
      <c r="X320" s="851" t="str">
        <f t="shared" si="200"/>
        <v/>
      </c>
      <c r="Y320" s="851" t="str">
        <f t="shared" si="200"/>
        <v/>
      </c>
      <c r="Z320" s="851" t="str">
        <f t="shared" si="200"/>
        <v/>
      </c>
      <c r="AA320" s="1224" t="str">
        <f t="shared" si="200"/>
        <v/>
      </c>
      <c r="AB320" s="1224" t="str">
        <f t="shared" si="200"/>
        <v/>
      </c>
      <c r="AC320" s="1224" t="str">
        <f t="shared" si="200"/>
        <v/>
      </c>
      <c r="AD320" s="1224" t="str">
        <f t="shared" si="200"/>
        <v/>
      </c>
      <c r="AE320" s="1224" t="str">
        <f t="shared" si="200"/>
        <v/>
      </c>
      <c r="AF320" s="18" t="str">
        <f t="shared" si="200"/>
        <v/>
      </c>
      <c r="AG320" s="18" t="str">
        <f t="shared" ref="AG320:AW320" si="201">IF(AG122="","",AG122)</f>
        <v/>
      </c>
      <c r="AH320" s="18" t="str">
        <f t="shared" si="201"/>
        <v/>
      </c>
      <c r="AI320" s="18" t="str">
        <f t="shared" si="201"/>
        <v/>
      </c>
      <c r="AJ320" s="18" t="str">
        <f t="shared" si="201"/>
        <v/>
      </c>
      <c r="AK320" s="18" t="str">
        <f t="shared" si="201"/>
        <v/>
      </c>
      <c r="AL320" s="18" t="str">
        <f t="shared" si="201"/>
        <v/>
      </c>
      <c r="AM320" s="18" t="str">
        <f t="shared" si="201"/>
        <v/>
      </c>
      <c r="AN320" s="18" t="str">
        <f t="shared" si="201"/>
        <v/>
      </c>
      <c r="AO320" s="18" t="str">
        <f t="shared" si="201"/>
        <v/>
      </c>
      <c r="AP320" s="18" t="str">
        <f t="shared" si="201"/>
        <v/>
      </c>
      <c r="AQ320" s="18" t="str">
        <f t="shared" si="201"/>
        <v/>
      </c>
      <c r="AR320" s="18" t="str">
        <f t="shared" si="201"/>
        <v/>
      </c>
      <c r="AS320" s="18" t="str">
        <f t="shared" si="201"/>
        <v/>
      </c>
      <c r="AT320" s="18" t="str">
        <f t="shared" si="201"/>
        <v/>
      </c>
      <c r="AU320" s="18" t="str">
        <f t="shared" si="201"/>
        <v/>
      </c>
      <c r="AV320" s="18" t="str">
        <f t="shared" si="201"/>
        <v/>
      </c>
      <c r="AW320" s="18" t="str">
        <f t="shared" si="201"/>
        <v/>
      </c>
    </row>
    <row r="321" spans="1:49" s="851" customFormat="1" hidden="1" outlineLevel="1">
      <c r="A321" s="2" t="str">
        <f t="shared" ref="A321:AF321" si="202">IF(A123="","",A123)</f>
        <v>Investment Banking &amp; Capital Markets</v>
      </c>
      <c r="B321" s="851" t="str">
        <f t="shared" si="202"/>
        <v/>
      </c>
      <c r="C321" s="851" t="str">
        <f t="shared" si="202"/>
        <v/>
      </c>
      <c r="D321" s="851" t="str">
        <f t="shared" si="202"/>
        <v/>
      </c>
      <c r="E321" s="851" t="str">
        <f t="shared" si="202"/>
        <v/>
      </c>
      <c r="F321" s="851" t="str">
        <f t="shared" si="202"/>
        <v/>
      </c>
      <c r="G321" s="851" t="str">
        <f t="shared" si="202"/>
        <v/>
      </c>
      <c r="H321" s="851" t="str">
        <f t="shared" si="202"/>
        <v/>
      </c>
      <c r="I321" s="851" t="str">
        <f t="shared" si="202"/>
        <v/>
      </c>
      <c r="J321" s="851" t="str">
        <f t="shared" si="202"/>
        <v/>
      </c>
      <c r="K321" s="851" t="str">
        <f t="shared" si="202"/>
        <v/>
      </c>
      <c r="L321" s="851" t="str">
        <f t="shared" si="202"/>
        <v/>
      </c>
      <c r="M321" s="851" t="str">
        <f t="shared" si="202"/>
        <v/>
      </c>
      <c r="N321" s="851" t="str">
        <f t="shared" si="202"/>
        <v/>
      </c>
      <c r="O321" s="851" t="str">
        <f t="shared" si="202"/>
        <v/>
      </c>
      <c r="P321" s="851" t="str">
        <f t="shared" si="202"/>
        <v/>
      </c>
      <c r="Q321" s="851" t="str">
        <f t="shared" si="202"/>
        <v/>
      </c>
      <c r="R321" s="851" t="str">
        <f t="shared" si="202"/>
        <v/>
      </c>
      <c r="S321" s="851" t="str">
        <f t="shared" si="202"/>
        <v/>
      </c>
      <c r="T321" s="851" t="str">
        <f t="shared" si="202"/>
        <v/>
      </c>
      <c r="U321" s="851" t="str">
        <f t="shared" si="202"/>
        <v/>
      </c>
      <c r="V321" s="851" t="str">
        <f t="shared" si="202"/>
        <v/>
      </c>
      <c r="W321" s="851" t="str">
        <f t="shared" si="202"/>
        <v/>
      </c>
      <c r="X321" s="851" t="str">
        <f t="shared" si="202"/>
        <v/>
      </c>
      <c r="Y321" s="851" t="str">
        <f t="shared" si="202"/>
        <v/>
      </c>
      <c r="Z321" s="851" t="str">
        <f t="shared" si="202"/>
        <v/>
      </c>
      <c r="AA321" s="1224" t="str">
        <f t="shared" si="202"/>
        <v/>
      </c>
      <c r="AB321" s="1224" t="str">
        <f t="shared" si="202"/>
        <v/>
      </c>
      <c r="AC321" s="1224" t="str">
        <f t="shared" si="202"/>
        <v/>
      </c>
      <c r="AD321" s="1224" t="str">
        <f t="shared" si="202"/>
        <v/>
      </c>
      <c r="AE321" s="1224" t="str">
        <f t="shared" si="202"/>
        <v/>
      </c>
      <c r="AF321" s="18" t="str">
        <f t="shared" si="202"/>
        <v/>
      </c>
      <c r="AG321" s="18" t="str">
        <f t="shared" ref="AG321:AW321" si="203">IF(AG123="","",AG123)</f>
        <v/>
      </c>
      <c r="AH321" s="18" t="str">
        <f t="shared" si="203"/>
        <v/>
      </c>
      <c r="AI321" s="18" t="str">
        <f t="shared" si="203"/>
        <v/>
      </c>
      <c r="AJ321" s="18" t="str">
        <f t="shared" si="203"/>
        <v/>
      </c>
      <c r="AK321" s="18" t="str">
        <f t="shared" si="203"/>
        <v/>
      </c>
      <c r="AL321" s="18" t="str">
        <f t="shared" si="203"/>
        <v/>
      </c>
      <c r="AM321" s="18" t="str">
        <f t="shared" si="203"/>
        <v/>
      </c>
      <c r="AN321" s="18" t="str">
        <f t="shared" si="203"/>
        <v/>
      </c>
      <c r="AO321" s="18" t="str">
        <f t="shared" si="203"/>
        <v/>
      </c>
      <c r="AP321" s="18" t="str">
        <f t="shared" si="203"/>
        <v/>
      </c>
      <c r="AQ321" s="18" t="str">
        <f t="shared" si="203"/>
        <v/>
      </c>
      <c r="AR321" s="18" t="str">
        <f t="shared" si="203"/>
        <v/>
      </c>
      <c r="AS321" s="18" t="str">
        <f t="shared" si="203"/>
        <v/>
      </c>
      <c r="AT321" s="18" t="str">
        <f t="shared" si="203"/>
        <v/>
      </c>
      <c r="AU321" s="18" t="str">
        <f t="shared" si="203"/>
        <v/>
      </c>
      <c r="AV321" s="18" t="str">
        <f t="shared" si="203"/>
        <v/>
      </c>
      <c r="AW321" s="18" t="str">
        <f t="shared" si="203"/>
        <v/>
      </c>
    </row>
    <row r="322" spans="1:49" s="851" customFormat="1" hidden="1" outlineLevel="1">
      <c r="A322" s="851" t="str">
        <f t="shared" ref="A322:AA322" si="204">IF(A126="","",A126)</f>
        <v>Cost/income ratio</v>
      </c>
      <c r="B322" s="851" t="str">
        <f t="shared" si="204"/>
        <v/>
      </c>
      <c r="C322" s="851" t="str">
        <f t="shared" si="204"/>
        <v/>
      </c>
      <c r="D322" s="851" t="str">
        <f t="shared" si="204"/>
        <v/>
      </c>
      <c r="E322" s="851" t="str">
        <f t="shared" si="204"/>
        <v/>
      </c>
      <c r="F322" s="851" t="str">
        <f t="shared" si="204"/>
        <v/>
      </c>
      <c r="G322" s="851" t="str">
        <f t="shared" si="204"/>
        <v/>
      </c>
      <c r="H322" s="851" t="str">
        <f t="shared" si="204"/>
        <v/>
      </c>
      <c r="I322" s="851" t="str">
        <f t="shared" si="204"/>
        <v/>
      </c>
      <c r="J322" s="851" t="str">
        <f t="shared" si="204"/>
        <v/>
      </c>
      <c r="K322" s="851" t="str">
        <f t="shared" si="204"/>
        <v/>
      </c>
      <c r="L322" s="851" t="str">
        <f t="shared" si="204"/>
        <v/>
      </c>
      <c r="M322" s="851" t="str">
        <f t="shared" si="204"/>
        <v/>
      </c>
      <c r="N322" s="851" t="str">
        <f t="shared" si="204"/>
        <v/>
      </c>
      <c r="O322" s="851" t="str">
        <f t="shared" si="204"/>
        <v/>
      </c>
      <c r="P322" s="851" t="str">
        <f t="shared" si="204"/>
        <v/>
      </c>
      <c r="Q322" s="851" t="str">
        <f t="shared" si="204"/>
        <v/>
      </c>
      <c r="R322" s="851" t="str">
        <f t="shared" si="204"/>
        <v/>
      </c>
      <c r="S322" s="851" t="str">
        <f t="shared" si="204"/>
        <v/>
      </c>
      <c r="T322" s="851" t="str">
        <f t="shared" si="204"/>
        <v/>
      </c>
      <c r="U322" s="851" t="str">
        <f t="shared" si="204"/>
        <v/>
      </c>
      <c r="V322" s="851" t="str">
        <f t="shared" si="204"/>
        <v/>
      </c>
      <c r="W322" s="851" t="str">
        <f t="shared" si="204"/>
        <v/>
      </c>
      <c r="X322" s="851" t="str">
        <f t="shared" si="204"/>
        <v/>
      </c>
      <c r="Y322" s="851" t="str">
        <f t="shared" si="204"/>
        <v/>
      </c>
      <c r="Z322" s="851" t="str">
        <f t="shared" si="204"/>
        <v/>
      </c>
      <c r="AA322" s="1224" t="str">
        <f t="shared" si="204"/>
        <v/>
      </c>
      <c r="AB322" s="1226">
        <f t="shared" ref="AB322:AW322" si="205">IF(AB126="","",AB126)+AB356</f>
        <v>0.8357668067226891</v>
      </c>
      <c r="AC322" s="1226">
        <f t="shared" si="205"/>
        <v>0.88663008565310486</v>
      </c>
      <c r="AD322" s="1226">
        <f t="shared" si="205"/>
        <v>0.88663008565310486</v>
      </c>
      <c r="AE322" s="1226">
        <f t="shared" si="205"/>
        <v>0.79444060773480674</v>
      </c>
      <c r="AF322" s="924">
        <f t="shared" si="205"/>
        <v>0.86960999999999999</v>
      </c>
      <c r="AG322" s="924">
        <f t="shared" si="205"/>
        <v>0.86546900000000004</v>
      </c>
      <c r="AH322" s="924">
        <f t="shared" si="205"/>
        <v>0.86134870500000016</v>
      </c>
      <c r="AI322" s="924">
        <f t="shared" si="205"/>
        <v>0.85724901147499999</v>
      </c>
      <c r="AJ322" s="924">
        <f t="shared" si="205"/>
        <v>0.85316981641762513</v>
      </c>
      <c r="AK322" s="924">
        <f t="shared" si="205"/>
        <v>0.84911101733553696</v>
      </c>
      <c r="AL322" s="924">
        <f t="shared" si="205"/>
        <v>0.84507251224885915</v>
      </c>
      <c r="AM322" s="924">
        <f t="shared" si="205"/>
        <v>0.84105419968761486</v>
      </c>
      <c r="AN322" s="924">
        <f t="shared" si="205"/>
        <v>0.83705597868917692</v>
      </c>
      <c r="AO322" s="924">
        <f t="shared" si="205"/>
        <v>0.83307774879573104</v>
      </c>
      <c r="AP322" s="924">
        <f t="shared" si="205"/>
        <v>0.82911941005175227</v>
      </c>
      <c r="AQ322" s="924">
        <f t="shared" si="205"/>
        <v>0.82518086300149363</v>
      </c>
      <c r="AR322" s="924">
        <f t="shared" si="205"/>
        <v>0.82126200868648613</v>
      </c>
      <c r="AS322" s="924">
        <f t="shared" si="205"/>
        <v>0.81736274864305369</v>
      </c>
      <c r="AT322" s="924">
        <f t="shared" si="205"/>
        <v>0.81348298489983839</v>
      </c>
      <c r="AU322" s="924">
        <f t="shared" si="205"/>
        <v>0.80962261997533913</v>
      </c>
      <c r="AV322" s="924">
        <f t="shared" si="205"/>
        <v>0.80578155687546249</v>
      </c>
      <c r="AW322" s="924">
        <f t="shared" si="205"/>
        <v>0.80195969909108511</v>
      </c>
    </row>
    <row r="323" spans="1:49" s="851" customFormat="1" hidden="1" outlineLevel="1">
      <c r="A323" s="851" t="str">
        <f t="shared" ref="A323:AA323" si="206">IF(A127="","",A127)</f>
        <v/>
      </c>
      <c r="B323" s="851" t="str">
        <f t="shared" si="206"/>
        <v/>
      </c>
      <c r="C323" s="851" t="str">
        <f t="shared" si="206"/>
        <v/>
      </c>
      <c r="D323" s="851" t="str">
        <f t="shared" si="206"/>
        <v/>
      </c>
      <c r="E323" s="851" t="str">
        <f t="shared" si="206"/>
        <v/>
      </c>
      <c r="F323" s="851" t="str">
        <f t="shared" si="206"/>
        <v/>
      </c>
      <c r="G323" s="851" t="str">
        <f t="shared" si="206"/>
        <v/>
      </c>
      <c r="H323" s="851" t="str">
        <f t="shared" si="206"/>
        <v/>
      </c>
      <c r="I323" s="851" t="str">
        <f t="shared" si="206"/>
        <v/>
      </c>
      <c r="J323" s="851" t="str">
        <f t="shared" si="206"/>
        <v/>
      </c>
      <c r="K323" s="851" t="str">
        <f t="shared" si="206"/>
        <v/>
      </c>
      <c r="L323" s="851" t="str">
        <f t="shared" si="206"/>
        <v/>
      </c>
      <c r="M323" s="851" t="str">
        <f t="shared" si="206"/>
        <v/>
      </c>
      <c r="N323" s="851" t="str">
        <f t="shared" si="206"/>
        <v/>
      </c>
      <c r="O323" s="851" t="str">
        <f t="shared" si="206"/>
        <v/>
      </c>
      <c r="P323" s="851" t="str">
        <f t="shared" si="206"/>
        <v/>
      </c>
      <c r="Q323" s="851" t="str">
        <f t="shared" si="206"/>
        <v/>
      </c>
      <c r="R323" s="851" t="str">
        <f t="shared" si="206"/>
        <v/>
      </c>
      <c r="S323" s="851" t="str">
        <f t="shared" si="206"/>
        <v/>
      </c>
      <c r="T323" s="851" t="str">
        <f t="shared" si="206"/>
        <v/>
      </c>
      <c r="U323" s="851" t="str">
        <f t="shared" si="206"/>
        <v/>
      </c>
      <c r="V323" s="851" t="str">
        <f t="shared" si="206"/>
        <v/>
      </c>
      <c r="W323" s="851" t="str">
        <f t="shared" si="206"/>
        <v/>
      </c>
      <c r="X323" s="851" t="str">
        <f t="shared" si="206"/>
        <v/>
      </c>
      <c r="Y323" s="851" t="str">
        <f t="shared" si="206"/>
        <v/>
      </c>
      <c r="Z323" s="851" t="str">
        <f t="shared" si="206"/>
        <v/>
      </c>
      <c r="AA323" s="1224" t="str">
        <f t="shared" si="206"/>
        <v/>
      </c>
      <c r="AB323" s="1226" t="str">
        <f t="shared" ref="AB323:AW323" si="207">IF(AB127="","",AB127)</f>
        <v/>
      </c>
      <c r="AC323" s="1226" t="str">
        <f t="shared" si="207"/>
        <v/>
      </c>
      <c r="AD323" s="1226" t="str">
        <f t="shared" si="207"/>
        <v/>
      </c>
      <c r="AE323" s="1226" t="str">
        <f t="shared" si="207"/>
        <v/>
      </c>
      <c r="AF323" s="924" t="str">
        <f t="shared" si="207"/>
        <v/>
      </c>
      <c r="AG323" s="924" t="str">
        <f t="shared" si="207"/>
        <v/>
      </c>
      <c r="AH323" s="924" t="str">
        <f t="shared" si="207"/>
        <v/>
      </c>
      <c r="AI323" s="924" t="str">
        <f t="shared" si="207"/>
        <v/>
      </c>
      <c r="AJ323" s="924" t="str">
        <f t="shared" si="207"/>
        <v/>
      </c>
      <c r="AK323" s="924" t="str">
        <f t="shared" si="207"/>
        <v/>
      </c>
      <c r="AL323" s="924" t="str">
        <f t="shared" si="207"/>
        <v/>
      </c>
      <c r="AM323" s="924" t="str">
        <f t="shared" si="207"/>
        <v/>
      </c>
      <c r="AN323" s="924" t="str">
        <f t="shared" si="207"/>
        <v/>
      </c>
      <c r="AO323" s="924" t="str">
        <f t="shared" si="207"/>
        <v/>
      </c>
      <c r="AP323" s="924" t="str">
        <f t="shared" si="207"/>
        <v/>
      </c>
      <c r="AQ323" s="924" t="str">
        <f t="shared" si="207"/>
        <v/>
      </c>
      <c r="AR323" s="924" t="str">
        <f t="shared" si="207"/>
        <v/>
      </c>
      <c r="AS323" s="924" t="str">
        <f t="shared" si="207"/>
        <v/>
      </c>
      <c r="AT323" s="924" t="str">
        <f t="shared" si="207"/>
        <v/>
      </c>
      <c r="AU323" s="924" t="str">
        <f t="shared" si="207"/>
        <v/>
      </c>
      <c r="AV323" s="924" t="str">
        <f t="shared" si="207"/>
        <v/>
      </c>
      <c r="AW323" s="924" t="str">
        <f t="shared" si="207"/>
        <v/>
      </c>
    </row>
    <row r="324" spans="1:49" s="851" customFormat="1" hidden="1" outlineLevel="1">
      <c r="AA324" s="1224"/>
      <c r="AB324" s="1226"/>
      <c r="AC324" s="1226"/>
      <c r="AD324" s="1226"/>
      <c r="AE324" s="1226"/>
      <c r="AF324" s="924"/>
      <c r="AG324" s="924"/>
      <c r="AH324" s="924"/>
      <c r="AI324" s="924"/>
      <c r="AJ324" s="924"/>
      <c r="AK324" s="924"/>
      <c r="AL324" s="924"/>
      <c r="AM324" s="924"/>
      <c r="AN324" s="924"/>
      <c r="AO324" s="924"/>
      <c r="AP324" s="924"/>
      <c r="AQ324" s="924"/>
      <c r="AR324" s="924"/>
      <c r="AS324" s="924"/>
      <c r="AT324" s="924"/>
      <c r="AU324" s="924"/>
      <c r="AV324" s="924"/>
      <c r="AW324" s="924"/>
    </row>
    <row r="325" spans="1:49" s="851" customFormat="1" hidden="1" outlineLevel="1">
      <c r="AA325" s="1224"/>
      <c r="AB325" s="1226"/>
      <c r="AC325" s="1226"/>
      <c r="AD325" s="1226"/>
      <c r="AE325" s="1226"/>
      <c r="AF325" s="924"/>
      <c r="AG325" s="924"/>
      <c r="AH325" s="924"/>
      <c r="AI325" s="924"/>
      <c r="AJ325" s="924"/>
      <c r="AK325" s="924"/>
      <c r="AL325" s="924"/>
      <c r="AM325" s="924"/>
      <c r="AN325" s="924"/>
      <c r="AO325" s="924"/>
      <c r="AP325" s="924"/>
      <c r="AQ325" s="924"/>
      <c r="AR325" s="924"/>
      <c r="AS325" s="924"/>
      <c r="AT325" s="924"/>
      <c r="AU325" s="924"/>
      <c r="AV325" s="924"/>
      <c r="AW325" s="924"/>
    </row>
    <row r="326" spans="1:49" s="851" customFormat="1" hidden="1" outlineLevel="1">
      <c r="AA326" s="1224"/>
      <c r="AB326" s="1226"/>
      <c r="AC326" s="1226"/>
      <c r="AD326" s="1226"/>
      <c r="AE326" s="1226"/>
      <c r="AF326" s="924"/>
      <c r="AG326" s="924"/>
      <c r="AH326" s="924"/>
      <c r="AI326" s="924"/>
      <c r="AJ326" s="924"/>
      <c r="AK326" s="924"/>
      <c r="AL326" s="924"/>
      <c r="AM326" s="924"/>
      <c r="AN326" s="924"/>
      <c r="AO326" s="924"/>
      <c r="AP326" s="924"/>
      <c r="AQ326" s="924"/>
      <c r="AR326" s="924"/>
      <c r="AS326" s="924"/>
      <c r="AT326" s="924"/>
      <c r="AU326" s="924"/>
      <c r="AV326" s="924"/>
      <c r="AW326" s="924"/>
    </row>
    <row r="327" spans="1:49" s="851" customFormat="1" hidden="1" outlineLevel="1">
      <c r="A327" s="2"/>
      <c r="B327" s="851" t="str">
        <f t="shared" ref="B327:AW327" si="208">IF(B128="","",B128)</f>
        <v/>
      </c>
      <c r="C327" s="851" t="str">
        <f t="shared" si="208"/>
        <v/>
      </c>
      <c r="D327" s="851" t="str">
        <f t="shared" si="208"/>
        <v/>
      </c>
      <c r="E327" s="851" t="str">
        <f t="shared" si="208"/>
        <v/>
      </c>
      <c r="F327" s="851" t="str">
        <f t="shared" si="208"/>
        <v/>
      </c>
      <c r="G327" s="851" t="str">
        <f t="shared" si="208"/>
        <v/>
      </c>
      <c r="H327" s="851" t="str">
        <f t="shared" si="208"/>
        <v/>
      </c>
      <c r="I327" s="851" t="str">
        <f t="shared" si="208"/>
        <v/>
      </c>
      <c r="J327" s="851" t="str">
        <f t="shared" si="208"/>
        <v/>
      </c>
      <c r="K327" s="851" t="str">
        <f t="shared" si="208"/>
        <v/>
      </c>
      <c r="L327" s="851" t="str">
        <f t="shared" si="208"/>
        <v/>
      </c>
      <c r="M327" s="851" t="str">
        <f t="shared" si="208"/>
        <v/>
      </c>
      <c r="N327" s="851" t="str">
        <f t="shared" si="208"/>
        <v/>
      </c>
      <c r="O327" s="851" t="str">
        <f t="shared" si="208"/>
        <v/>
      </c>
      <c r="P327" s="851" t="str">
        <f t="shared" si="208"/>
        <v/>
      </c>
      <c r="Q327" s="851" t="str">
        <f t="shared" si="208"/>
        <v/>
      </c>
      <c r="R327" s="851" t="str">
        <f t="shared" si="208"/>
        <v/>
      </c>
      <c r="S327" s="851" t="str">
        <f t="shared" si="208"/>
        <v/>
      </c>
      <c r="T327" s="851" t="str">
        <f t="shared" si="208"/>
        <v/>
      </c>
      <c r="U327" s="851" t="str">
        <f t="shared" si="208"/>
        <v/>
      </c>
      <c r="V327" s="851" t="str">
        <f t="shared" si="208"/>
        <v/>
      </c>
      <c r="W327" s="851" t="str">
        <f t="shared" si="208"/>
        <v/>
      </c>
      <c r="X327" s="851" t="str">
        <f t="shared" si="208"/>
        <v/>
      </c>
      <c r="Y327" s="851" t="str">
        <f t="shared" si="208"/>
        <v/>
      </c>
      <c r="Z327" s="851" t="str">
        <f t="shared" si="208"/>
        <v/>
      </c>
      <c r="AA327" s="1224" t="str">
        <f t="shared" si="208"/>
        <v/>
      </c>
      <c r="AB327" s="1224" t="str">
        <f t="shared" si="208"/>
        <v/>
      </c>
      <c r="AC327" s="1224" t="str">
        <f t="shared" si="208"/>
        <v/>
      </c>
      <c r="AD327" s="1224" t="str">
        <f t="shared" si="208"/>
        <v/>
      </c>
      <c r="AE327" s="1224" t="str">
        <f t="shared" si="208"/>
        <v/>
      </c>
      <c r="AF327" s="18" t="str">
        <f t="shared" si="208"/>
        <v/>
      </c>
      <c r="AG327" s="18" t="str">
        <f t="shared" si="208"/>
        <v/>
      </c>
      <c r="AH327" s="18" t="str">
        <f t="shared" si="208"/>
        <v/>
      </c>
      <c r="AI327" s="18" t="str">
        <f t="shared" si="208"/>
        <v/>
      </c>
      <c r="AJ327" s="18" t="str">
        <f t="shared" si="208"/>
        <v/>
      </c>
      <c r="AK327" s="18" t="str">
        <f t="shared" si="208"/>
        <v/>
      </c>
      <c r="AL327" s="18" t="str">
        <f t="shared" si="208"/>
        <v/>
      </c>
      <c r="AM327" s="18" t="str">
        <f t="shared" si="208"/>
        <v/>
      </c>
      <c r="AN327" s="18" t="str">
        <f t="shared" si="208"/>
        <v/>
      </c>
      <c r="AO327" s="18" t="str">
        <f t="shared" si="208"/>
        <v/>
      </c>
      <c r="AP327" s="18" t="str">
        <f t="shared" si="208"/>
        <v/>
      </c>
      <c r="AQ327" s="18" t="str">
        <f t="shared" si="208"/>
        <v/>
      </c>
      <c r="AR327" s="18" t="str">
        <f t="shared" si="208"/>
        <v/>
      </c>
      <c r="AS327" s="18" t="str">
        <f t="shared" si="208"/>
        <v/>
      </c>
      <c r="AT327" s="18" t="str">
        <f t="shared" si="208"/>
        <v/>
      </c>
      <c r="AU327" s="18" t="str">
        <f t="shared" si="208"/>
        <v/>
      </c>
      <c r="AV327" s="18" t="str">
        <f t="shared" si="208"/>
        <v/>
      </c>
      <c r="AW327" s="18" t="str">
        <f t="shared" si="208"/>
        <v/>
      </c>
    </row>
    <row r="328" spans="1:49" s="851" customFormat="1" hidden="1" outlineLevel="1">
      <c r="A328" s="2"/>
      <c r="B328" s="851" t="str">
        <f t="shared" ref="B328:AW328" si="209">IF(B129="","",B129)</f>
        <v/>
      </c>
      <c r="C328" s="851" t="str">
        <f t="shared" si="209"/>
        <v/>
      </c>
      <c r="D328" s="851" t="str">
        <f t="shared" si="209"/>
        <v/>
      </c>
      <c r="E328" s="851" t="str">
        <f t="shared" si="209"/>
        <v/>
      </c>
      <c r="F328" s="851" t="str">
        <f t="shared" si="209"/>
        <v/>
      </c>
      <c r="G328" s="851" t="str">
        <f t="shared" si="209"/>
        <v/>
      </c>
      <c r="H328" s="851" t="str">
        <f t="shared" si="209"/>
        <v/>
      </c>
      <c r="I328" s="851" t="str">
        <f t="shared" si="209"/>
        <v/>
      </c>
      <c r="J328" s="851" t="str">
        <f t="shared" si="209"/>
        <v/>
      </c>
      <c r="K328" s="851" t="str">
        <f t="shared" si="209"/>
        <v/>
      </c>
      <c r="L328" s="851" t="str">
        <f t="shared" si="209"/>
        <v/>
      </c>
      <c r="M328" s="851" t="str">
        <f t="shared" si="209"/>
        <v/>
      </c>
      <c r="N328" s="851" t="str">
        <f t="shared" si="209"/>
        <v/>
      </c>
      <c r="O328" s="851" t="str">
        <f t="shared" si="209"/>
        <v/>
      </c>
      <c r="P328" s="851" t="str">
        <f t="shared" si="209"/>
        <v/>
      </c>
      <c r="Q328" s="851" t="str">
        <f t="shared" si="209"/>
        <v/>
      </c>
      <c r="R328" s="851" t="str">
        <f t="shared" si="209"/>
        <v/>
      </c>
      <c r="S328" s="851" t="str">
        <f t="shared" si="209"/>
        <v/>
      </c>
      <c r="T328" s="851" t="str">
        <f t="shared" si="209"/>
        <v/>
      </c>
      <c r="U328" s="851" t="str">
        <f t="shared" si="209"/>
        <v/>
      </c>
      <c r="V328" s="851" t="str">
        <f t="shared" si="209"/>
        <v/>
      </c>
      <c r="W328" s="851" t="str">
        <f t="shared" si="209"/>
        <v/>
      </c>
      <c r="X328" s="851" t="str">
        <f t="shared" si="209"/>
        <v/>
      </c>
      <c r="Y328" s="851" t="str">
        <f t="shared" si="209"/>
        <v/>
      </c>
      <c r="Z328" s="851" t="str">
        <f t="shared" si="209"/>
        <v/>
      </c>
      <c r="AA328" s="1224" t="str">
        <f t="shared" si="209"/>
        <v/>
      </c>
      <c r="AB328" s="1224" t="str">
        <f t="shared" si="209"/>
        <v/>
      </c>
      <c r="AC328" s="1224" t="str">
        <f t="shared" si="209"/>
        <v/>
      </c>
      <c r="AD328" s="1224" t="str">
        <f t="shared" si="209"/>
        <v/>
      </c>
      <c r="AE328" s="1224" t="str">
        <f t="shared" si="209"/>
        <v/>
      </c>
      <c r="AF328" s="18" t="str">
        <f t="shared" si="209"/>
        <v/>
      </c>
      <c r="AG328" s="18" t="str">
        <f t="shared" si="209"/>
        <v/>
      </c>
      <c r="AH328" s="18" t="str">
        <f t="shared" si="209"/>
        <v/>
      </c>
      <c r="AI328" s="18" t="str">
        <f t="shared" si="209"/>
        <v/>
      </c>
      <c r="AJ328" s="18" t="str">
        <f t="shared" si="209"/>
        <v/>
      </c>
      <c r="AK328" s="18" t="str">
        <f t="shared" si="209"/>
        <v/>
      </c>
      <c r="AL328" s="18" t="str">
        <f t="shared" si="209"/>
        <v/>
      </c>
      <c r="AM328" s="18" t="str">
        <f t="shared" si="209"/>
        <v/>
      </c>
      <c r="AN328" s="18" t="str">
        <f t="shared" si="209"/>
        <v/>
      </c>
      <c r="AO328" s="18" t="str">
        <f t="shared" si="209"/>
        <v/>
      </c>
      <c r="AP328" s="18" t="str">
        <f t="shared" si="209"/>
        <v/>
      </c>
      <c r="AQ328" s="18" t="str">
        <f t="shared" si="209"/>
        <v/>
      </c>
      <c r="AR328" s="18" t="str">
        <f t="shared" si="209"/>
        <v/>
      </c>
      <c r="AS328" s="18" t="str">
        <f t="shared" si="209"/>
        <v/>
      </c>
      <c r="AT328" s="18" t="str">
        <f t="shared" si="209"/>
        <v/>
      </c>
      <c r="AU328" s="18" t="str">
        <f t="shared" si="209"/>
        <v/>
      </c>
      <c r="AV328" s="18" t="str">
        <f t="shared" si="209"/>
        <v/>
      </c>
      <c r="AW328" s="18" t="str">
        <f t="shared" si="209"/>
        <v/>
      </c>
    </row>
    <row r="329" spans="1:49" s="851" customFormat="1" hidden="1" outlineLevel="1">
      <c r="A329" s="2"/>
      <c r="B329" s="851" t="str">
        <f t="shared" ref="B329:AW329" si="210">IF(B130="","",B130)</f>
        <v/>
      </c>
      <c r="C329" s="851" t="str">
        <f t="shared" si="210"/>
        <v/>
      </c>
      <c r="D329" s="851" t="str">
        <f t="shared" si="210"/>
        <v/>
      </c>
      <c r="E329" s="851" t="str">
        <f t="shared" si="210"/>
        <v/>
      </c>
      <c r="F329" s="851" t="str">
        <f t="shared" si="210"/>
        <v/>
      </c>
      <c r="G329" s="851" t="str">
        <f t="shared" si="210"/>
        <v/>
      </c>
      <c r="H329" s="851" t="str">
        <f t="shared" si="210"/>
        <v/>
      </c>
      <c r="I329" s="851" t="str">
        <f t="shared" si="210"/>
        <v/>
      </c>
      <c r="J329" s="851" t="str">
        <f t="shared" si="210"/>
        <v/>
      </c>
      <c r="K329" s="851" t="str">
        <f t="shared" si="210"/>
        <v/>
      </c>
      <c r="L329" s="851" t="str">
        <f t="shared" si="210"/>
        <v/>
      </c>
      <c r="M329" s="851" t="str">
        <f t="shared" si="210"/>
        <v/>
      </c>
      <c r="N329" s="851" t="str">
        <f t="shared" si="210"/>
        <v/>
      </c>
      <c r="O329" s="851" t="str">
        <f t="shared" si="210"/>
        <v/>
      </c>
      <c r="P329" s="851" t="str">
        <f t="shared" si="210"/>
        <v/>
      </c>
      <c r="Q329" s="851" t="str">
        <f t="shared" si="210"/>
        <v/>
      </c>
      <c r="R329" s="851" t="str">
        <f t="shared" si="210"/>
        <v/>
      </c>
      <c r="S329" s="851" t="str">
        <f t="shared" si="210"/>
        <v/>
      </c>
      <c r="T329" s="851" t="str">
        <f t="shared" si="210"/>
        <v/>
      </c>
      <c r="U329" s="851" t="str">
        <f t="shared" si="210"/>
        <v/>
      </c>
      <c r="V329" s="851" t="str">
        <f t="shared" si="210"/>
        <v/>
      </c>
      <c r="W329" s="851" t="str">
        <f t="shared" si="210"/>
        <v/>
      </c>
      <c r="X329" s="851" t="str">
        <f t="shared" si="210"/>
        <v/>
      </c>
      <c r="Y329" s="851" t="str">
        <f t="shared" si="210"/>
        <v/>
      </c>
      <c r="Z329" s="851" t="str">
        <f t="shared" si="210"/>
        <v/>
      </c>
      <c r="AA329" s="1224" t="str">
        <f t="shared" si="210"/>
        <v/>
      </c>
      <c r="AB329" s="1224" t="str">
        <f t="shared" si="210"/>
        <v/>
      </c>
      <c r="AC329" s="1224" t="str">
        <f t="shared" si="210"/>
        <v/>
      </c>
      <c r="AD329" s="1224" t="str">
        <f t="shared" si="210"/>
        <v/>
      </c>
      <c r="AE329" s="1224" t="str">
        <f t="shared" si="210"/>
        <v/>
      </c>
      <c r="AF329" s="18" t="str">
        <f t="shared" si="210"/>
        <v/>
      </c>
      <c r="AG329" s="18" t="str">
        <f t="shared" si="210"/>
        <v/>
      </c>
      <c r="AH329" s="18" t="str">
        <f t="shared" si="210"/>
        <v/>
      </c>
      <c r="AI329" s="18" t="str">
        <f t="shared" si="210"/>
        <v/>
      </c>
      <c r="AJ329" s="18" t="str">
        <f t="shared" si="210"/>
        <v/>
      </c>
      <c r="AK329" s="18" t="str">
        <f t="shared" si="210"/>
        <v/>
      </c>
      <c r="AL329" s="18" t="str">
        <f t="shared" si="210"/>
        <v/>
      </c>
      <c r="AM329" s="18" t="str">
        <f t="shared" si="210"/>
        <v/>
      </c>
      <c r="AN329" s="18" t="str">
        <f t="shared" si="210"/>
        <v/>
      </c>
      <c r="AO329" s="18" t="str">
        <f t="shared" si="210"/>
        <v/>
      </c>
      <c r="AP329" s="18" t="str">
        <f t="shared" si="210"/>
        <v/>
      </c>
      <c r="AQ329" s="18" t="str">
        <f t="shared" si="210"/>
        <v/>
      </c>
      <c r="AR329" s="18" t="str">
        <f t="shared" si="210"/>
        <v/>
      </c>
      <c r="AS329" s="18" t="str">
        <f t="shared" si="210"/>
        <v/>
      </c>
      <c r="AT329" s="18" t="str">
        <f t="shared" si="210"/>
        <v/>
      </c>
      <c r="AU329" s="18" t="str">
        <f t="shared" si="210"/>
        <v/>
      </c>
      <c r="AV329" s="18" t="str">
        <f t="shared" si="210"/>
        <v/>
      </c>
      <c r="AW329" s="18" t="str">
        <f t="shared" si="210"/>
        <v/>
      </c>
    </row>
    <row r="330" spans="1:49" s="851" customFormat="1" hidden="1" outlineLevel="1">
      <c r="A330" s="2"/>
      <c r="B330" s="851" t="str">
        <f t="shared" ref="B330:AW330" si="211">IF(B131="","",B131)</f>
        <v/>
      </c>
      <c r="C330" s="851" t="str">
        <f t="shared" si="211"/>
        <v/>
      </c>
      <c r="D330" s="851" t="str">
        <f t="shared" si="211"/>
        <v/>
      </c>
      <c r="E330" s="851" t="str">
        <f t="shared" si="211"/>
        <v/>
      </c>
      <c r="F330" s="851" t="str">
        <f t="shared" si="211"/>
        <v/>
      </c>
      <c r="G330" s="851" t="str">
        <f t="shared" si="211"/>
        <v/>
      </c>
      <c r="H330" s="851" t="str">
        <f t="shared" si="211"/>
        <v/>
      </c>
      <c r="I330" s="851" t="str">
        <f t="shared" si="211"/>
        <v/>
      </c>
      <c r="J330" s="851" t="str">
        <f t="shared" si="211"/>
        <v/>
      </c>
      <c r="K330" s="851" t="str">
        <f t="shared" si="211"/>
        <v/>
      </c>
      <c r="L330" s="851" t="str">
        <f t="shared" si="211"/>
        <v/>
      </c>
      <c r="M330" s="851" t="str">
        <f t="shared" si="211"/>
        <v/>
      </c>
      <c r="N330" s="851" t="str">
        <f t="shared" si="211"/>
        <v/>
      </c>
      <c r="O330" s="851" t="str">
        <f t="shared" si="211"/>
        <v/>
      </c>
      <c r="P330" s="851" t="str">
        <f t="shared" si="211"/>
        <v/>
      </c>
      <c r="Q330" s="851" t="str">
        <f t="shared" si="211"/>
        <v/>
      </c>
      <c r="R330" s="851" t="str">
        <f t="shared" si="211"/>
        <v/>
      </c>
      <c r="S330" s="851" t="str">
        <f t="shared" si="211"/>
        <v/>
      </c>
      <c r="T330" s="851" t="str">
        <f t="shared" si="211"/>
        <v/>
      </c>
      <c r="U330" s="851" t="str">
        <f t="shared" si="211"/>
        <v/>
      </c>
      <c r="V330" s="851" t="str">
        <f t="shared" si="211"/>
        <v/>
      </c>
      <c r="W330" s="851" t="str">
        <f t="shared" si="211"/>
        <v/>
      </c>
      <c r="X330" s="851" t="str">
        <f t="shared" si="211"/>
        <v/>
      </c>
      <c r="Y330" s="851" t="str">
        <f t="shared" si="211"/>
        <v/>
      </c>
      <c r="Z330" s="851" t="str">
        <f t="shared" si="211"/>
        <v/>
      </c>
      <c r="AA330" s="1224" t="str">
        <f t="shared" si="211"/>
        <v/>
      </c>
      <c r="AB330" s="1224" t="str">
        <f t="shared" si="211"/>
        <v/>
      </c>
      <c r="AC330" s="1224" t="str">
        <f t="shared" si="211"/>
        <v/>
      </c>
      <c r="AD330" s="1224" t="str">
        <f t="shared" si="211"/>
        <v/>
      </c>
      <c r="AE330" s="1224" t="str">
        <f t="shared" si="211"/>
        <v/>
      </c>
      <c r="AF330" s="18" t="str">
        <f t="shared" si="211"/>
        <v/>
      </c>
      <c r="AG330" s="18" t="str">
        <f t="shared" si="211"/>
        <v/>
      </c>
      <c r="AH330" s="18" t="str">
        <f t="shared" si="211"/>
        <v/>
      </c>
      <c r="AI330" s="18" t="str">
        <f t="shared" si="211"/>
        <v/>
      </c>
      <c r="AJ330" s="18" t="str">
        <f t="shared" si="211"/>
        <v/>
      </c>
      <c r="AK330" s="18" t="str">
        <f t="shared" si="211"/>
        <v/>
      </c>
      <c r="AL330" s="18" t="str">
        <f t="shared" si="211"/>
        <v/>
      </c>
      <c r="AM330" s="18" t="str">
        <f t="shared" si="211"/>
        <v/>
      </c>
      <c r="AN330" s="18" t="str">
        <f t="shared" si="211"/>
        <v/>
      </c>
      <c r="AO330" s="18" t="str">
        <f t="shared" si="211"/>
        <v/>
      </c>
      <c r="AP330" s="18" t="str">
        <f t="shared" si="211"/>
        <v/>
      </c>
      <c r="AQ330" s="18" t="str">
        <f t="shared" si="211"/>
        <v/>
      </c>
      <c r="AR330" s="18" t="str">
        <f t="shared" si="211"/>
        <v/>
      </c>
      <c r="AS330" s="18" t="str">
        <f t="shared" si="211"/>
        <v/>
      </c>
      <c r="AT330" s="18" t="str">
        <f t="shared" si="211"/>
        <v/>
      </c>
      <c r="AU330" s="18" t="str">
        <f t="shared" si="211"/>
        <v/>
      </c>
      <c r="AV330" s="18" t="str">
        <f t="shared" si="211"/>
        <v/>
      </c>
      <c r="AW330" s="18" t="str">
        <f t="shared" si="211"/>
        <v/>
      </c>
    </row>
    <row r="331" spans="1:49" s="851" customFormat="1" hidden="1" outlineLevel="1">
      <c r="A331" s="2"/>
      <c r="B331" s="851" t="str">
        <f t="shared" ref="B331:AW331" si="212">IF(B132="","",B132)</f>
        <v/>
      </c>
      <c r="C331" s="851" t="str">
        <f t="shared" si="212"/>
        <v/>
      </c>
      <c r="D331" s="851" t="str">
        <f t="shared" si="212"/>
        <v/>
      </c>
      <c r="E331" s="851" t="str">
        <f t="shared" si="212"/>
        <v/>
      </c>
      <c r="F331" s="851" t="str">
        <f t="shared" si="212"/>
        <v/>
      </c>
      <c r="G331" s="851" t="str">
        <f t="shared" si="212"/>
        <v/>
      </c>
      <c r="H331" s="851" t="str">
        <f t="shared" si="212"/>
        <v/>
      </c>
      <c r="I331" s="851" t="str">
        <f t="shared" si="212"/>
        <v/>
      </c>
      <c r="J331" s="851" t="str">
        <f t="shared" si="212"/>
        <v/>
      </c>
      <c r="K331" s="851" t="str">
        <f t="shared" si="212"/>
        <v/>
      </c>
      <c r="L331" s="851" t="str">
        <f t="shared" si="212"/>
        <v/>
      </c>
      <c r="M331" s="851" t="str">
        <f t="shared" si="212"/>
        <v/>
      </c>
      <c r="N331" s="851" t="str">
        <f t="shared" si="212"/>
        <v/>
      </c>
      <c r="O331" s="851" t="str">
        <f t="shared" si="212"/>
        <v/>
      </c>
      <c r="P331" s="851" t="str">
        <f t="shared" si="212"/>
        <v/>
      </c>
      <c r="Q331" s="851" t="str">
        <f t="shared" si="212"/>
        <v/>
      </c>
      <c r="R331" s="851" t="str">
        <f t="shared" si="212"/>
        <v/>
      </c>
      <c r="S331" s="851" t="str">
        <f t="shared" si="212"/>
        <v/>
      </c>
      <c r="T331" s="851" t="str">
        <f t="shared" si="212"/>
        <v/>
      </c>
      <c r="U331" s="851" t="str">
        <f t="shared" si="212"/>
        <v/>
      </c>
      <c r="V331" s="851" t="str">
        <f t="shared" si="212"/>
        <v/>
      </c>
      <c r="W331" s="851" t="str">
        <f t="shared" si="212"/>
        <v/>
      </c>
      <c r="X331" s="851" t="str">
        <f t="shared" si="212"/>
        <v/>
      </c>
      <c r="Y331" s="851" t="str">
        <f t="shared" si="212"/>
        <v/>
      </c>
      <c r="Z331" s="851" t="str">
        <f t="shared" si="212"/>
        <v/>
      </c>
      <c r="AA331" s="1224" t="str">
        <f t="shared" si="212"/>
        <v/>
      </c>
      <c r="AB331" s="1224" t="str">
        <f t="shared" si="212"/>
        <v/>
      </c>
      <c r="AC331" s="1224" t="str">
        <f t="shared" si="212"/>
        <v/>
      </c>
      <c r="AD331" s="1224" t="str">
        <f t="shared" si="212"/>
        <v/>
      </c>
      <c r="AE331" s="1224" t="str">
        <f t="shared" si="212"/>
        <v/>
      </c>
      <c r="AF331" s="18" t="str">
        <f t="shared" si="212"/>
        <v/>
      </c>
      <c r="AG331" s="18" t="str">
        <f t="shared" si="212"/>
        <v/>
      </c>
      <c r="AH331" s="18" t="str">
        <f t="shared" si="212"/>
        <v/>
      </c>
      <c r="AI331" s="18" t="str">
        <f t="shared" si="212"/>
        <v/>
      </c>
      <c r="AJ331" s="18" t="str">
        <f t="shared" si="212"/>
        <v/>
      </c>
      <c r="AK331" s="18" t="str">
        <f t="shared" si="212"/>
        <v/>
      </c>
      <c r="AL331" s="18" t="str">
        <f t="shared" si="212"/>
        <v/>
      </c>
      <c r="AM331" s="18" t="str">
        <f t="shared" si="212"/>
        <v/>
      </c>
      <c r="AN331" s="18" t="str">
        <f t="shared" si="212"/>
        <v/>
      </c>
      <c r="AO331" s="18" t="str">
        <f t="shared" si="212"/>
        <v/>
      </c>
      <c r="AP331" s="18" t="str">
        <f t="shared" si="212"/>
        <v/>
      </c>
      <c r="AQ331" s="18" t="str">
        <f t="shared" si="212"/>
        <v/>
      </c>
      <c r="AR331" s="18" t="str">
        <f t="shared" si="212"/>
        <v/>
      </c>
      <c r="AS331" s="18" t="str">
        <f t="shared" si="212"/>
        <v/>
      </c>
      <c r="AT331" s="18" t="str">
        <f t="shared" si="212"/>
        <v/>
      </c>
      <c r="AU331" s="18" t="str">
        <f t="shared" si="212"/>
        <v/>
      </c>
      <c r="AV331" s="18" t="str">
        <f t="shared" si="212"/>
        <v/>
      </c>
      <c r="AW331" s="18" t="str">
        <f t="shared" si="212"/>
        <v/>
      </c>
    </row>
    <row r="332" spans="1:49" hidden="1" outlineLevel="1">
      <c r="A332" s="2"/>
      <c r="B332" s="851" t="str">
        <f t="shared" ref="B332:AW332" si="213">IF(B133="","",B133)</f>
        <v/>
      </c>
      <c r="C332" s="851" t="str">
        <f t="shared" si="213"/>
        <v/>
      </c>
      <c r="D332" s="851" t="str">
        <f t="shared" si="213"/>
        <v/>
      </c>
      <c r="E332" s="851" t="str">
        <f t="shared" si="213"/>
        <v/>
      </c>
      <c r="F332" s="851" t="str">
        <f t="shared" si="213"/>
        <v/>
      </c>
      <c r="G332" s="851" t="str">
        <f t="shared" si="213"/>
        <v/>
      </c>
      <c r="H332" s="851" t="str">
        <f t="shared" si="213"/>
        <v/>
      </c>
      <c r="I332" s="851" t="str">
        <f t="shared" si="213"/>
        <v/>
      </c>
      <c r="J332" s="851" t="str">
        <f t="shared" si="213"/>
        <v/>
      </c>
      <c r="K332" s="851" t="str">
        <f t="shared" si="213"/>
        <v/>
      </c>
      <c r="L332" s="851" t="str">
        <f t="shared" si="213"/>
        <v/>
      </c>
      <c r="M332" s="851" t="str">
        <f t="shared" si="213"/>
        <v/>
      </c>
      <c r="N332" s="851" t="str">
        <f t="shared" si="213"/>
        <v/>
      </c>
      <c r="O332" s="851" t="str">
        <f t="shared" si="213"/>
        <v/>
      </c>
      <c r="P332" s="851" t="str">
        <f t="shared" si="213"/>
        <v/>
      </c>
      <c r="Q332" s="851" t="str">
        <f t="shared" si="213"/>
        <v/>
      </c>
      <c r="R332" s="851" t="str">
        <f t="shared" si="213"/>
        <v/>
      </c>
      <c r="S332" s="851" t="str">
        <f t="shared" si="213"/>
        <v/>
      </c>
      <c r="T332" s="851" t="str">
        <f t="shared" si="213"/>
        <v/>
      </c>
      <c r="U332" s="851" t="str">
        <f t="shared" si="213"/>
        <v/>
      </c>
      <c r="V332" s="851" t="str">
        <f t="shared" si="213"/>
        <v/>
      </c>
      <c r="W332" s="851" t="str">
        <f t="shared" si="213"/>
        <v/>
      </c>
      <c r="X332" s="851" t="str">
        <f t="shared" si="213"/>
        <v/>
      </c>
      <c r="Y332" s="851" t="str">
        <f t="shared" si="213"/>
        <v/>
      </c>
      <c r="Z332" s="851" t="str">
        <f t="shared" si="213"/>
        <v/>
      </c>
      <c r="AA332" s="1224" t="str">
        <f t="shared" si="213"/>
        <v/>
      </c>
      <c r="AB332" s="1224" t="str">
        <f t="shared" si="213"/>
        <v/>
      </c>
      <c r="AC332" s="1224" t="str">
        <f t="shared" si="213"/>
        <v/>
      </c>
      <c r="AD332" s="1224" t="str">
        <f t="shared" si="213"/>
        <v/>
      </c>
      <c r="AE332" s="1224" t="str">
        <f t="shared" si="213"/>
        <v/>
      </c>
      <c r="AF332" s="18" t="str">
        <f t="shared" si="213"/>
        <v/>
      </c>
      <c r="AG332" s="18" t="str">
        <f t="shared" si="213"/>
        <v/>
      </c>
      <c r="AH332" s="18" t="str">
        <f t="shared" si="213"/>
        <v/>
      </c>
      <c r="AI332" s="18" t="str">
        <f t="shared" si="213"/>
        <v/>
      </c>
      <c r="AJ332" s="18" t="str">
        <f t="shared" si="213"/>
        <v/>
      </c>
      <c r="AK332" s="18" t="str">
        <f t="shared" si="213"/>
        <v/>
      </c>
      <c r="AL332" s="18" t="str">
        <f t="shared" si="213"/>
        <v/>
      </c>
      <c r="AM332" s="18" t="str">
        <f t="shared" si="213"/>
        <v/>
      </c>
      <c r="AN332" s="18" t="str">
        <f t="shared" si="213"/>
        <v/>
      </c>
      <c r="AO332" s="18" t="str">
        <f t="shared" si="213"/>
        <v/>
      </c>
      <c r="AP332" s="18" t="str">
        <f t="shared" si="213"/>
        <v/>
      </c>
      <c r="AQ332" s="18" t="str">
        <f t="shared" si="213"/>
        <v/>
      </c>
      <c r="AR332" s="18" t="str">
        <f t="shared" si="213"/>
        <v/>
      </c>
      <c r="AS332" s="18" t="str">
        <f t="shared" si="213"/>
        <v/>
      </c>
      <c r="AT332" s="18" t="str">
        <f t="shared" si="213"/>
        <v/>
      </c>
      <c r="AU332" s="18" t="str">
        <f t="shared" si="213"/>
        <v/>
      </c>
      <c r="AV332" s="18" t="str">
        <f t="shared" si="213"/>
        <v/>
      </c>
      <c r="AW332" s="18" t="str">
        <f t="shared" si="213"/>
        <v/>
      </c>
    </row>
    <row r="333" spans="1:49" s="1023" customFormat="1" collapsed="1">
      <c r="A333" s="1023" t="s">
        <v>578</v>
      </c>
      <c r="B333" s="1023" t="str">
        <f t="shared" ref="B333:AW333" si="214">IF(B130="","",B130)</f>
        <v/>
      </c>
      <c r="C333" s="1023" t="str">
        <f t="shared" si="214"/>
        <v/>
      </c>
      <c r="D333" s="1023" t="str">
        <f t="shared" si="214"/>
        <v/>
      </c>
      <c r="E333" s="1023" t="str">
        <f t="shared" si="214"/>
        <v/>
      </c>
      <c r="F333" s="1023" t="str">
        <f t="shared" si="214"/>
        <v/>
      </c>
      <c r="G333" s="1023" t="str">
        <f t="shared" si="214"/>
        <v/>
      </c>
      <c r="H333" s="1023" t="str">
        <f t="shared" si="214"/>
        <v/>
      </c>
      <c r="I333" s="1023" t="str">
        <f t="shared" si="214"/>
        <v/>
      </c>
      <c r="J333" s="1023" t="str">
        <f t="shared" si="214"/>
        <v/>
      </c>
      <c r="K333" s="1023" t="str">
        <f t="shared" si="214"/>
        <v/>
      </c>
      <c r="L333" s="1023" t="str">
        <f t="shared" si="214"/>
        <v/>
      </c>
      <c r="M333" s="1023" t="str">
        <f t="shared" si="214"/>
        <v/>
      </c>
      <c r="N333" s="1023" t="str">
        <f t="shared" si="214"/>
        <v/>
      </c>
      <c r="O333" s="1023" t="str">
        <f t="shared" si="214"/>
        <v/>
      </c>
      <c r="P333" s="1023" t="str">
        <f t="shared" si="214"/>
        <v/>
      </c>
      <c r="Q333" s="1023" t="str">
        <f t="shared" si="214"/>
        <v/>
      </c>
      <c r="R333" s="1023" t="str">
        <f t="shared" si="214"/>
        <v/>
      </c>
      <c r="S333" s="1023" t="str">
        <f t="shared" si="214"/>
        <v/>
      </c>
      <c r="T333" s="1023" t="str">
        <f t="shared" si="214"/>
        <v/>
      </c>
      <c r="U333" s="1023" t="str">
        <f t="shared" si="214"/>
        <v/>
      </c>
      <c r="V333" s="1023" t="str">
        <f t="shared" si="214"/>
        <v/>
      </c>
      <c r="W333" s="1023" t="str">
        <f t="shared" si="214"/>
        <v/>
      </c>
      <c r="X333" s="1023" t="str">
        <f t="shared" si="214"/>
        <v/>
      </c>
      <c r="Y333" s="1023" t="str">
        <f t="shared" si="214"/>
        <v/>
      </c>
      <c r="Z333" s="1023" t="str">
        <f t="shared" si="214"/>
        <v/>
      </c>
      <c r="AA333" s="1234" t="str">
        <f t="shared" si="214"/>
        <v/>
      </c>
      <c r="AB333" s="1234" t="str">
        <f t="shared" si="214"/>
        <v/>
      </c>
      <c r="AC333" s="1234" t="str">
        <f t="shared" si="214"/>
        <v/>
      </c>
      <c r="AD333" s="1234" t="str">
        <f t="shared" si="214"/>
        <v/>
      </c>
      <c r="AE333" s="1234" t="str">
        <f t="shared" si="214"/>
        <v/>
      </c>
      <c r="AF333" s="1024" t="str">
        <f t="shared" si="214"/>
        <v/>
      </c>
      <c r="AG333" s="1024" t="str">
        <f t="shared" si="214"/>
        <v/>
      </c>
      <c r="AH333" s="1024" t="str">
        <f t="shared" si="214"/>
        <v/>
      </c>
      <c r="AI333" s="1024" t="str">
        <f t="shared" si="214"/>
        <v/>
      </c>
      <c r="AJ333" s="1024" t="str">
        <f t="shared" si="214"/>
        <v/>
      </c>
      <c r="AK333" s="1024" t="str">
        <f t="shared" si="214"/>
        <v/>
      </c>
      <c r="AL333" s="1024" t="str">
        <f t="shared" si="214"/>
        <v/>
      </c>
      <c r="AM333" s="1024" t="str">
        <f t="shared" si="214"/>
        <v/>
      </c>
      <c r="AN333" s="1024" t="str">
        <f t="shared" si="214"/>
        <v/>
      </c>
      <c r="AO333" s="1024" t="str">
        <f t="shared" si="214"/>
        <v/>
      </c>
      <c r="AP333" s="1024" t="str">
        <f t="shared" si="214"/>
        <v/>
      </c>
      <c r="AQ333" s="1024" t="str">
        <f t="shared" si="214"/>
        <v/>
      </c>
      <c r="AR333" s="1024" t="str">
        <f t="shared" si="214"/>
        <v/>
      </c>
      <c r="AS333" s="1024" t="str">
        <f t="shared" si="214"/>
        <v/>
      </c>
      <c r="AT333" s="1024" t="str">
        <f t="shared" si="214"/>
        <v/>
      </c>
      <c r="AU333" s="1024" t="str">
        <f t="shared" si="214"/>
        <v/>
      </c>
      <c r="AV333" s="1024" t="str">
        <f t="shared" si="214"/>
        <v/>
      </c>
      <c r="AW333" s="1024" t="str">
        <f t="shared" si="214"/>
        <v/>
      </c>
    </row>
    <row r="334" spans="1:49" hidden="1" outlineLevel="1">
      <c r="AW334" s="18"/>
    </row>
    <row r="335" spans="1:49" hidden="1" outlineLevel="1">
      <c r="A335" s="2" t="s">
        <v>81</v>
      </c>
      <c r="AW335" s="18"/>
    </row>
    <row r="336" spans="1:49" s="851" customFormat="1" hidden="1" outlineLevel="1">
      <c r="A336" s="851" t="s">
        <v>90</v>
      </c>
      <c r="B336" s="851" t="str">
        <f t="shared" ref="B336:Z336" si="215">IF(B219="","",B219)</f>
        <v/>
      </c>
      <c r="C336" s="851" t="str">
        <f t="shared" si="215"/>
        <v/>
      </c>
      <c r="D336" s="851" t="str">
        <f t="shared" si="215"/>
        <v/>
      </c>
      <c r="E336" s="851" t="str">
        <f t="shared" si="215"/>
        <v/>
      </c>
      <c r="F336" s="851" t="str">
        <f t="shared" si="215"/>
        <v/>
      </c>
      <c r="G336" s="851" t="str">
        <f t="shared" si="215"/>
        <v/>
      </c>
      <c r="H336" s="851" t="str">
        <f t="shared" si="215"/>
        <v/>
      </c>
      <c r="I336" s="851" t="str">
        <f t="shared" si="215"/>
        <v/>
      </c>
      <c r="J336" s="851" t="str">
        <f t="shared" si="215"/>
        <v/>
      </c>
      <c r="K336" s="851" t="str">
        <f t="shared" si="215"/>
        <v/>
      </c>
      <c r="L336" s="851" t="str">
        <f t="shared" si="215"/>
        <v/>
      </c>
      <c r="M336" s="851" t="str">
        <f t="shared" si="215"/>
        <v/>
      </c>
      <c r="N336" s="851" t="str">
        <f t="shared" si="215"/>
        <v/>
      </c>
      <c r="O336" s="851" t="str">
        <f t="shared" si="215"/>
        <v/>
      </c>
      <c r="P336" s="851" t="str">
        <f t="shared" si="215"/>
        <v/>
      </c>
      <c r="Q336" s="851" t="str">
        <f t="shared" si="215"/>
        <v/>
      </c>
      <c r="R336" s="851" t="str">
        <f t="shared" si="215"/>
        <v/>
      </c>
      <c r="S336" s="851" t="str">
        <f t="shared" si="215"/>
        <v/>
      </c>
      <c r="T336" s="851" t="str">
        <f t="shared" si="215"/>
        <v/>
      </c>
      <c r="U336" s="851" t="str">
        <f t="shared" si="215"/>
        <v/>
      </c>
      <c r="V336" s="851" t="str">
        <f t="shared" si="215"/>
        <v/>
      </c>
      <c r="W336" s="851" t="str">
        <f t="shared" si="215"/>
        <v/>
      </c>
      <c r="X336" s="851" t="str">
        <f t="shared" si="215"/>
        <v/>
      </c>
      <c r="Y336" s="851" t="str">
        <f t="shared" si="215"/>
        <v/>
      </c>
      <c r="Z336" s="851" t="str">
        <f t="shared" si="215"/>
        <v/>
      </c>
      <c r="AA336" s="1224" t="str">
        <f>IF(AA121="","",AA121)</f>
        <v/>
      </c>
      <c r="AB336" s="1230">
        <v>0</v>
      </c>
      <c r="AC336" s="1230">
        <v>0</v>
      </c>
      <c r="AD336" s="1230">
        <v>0</v>
      </c>
      <c r="AE336" s="1230">
        <v>0</v>
      </c>
      <c r="AF336" s="853">
        <f>5%*AF102</f>
        <v>3.2991334569238681E-2</v>
      </c>
      <c r="AG336" s="853">
        <f>AF336</f>
        <v>3.2991334569238681E-2</v>
      </c>
      <c r="AH336" s="853">
        <f t="shared" ref="AH336:AW336" si="216">AG336</f>
        <v>3.2991334569238681E-2</v>
      </c>
      <c r="AI336" s="853">
        <f t="shared" si="216"/>
        <v>3.2991334569238681E-2</v>
      </c>
      <c r="AJ336" s="853">
        <f t="shared" si="216"/>
        <v>3.2991334569238681E-2</v>
      </c>
      <c r="AK336" s="853">
        <f t="shared" si="216"/>
        <v>3.2991334569238681E-2</v>
      </c>
      <c r="AL336" s="853">
        <f t="shared" si="216"/>
        <v>3.2991334569238681E-2</v>
      </c>
      <c r="AM336" s="853">
        <f t="shared" si="216"/>
        <v>3.2991334569238681E-2</v>
      </c>
      <c r="AN336" s="853">
        <f t="shared" si="216"/>
        <v>3.2991334569238681E-2</v>
      </c>
      <c r="AO336" s="853">
        <f t="shared" si="216"/>
        <v>3.2991334569238681E-2</v>
      </c>
      <c r="AP336" s="853">
        <f t="shared" si="216"/>
        <v>3.2991334569238681E-2</v>
      </c>
      <c r="AQ336" s="853">
        <f t="shared" si="216"/>
        <v>3.2991334569238681E-2</v>
      </c>
      <c r="AR336" s="853">
        <f t="shared" si="216"/>
        <v>3.2991334569238681E-2</v>
      </c>
      <c r="AS336" s="853">
        <f t="shared" si="216"/>
        <v>3.2991334569238681E-2</v>
      </c>
      <c r="AT336" s="853">
        <f t="shared" si="216"/>
        <v>3.2991334569238681E-2</v>
      </c>
      <c r="AU336" s="853">
        <f t="shared" si="216"/>
        <v>3.2991334569238681E-2</v>
      </c>
      <c r="AV336" s="853">
        <f t="shared" si="216"/>
        <v>3.2991334569238681E-2</v>
      </c>
      <c r="AW336" s="853">
        <f t="shared" si="216"/>
        <v>3.2991334569238681E-2</v>
      </c>
    </row>
    <row r="337" spans="1:49" hidden="1" outlineLevel="1">
      <c r="A337" s="851" t="s">
        <v>569</v>
      </c>
      <c r="AB337" s="1230">
        <v>-0.02</v>
      </c>
      <c r="AC337" s="1230">
        <v>-0.02</v>
      </c>
      <c r="AD337" s="1230">
        <v>-0.01</v>
      </c>
      <c r="AE337" s="1230">
        <v>-0.01</v>
      </c>
      <c r="AF337" s="853">
        <v>-0.01</v>
      </c>
      <c r="AG337" s="853">
        <f>AF337</f>
        <v>-0.01</v>
      </c>
      <c r="AH337" s="853">
        <f t="shared" ref="AH337:AW338" si="217">AG337</f>
        <v>-0.01</v>
      </c>
      <c r="AI337" s="853">
        <f t="shared" si="217"/>
        <v>-0.01</v>
      </c>
      <c r="AJ337" s="853">
        <f t="shared" si="217"/>
        <v>-0.01</v>
      </c>
      <c r="AK337" s="853">
        <f t="shared" si="217"/>
        <v>-0.01</v>
      </c>
      <c r="AL337" s="853">
        <f t="shared" si="217"/>
        <v>-0.01</v>
      </c>
      <c r="AM337" s="853">
        <f t="shared" si="217"/>
        <v>-0.01</v>
      </c>
      <c r="AN337" s="853">
        <f t="shared" si="217"/>
        <v>-0.01</v>
      </c>
      <c r="AO337" s="853">
        <f t="shared" si="217"/>
        <v>-0.01</v>
      </c>
      <c r="AP337" s="853">
        <f t="shared" si="217"/>
        <v>-0.01</v>
      </c>
      <c r="AQ337" s="853">
        <f t="shared" si="217"/>
        <v>-0.01</v>
      </c>
      <c r="AR337" s="853">
        <f t="shared" si="217"/>
        <v>-0.01</v>
      </c>
      <c r="AS337" s="853">
        <f t="shared" si="217"/>
        <v>-0.01</v>
      </c>
      <c r="AT337" s="853">
        <f t="shared" si="217"/>
        <v>-0.01</v>
      </c>
      <c r="AU337" s="853">
        <f t="shared" si="217"/>
        <v>-0.01</v>
      </c>
      <c r="AV337" s="853">
        <f t="shared" si="217"/>
        <v>-0.01</v>
      </c>
      <c r="AW337" s="853">
        <f t="shared" si="217"/>
        <v>-0.01</v>
      </c>
    </row>
    <row r="338" spans="1:49" hidden="1" outlineLevel="1">
      <c r="A338" s="851" t="s">
        <v>570</v>
      </c>
      <c r="AB338" s="1230">
        <v>-0.02</v>
      </c>
      <c r="AC338" s="1230">
        <v>-0.02</v>
      </c>
      <c r="AD338" s="1230">
        <v>-0.01</v>
      </c>
      <c r="AE338" s="1230">
        <v>-0.01</v>
      </c>
      <c r="AF338" s="853">
        <v>-0.01</v>
      </c>
      <c r="AG338" s="853">
        <f>AF338</f>
        <v>-0.01</v>
      </c>
      <c r="AH338" s="853">
        <f t="shared" si="217"/>
        <v>-0.01</v>
      </c>
      <c r="AI338" s="853">
        <f t="shared" si="217"/>
        <v>-0.01</v>
      </c>
      <c r="AJ338" s="853">
        <f t="shared" si="217"/>
        <v>-0.01</v>
      </c>
      <c r="AK338" s="853">
        <f t="shared" si="217"/>
        <v>-0.01</v>
      </c>
      <c r="AL338" s="853">
        <f t="shared" si="217"/>
        <v>-0.01</v>
      </c>
      <c r="AM338" s="853">
        <f t="shared" si="217"/>
        <v>-0.01</v>
      </c>
      <c r="AN338" s="853">
        <f t="shared" si="217"/>
        <v>-0.01</v>
      </c>
      <c r="AO338" s="853">
        <f t="shared" si="217"/>
        <v>-0.01</v>
      </c>
      <c r="AP338" s="853">
        <f t="shared" si="217"/>
        <v>-0.01</v>
      </c>
      <c r="AQ338" s="853">
        <f t="shared" si="217"/>
        <v>-0.01</v>
      </c>
      <c r="AR338" s="853">
        <f t="shared" si="217"/>
        <v>-0.01</v>
      </c>
      <c r="AS338" s="853">
        <f t="shared" si="217"/>
        <v>-0.01</v>
      </c>
      <c r="AT338" s="853">
        <f t="shared" si="217"/>
        <v>-0.01</v>
      </c>
      <c r="AU338" s="853">
        <f t="shared" si="217"/>
        <v>-0.01</v>
      </c>
      <c r="AV338" s="853">
        <f t="shared" si="217"/>
        <v>-0.01</v>
      </c>
      <c r="AW338" s="853">
        <f t="shared" si="217"/>
        <v>-0.01</v>
      </c>
    </row>
    <row r="339" spans="1:49" hidden="1" outlineLevel="1">
      <c r="A339" s="851" t="s">
        <v>577</v>
      </c>
      <c r="AW339" s="18"/>
    </row>
    <row r="340" spans="1:49" hidden="1" outlineLevel="1">
      <c r="A340" s="2" t="s">
        <v>101</v>
      </c>
      <c r="AW340" s="18"/>
    </row>
    <row r="341" spans="1:49" hidden="1" outlineLevel="1">
      <c r="A341" s="851" t="s">
        <v>90</v>
      </c>
      <c r="AB341" s="1230">
        <v>0</v>
      </c>
      <c r="AC341" s="1230">
        <v>0</v>
      </c>
      <c r="AD341" s="1230">
        <v>0</v>
      </c>
      <c r="AE341" s="1230">
        <v>0</v>
      </c>
      <c r="AF341" s="853">
        <f>5%*AF107</f>
        <v>3.6200000000000003E-2</v>
      </c>
      <c r="AG341" s="853">
        <f>AF341</f>
        <v>3.6200000000000003E-2</v>
      </c>
      <c r="AH341" s="853">
        <f t="shared" ref="AH341:AW341" si="218">AG341</f>
        <v>3.6200000000000003E-2</v>
      </c>
      <c r="AI341" s="853">
        <f t="shared" si="218"/>
        <v>3.6200000000000003E-2</v>
      </c>
      <c r="AJ341" s="853">
        <f t="shared" si="218"/>
        <v>3.6200000000000003E-2</v>
      </c>
      <c r="AK341" s="853">
        <f t="shared" si="218"/>
        <v>3.6200000000000003E-2</v>
      </c>
      <c r="AL341" s="853">
        <f t="shared" si="218"/>
        <v>3.6200000000000003E-2</v>
      </c>
      <c r="AM341" s="853">
        <f t="shared" si="218"/>
        <v>3.6200000000000003E-2</v>
      </c>
      <c r="AN341" s="853">
        <f t="shared" si="218"/>
        <v>3.6200000000000003E-2</v>
      </c>
      <c r="AO341" s="853">
        <f t="shared" si="218"/>
        <v>3.6200000000000003E-2</v>
      </c>
      <c r="AP341" s="853">
        <f t="shared" si="218"/>
        <v>3.6200000000000003E-2</v>
      </c>
      <c r="AQ341" s="853">
        <f t="shared" si="218"/>
        <v>3.6200000000000003E-2</v>
      </c>
      <c r="AR341" s="853">
        <f t="shared" si="218"/>
        <v>3.6200000000000003E-2</v>
      </c>
      <c r="AS341" s="853">
        <f t="shared" si="218"/>
        <v>3.6200000000000003E-2</v>
      </c>
      <c r="AT341" s="853">
        <f t="shared" si="218"/>
        <v>3.6200000000000003E-2</v>
      </c>
      <c r="AU341" s="853">
        <f t="shared" si="218"/>
        <v>3.6200000000000003E-2</v>
      </c>
      <c r="AV341" s="853">
        <f t="shared" si="218"/>
        <v>3.6200000000000003E-2</v>
      </c>
      <c r="AW341" s="853">
        <f t="shared" si="218"/>
        <v>3.6200000000000003E-2</v>
      </c>
    </row>
    <row r="342" spans="1:49" hidden="1" outlineLevel="1">
      <c r="A342" s="851" t="s">
        <v>569</v>
      </c>
      <c r="AB342" s="1230">
        <v>-0.02</v>
      </c>
      <c r="AC342" s="1230">
        <v>-0.02</v>
      </c>
      <c r="AD342" s="1230">
        <v>-0.01</v>
      </c>
      <c r="AE342" s="1230">
        <v>-0.01</v>
      </c>
      <c r="AF342" s="853">
        <v>-0.01</v>
      </c>
      <c r="AG342" s="853">
        <f>AF342</f>
        <v>-0.01</v>
      </c>
      <c r="AH342" s="853">
        <f t="shared" ref="AH342:AW342" si="219">AG342</f>
        <v>-0.01</v>
      </c>
      <c r="AI342" s="853">
        <f t="shared" si="219"/>
        <v>-0.01</v>
      </c>
      <c r="AJ342" s="853">
        <f t="shared" si="219"/>
        <v>-0.01</v>
      </c>
      <c r="AK342" s="853">
        <f t="shared" si="219"/>
        <v>-0.01</v>
      </c>
      <c r="AL342" s="853">
        <f t="shared" si="219"/>
        <v>-0.01</v>
      </c>
      <c r="AM342" s="853">
        <f t="shared" si="219"/>
        <v>-0.01</v>
      </c>
      <c r="AN342" s="853">
        <f t="shared" si="219"/>
        <v>-0.01</v>
      </c>
      <c r="AO342" s="853">
        <f t="shared" si="219"/>
        <v>-0.01</v>
      </c>
      <c r="AP342" s="853">
        <f t="shared" si="219"/>
        <v>-0.01</v>
      </c>
      <c r="AQ342" s="853">
        <f t="shared" si="219"/>
        <v>-0.01</v>
      </c>
      <c r="AR342" s="853">
        <f t="shared" si="219"/>
        <v>-0.01</v>
      </c>
      <c r="AS342" s="853">
        <f t="shared" si="219"/>
        <v>-0.01</v>
      </c>
      <c r="AT342" s="853">
        <f t="shared" si="219"/>
        <v>-0.01</v>
      </c>
      <c r="AU342" s="853">
        <f t="shared" si="219"/>
        <v>-0.01</v>
      </c>
      <c r="AV342" s="853">
        <f t="shared" si="219"/>
        <v>-0.01</v>
      </c>
      <c r="AW342" s="853">
        <f t="shared" si="219"/>
        <v>-0.01</v>
      </c>
    </row>
    <row r="343" spans="1:49" hidden="1" outlineLevel="1">
      <c r="A343" s="851" t="s">
        <v>570</v>
      </c>
      <c r="AB343" s="1230">
        <v>-0.02</v>
      </c>
      <c r="AC343" s="1230">
        <v>-0.02</v>
      </c>
      <c r="AD343" s="1230">
        <v>-0.01</v>
      </c>
      <c r="AE343" s="1230">
        <v>-0.01</v>
      </c>
      <c r="AF343" s="853">
        <v>-0.01</v>
      </c>
      <c r="AG343" s="853">
        <f>AF343</f>
        <v>-0.01</v>
      </c>
      <c r="AH343" s="853">
        <f t="shared" ref="AH343:AW343" si="220">AG343</f>
        <v>-0.01</v>
      </c>
      <c r="AI343" s="853">
        <f t="shared" si="220"/>
        <v>-0.01</v>
      </c>
      <c r="AJ343" s="853">
        <f t="shared" si="220"/>
        <v>-0.01</v>
      </c>
      <c r="AK343" s="853">
        <f t="shared" si="220"/>
        <v>-0.01</v>
      </c>
      <c r="AL343" s="853">
        <f t="shared" si="220"/>
        <v>-0.01</v>
      </c>
      <c r="AM343" s="853">
        <f t="shared" si="220"/>
        <v>-0.01</v>
      </c>
      <c r="AN343" s="853">
        <f t="shared" si="220"/>
        <v>-0.01</v>
      </c>
      <c r="AO343" s="853">
        <f t="shared" si="220"/>
        <v>-0.01</v>
      </c>
      <c r="AP343" s="853">
        <f t="shared" si="220"/>
        <v>-0.01</v>
      </c>
      <c r="AQ343" s="853">
        <f t="shared" si="220"/>
        <v>-0.01</v>
      </c>
      <c r="AR343" s="853">
        <f t="shared" si="220"/>
        <v>-0.01</v>
      </c>
      <c r="AS343" s="853">
        <f t="shared" si="220"/>
        <v>-0.01</v>
      </c>
      <c r="AT343" s="853">
        <f t="shared" si="220"/>
        <v>-0.01</v>
      </c>
      <c r="AU343" s="853">
        <f t="shared" si="220"/>
        <v>-0.01</v>
      </c>
      <c r="AV343" s="853">
        <f t="shared" si="220"/>
        <v>-0.01</v>
      </c>
      <c r="AW343" s="853">
        <f t="shared" si="220"/>
        <v>-0.01</v>
      </c>
    </row>
    <row r="344" spans="1:49" hidden="1" outlineLevel="1">
      <c r="A344" s="851" t="s">
        <v>577</v>
      </c>
      <c r="AW344" s="18"/>
    </row>
    <row r="345" spans="1:49" hidden="1" outlineLevel="1">
      <c r="A345" s="2" t="s">
        <v>116</v>
      </c>
      <c r="AW345" s="18"/>
    </row>
    <row r="346" spans="1:49" hidden="1" outlineLevel="1">
      <c r="A346" s="851" t="s">
        <v>90</v>
      </c>
      <c r="AB346" s="1230">
        <v>0</v>
      </c>
      <c r="AC346" s="1230">
        <v>0</v>
      </c>
      <c r="AD346" s="1230">
        <v>0</v>
      </c>
      <c r="AE346" s="1230">
        <v>0</v>
      </c>
      <c r="AF346" s="853">
        <f>5%*AF113</f>
        <v>3.9295000000000004E-2</v>
      </c>
      <c r="AG346" s="853">
        <f>AF346</f>
        <v>3.9295000000000004E-2</v>
      </c>
      <c r="AH346" s="853">
        <f t="shared" ref="AH346:AW346" si="221">AG346</f>
        <v>3.9295000000000004E-2</v>
      </c>
      <c r="AI346" s="853">
        <f t="shared" si="221"/>
        <v>3.9295000000000004E-2</v>
      </c>
      <c r="AJ346" s="853">
        <f t="shared" si="221"/>
        <v>3.9295000000000004E-2</v>
      </c>
      <c r="AK346" s="853">
        <f t="shared" si="221"/>
        <v>3.9295000000000004E-2</v>
      </c>
      <c r="AL346" s="853">
        <f t="shared" si="221"/>
        <v>3.9295000000000004E-2</v>
      </c>
      <c r="AM346" s="853">
        <f t="shared" si="221"/>
        <v>3.9295000000000004E-2</v>
      </c>
      <c r="AN346" s="853">
        <f t="shared" si="221"/>
        <v>3.9295000000000004E-2</v>
      </c>
      <c r="AO346" s="853">
        <f t="shared" si="221"/>
        <v>3.9295000000000004E-2</v>
      </c>
      <c r="AP346" s="853">
        <f t="shared" si="221"/>
        <v>3.9295000000000004E-2</v>
      </c>
      <c r="AQ346" s="853">
        <f t="shared" si="221"/>
        <v>3.9295000000000004E-2</v>
      </c>
      <c r="AR346" s="853">
        <f t="shared" si="221"/>
        <v>3.9295000000000004E-2</v>
      </c>
      <c r="AS346" s="853">
        <f t="shared" si="221"/>
        <v>3.9295000000000004E-2</v>
      </c>
      <c r="AT346" s="853">
        <f t="shared" si="221"/>
        <v>3.9295000000000004E-2</v>
      </c>
      <c r="AU346" s="853">
        <f t="shared" si="221"/>
        <v>3.9295000000000004E-2</v>
      </c>
      <c r="AV346" s="853">
        <f t="shared" si="221"/>
        <v>3.9295000000000004E-2</v>
      </c>
      <c r="AW346" s="853">
        <f t="shared" si="221"/>
        <v>3.9295000000000004E-2</v>
      </c>
    </row>
    <row r="347" spans="1:49" hidden="1" outlineLevel="1">
      <c r="A347" s="851" t="s">
        <v>569</v>
      </c>
      <c r="AB347" s="1230">
        <v>-0.02</v>
      </c>
      <c r="AC347" s="1230">
        <v>-0.02</v>
      </c>
      <c r="AD347" s="1230">
        <v>-0.01</v>
      </c>
      <c r="AE347" s="1230">
        <v>-0.01</v>
      </c>
      <c r="AF347" s="853">
        <v>-0.01</v>
      </c>
      <c r="AG347" s="853">
        <f>AF347</f>
        <v>-0.01</v>
      </c>
      <c r="AH347" s="853">
        <f t="shared" ref="AH347:AW347" si="222">AG347</f>
        <v>-0.01</v>
      </c>
      <c r="AI347" s="853">
        <f t="shared" si="222"/>
        <v>-0.01</v>
      </c>
      <c r="AJ347" s="853">
        <f t="shared" si="222"/>
        <v>-0.01</v>
      </c>
      <c r="AK347" s="853">
        <f t="shared" si="222"/>
        <v>-0.01</v>
      </c>
      <c r="AL347" s="853">
        <f t="shared" si="222"/>
        <v>-0.01</v>
      </c>
      <c r="AM347" s="853">
        <f t="shared" si="222"/>
        <v>-0.01</v>
      </c>
      <c r="AN347" s="853">
        <f t="shared" si="222"/>
        <v>-0.01</v>
      </c>
      <c r="AO347" s="853">
        <f t="shared" si="222"/>
        <v>-0.01</v>
      </c>
      <c r="AP347" s="853">
        <f t="shared" si="222"/>
        <v>-0.01</v>
      </c>
      <c r="AQ347" s="853">
        <f t="shared" si="222"/>
        <v>-0.01</v>
      </c>
      <c r="AR347" s="853">
        <f t="shared" si="222"/>
        <v>-0.01</v>
      </c>
      <c r="AS347" s="853">
        <f t="shared" si="222"/>
        <v>-0.01</v>
      </c>
      <c r="AT347" s="853">
        <f t="shared" si="222"/>
        <v>-0.01</v>
      </c>
      <c r="AU347" s="853">
        <f t="shared" si="222"/>
        <v>-0.01</v>
      </c>
      <c r="AV347" s="853">
        <f t="shared" si="222"/>
        <v>-0.01</v>
      </c>
      <c r="AW347" s="853">
        <f t="shared" si="222"/>
        <v>-0.01</v>
      </c>
    </row>
    <row r="348" spans="1:49" hidden="1" outlineLevel="1">
      <c r="A348" s="851" t="s">
        <v>570</v>
      </c>
      <c r="AB348" s="1230">
        <v>-0.02</v>
      </c>
      <c r="AC348" s="1230">
        <v>-0.02</v>
      </c>
      <c r="AD348" s="1230">
        <v>-0.01</v>
      </c>
      <c r="AE348" s="1230">
        <v>-0.01</v>
      </c>
      <c r="AF348" s="853">
        <v>-0.01</v>
      </c>
      <c r="AG348" s="853">
        <f>AF348</f>
        <v>-0.01</v>
      </c>
      <c r="AH348" s="853">
        <f t="shared" ref="AH348:AW348" si="223">AG348</f>
        <v>-0.01</v>
      </c>
      <c r="AI348" s="853">
        <f t="shared" si="223"/>
        <v>-0.01</v>
      </c>
      <c r="AJ348" s="853">
        <f t="shared" si="223"/>
        <v>-0.01</v>
      </c>
      <c r="AK348" s="853">
        <f t="shared" si="223"/>
        <v>-0.01</v>
      </c>
      <c r="AL348" s="853">
        <f t="shared" si="223"/>
        <v>-0.01</v>
      </c>
      <c r="AM348" s="853">
        <f t="shared" si="223"/>
        <v>-0.01</v>
      </c>
      <c r="AN348" s="853">
        <f t="shared" si="223"/>
        <v>-0.01</v>
      </c>
      <c r="AO348" s="853">
        <f t="shared" si="223"/>
        <v>-0.01</v>
      </c>
      <c r="AP348" s="853">
        <f t="shared" si="223"/>
        <v>-0.01</v>
      </c>
      <c r="AQ348" s="853">
        <f t="shared" si="223"/>
        <v>-0.01</v>
      </c>
      <c r="AR348" s="853">
        <f t="shared" si="223"/>
        <v>-0.01</v>
      </c>
      <c r="AS348" s="853">
        <f t="shared" si="223"/>
        <v>-0.01</v>
      </c>
      <c r="AT348" s="853">
        <f t="shared" si="223"/>
        <v>-0.01</v>
      </c>
      <c r="AU348" s="853">
        <f t="shared" si="223"/>
        <v>-0.01</v>
      </c>
      <c r="AV348" s="853">
        <f t="shared" si="223"/>
        <v>-0.01</v>
      </c>
      <c r="AW348" s="853">
        <f t="shared" si="223"/>
        <v>-0.01</v>
      </c>
    </row>
    <row r="349" spans="1:49" hidden="1" outlineLevel="1">
      <c r="A349" s="851" t="s">
        <v>577</v>
      </c>
      <c r="AW349" s="18"/>
    </row>
    <row r="350" spans="1:49" hidden="1" outlineLevel="1">
      <c r="A350" s="2" t="s">
        <v>121</v>
      </c>
      <c r="AW350" s="18"/>
    </row>
    <row r="351" spans="1:49" hidden="1" outlineLevel="1">
      <c r="A351" s="851" t="s">
        <v>571</v>
      </c>
      <c r="AB351" s="1230">
        <v>-0.02</v>
      </c>
      <c r="AC351" s="1230">
        <v>-0.02</v>
      </c>
      <c r="AD351" s="1230">
        <v>-0.01</v>
      </c>
      <c r="AE351" s="1230">
        <v>-0.01</v>
      </c>
      <c r="AF351" s="853">
        <v>-0.01</v>
      </c>
      <c r="AG351" s="853">
        <f>AF351</f>
        <v>-0.01</v>
      </c>
      <c r="AH351" s="853">
        <f t="shared" ref="AH351:AW352" si="224">AG351</f>
        <v>-0.01</v>
      </c>
      <c r="AI351" s="853">
        <f t="shared" si="224"/>
        <v>-0.01</v>
      </c>
      <c r="AJ351" s="853">
        <f t="shared" si="224"/>
        <v>-0.01</v>
      </c>
      <c r="AK351" s="853">
        <f t="shared" si="224"/>
        <v>-0.01</v>
      </c>
      <c r="AL351" s="853">
        <f t="shared" si="224"/>
        <v>-0.01</v>
      </c>
      <c r="AM351" s="853">
        <f t="shared" si="224"/>
        <v>-0.01</v>
      </c>
      <c r="AN351" s="853">
        <f t="shared" si="224"/>
        <v>-0.01</v>
      </c>
      <c r="AO351" s="853">
        <f t="shared" si="224"/>
        <v>-0.01</v>
      </c>
      <c r="AP351" s="853">
        <f t="shared" si="224"/>
        <v>-0.01</v>
      </c>
      <c r="AQ351" s="853">
        <f t="shared" si="224"/>
        <v>-0.01</v>
      </c>
      <c r="AR351" s="853">
        <f t="shared" si="224"/>
        <v>-0.01</v>
      </c>
      <c r="AS351" s="853">
        <f t="shared" si="224"/>
        <v>-0.01</v>
      </c>
      <c r="AT351" s="853">
        <f t="shared" si="224"/>
        <v>-0.01</v>
      </c>
      <c r="AU351" s="853">
        <f t="shared" si="224"/>
        <v>-0.01</v>
      </c>
      <c r="AV351" s="853">
        <f t="shared" si="224"/>
        <v>-0.01</v>
      </c>
      <c r="AW351" s="853">
        <f t="shared" si="224"/>
        <v>-0.01</v>
      </c>
    </row>
    <row r="352" spans="1:49" hidden="1" outlineLevel="1">
      <c r="A352" s="851" t="s">
        <v>90</v>
      </c>
      <c r="AB352" s="1230">
        <v>0</v>
      </c>
      <c r="AC352" s="1230">
        <v>0</v>
      </c>
      <c r="AD352" s="1230">
        <v>0</v>
      </c>
      <c r="AE352" s="1230">
        <v>0</v>
      </c>
      <c r="AF352" s="853">
        <f>5%*AF120</f>
        <v>4.4120000000000006E-2</v>
      </c>
      <c r="AG352" s="853">
        <f>AF352</f>
        <v>4.4120000000000006E-2</v>
      </c>
      <c r="AH352" s="853">
        <f t="shared" si="224"/>
        <v>4.4120000000000006E-2</v>
      </c>
      <c r="AI352" s="853">
        <f t="shared" si="224"/>
        <v>4.4120000000000006E-2</v>
      </c>
      <c r="AJ352" s="853">
        <f t="shared" si="224"/>
        <v>4.4120000000000006E-2</v>
      </c>
      <c r="AK352" s="853">
        <f t="shared" si="224"/>
        <v>4.4120000000000006E-2</v>
      </c>
      <c r="AL352" s="853">
        <f t="shared" si="224"/>
        <v>4.4120000000000006E-2</v>
      </c>
      <c r="AM352" s="853">
        <f t="shared" si="224"/>
        <v>4.4120000000000006E-2</v>
      </c>
      <c r="AN352" s="853">
        <f t="shared" si="224"/>
        <v>4.4120000000000006E-2</v>
      </c>
      <c r="AO352" s="853">
        <f t="shared" si="224"/>
        <v>4.4120000000000006E-2</v>
      </c>
      <c r="AP352" s="853">
        <f t="shared" si="224"/>
        <v>4.4120000000000006E-2</v>
      </c>
      <c r="AQ352" s="853">
        <f t="shared" si="224"/>
        <v>4.4120000000000006E-2</v>
      </c>
      <c r="AR352" s="853">
        <f t="shared" si="224"/>
        <v>4.4120000000000006E-2</v>
      </c>
      <c r="AS352" s="853">
        <f t="shared" si="224"/>
        <v>4.4120000000000006E-2</v>
      </c>
      <c r="AT352" s="853">
        <f t="shared" si="224"/>
        <v>4.4120000000000006E-2</v>
      </c>
      <c r="AU352" s="853">
        <f t="shared" si="224"/>
        <v>4.4120000000000006E-2</v>
      </c>
      <c r="AV352" s="853">
        <f t="shared" si="224"/>
        <v>4.4120000000000006E-2</v>
      </c>
      <c r="AW352" s="853">
        <f t="shared" si="224"/>
        <v>4.4120000000000006E-2</v>
      </c>
    </row>
    <row r="353" spans="1:49" hidden="1" outlineLevel="1">
      <c r="A353" s="851"/>
      <c r="AW353" s="18"/>
    </row>
    <row r="354" spans="1:49" hidden="1" outlineLevel="1">
      <c r="A354" s="851" t="s">
        <v>577</v>
      </c>
      <c r="AW354" s="18"/>
    </row>
    <row r="355" spans="1:49" hidden="1" outlineLevel="1">
      <c r="A355" s="2" t="s">
        <v>130</v>
      </c>
      <c r="AW355" s="18"/>
    </row>
    <row r="356" spans="1:49" hidden="1" outlineLevel="1">
      <c r="A356" s="851" t="s">
        <v>90</v>
      </c>
      <c r="AB356" s="1230">
        <v>0</v>
      </c>
      <c r="AC356" s="1230">
        <v>0</v>
      </c>
      <c r="AD356" s="1230">
        <v>0</v>
      </c>
      <c r="AE356" s="1230">
        <v>0</v>
      </c>
      <c r="AF356" s="853">
        <f>5%*AF126</f>
        <v>4.1410000000000002E-2</v>
      </c>
      <c r="AG356" s="853">
        <f>AF356</f>
        <v>4.1410000000000002E-2</v>
      </c>
      <c r="AH356" s="853">
        <f t="shared" ref="AH356:AW356" si="225">AG356</f>
        <v>4.1410000000000002E-2</v>
      </c>
      <c r="AI356" s="853">
        <f t="shared" si="225"/>
        <v>4.1410000000000002E-2</v>
      </c>
      <c r="AJ356" s="853">
        <f t="shared" si="225"/>
        <v>4.1410000000000002E-2</v>
      </c>
      <c r="AK356" s="853">
        <f t="shared" si="225"/>
        <v>4.1410000000000002E-2</v>
      </c>
      <c r="AL356" s="853">
        <f t="shared" si="225"/>
        <v>4.1410000000000002E-2</v>
      </c>
      <c r="AM356" s="853">
        <f t="shared" si="225"/>
        <v>4.1410000000000002E-2</v>
      </c>
      <c r="AN356" s="853">
        <f t="shared" si="225"/>
        <v>4.1410000000000002E-2</v>
      </c>
      <c r="AO356" s="853">
        <f t="shared" si="225"/>
        <v>4.1410000000000002E-2</v>
      </c>
      <c r="AP356" s="853">
        <f t="shared" si="225"/>
        <v>4.1410000000000002E-2</v>
      </c>
      <c r="AQ356" s="853">
        <f t="shared" si="225"/>
        <v>4.1410000000000002E-2</v>
      </c>
      <c r="AR356" s="853">
        <f t="shared" si="225"/>
        <v>4.1410000000000002E-2</v>
      </c>
      <c r="AS356" s="853">
        <f t="shared" si="225"/>
        <v>4.1410000000000002E-2</v>
      </c>
      <c r="AT356" s="853">
        <f t="shared" si="225"/>
        <v>4.1410000000000002E-2</v>
      </c>
      <c r="AU356" s="853">
        <f t="shared" si="225"/>
        <v>4.1410000000000002E-2</v>
      </c>
      <c r="AV356" s="853">
        <f t="shared" si="225"/>
        <v>4.1410000000000002E-2</v>
      </c>
      <c r="AW356" s="853">
        <f t="shared" si="225"/>
        <v>4.1410000000000002E-2</v>
      </c>
    </row>
    <row r="357" spans="1:49" hidden="1" outlineLevel="1">
      <c r="A357" s="851" t="s">
        <v>577</v>
      </c>
    </row>
    <row r="358" spans="1:49" hidden="1" outlineLevel="1">
      <c r="A358" s="2"/>
    </row>
    <row r="359" spans="1:49" collapsed="1">
      <c r="A359" s="851" t="s">
        <v>577</v>
      </c>
    </row>
    <row r="360" spans="1:49">
      <c r="A360" s="851" t="s">
        <v>577</v>
      </c>
    </row>
    <row r="361" spans="1:49">
      <c r="A361" s="851" t="s">
        <v>577</v>
      </c>
    </row>
    <row r="362" spans="1:49">
      <c r="A362" s="2"/>
    </row>
  </sheetData>
  <pageMargins left="0.7" right="0.7" top="0.75" bottom="0.75" header="0.3" footer="0.3"/>
  <pageSetup orientation="portrait" horizontalDpi="300" verticalDpi="0" copies="0" r:id="rId1"/>
  <drawing r:id="rId2"/>
  <legacyDrawing r:id="rId3"/>
  <mc:AlternateContent xmlns:mc="http://schemas.openxmlformats.org/markup-compatibility/2006">
    <mc:Choice Requires="x14">
      <controls>
        <mc:AlternateContent xmlns:mc="http://schemas.openxmlformats.org/markup-compatibility/2006">
          <mc:Choice Requires="x14">
            <control shapeId="30721" r:id="rId4" name="Group Box 1">
              <controlPr defaultSize="0" autoFill="0" autoPict="0">
                <anchor moveWithCells="1">
                  <from>
                    <xdr:col>35</xdr:col>
                    <xdr:colOff>619125</xdr:colOff>
                    <xdr:row>4</xdr:row>
                    <xdr:rowOff>123825</xdr:rowOff>
                  </from>
                  <to>
                    <xdr:col>41</xdr:col>
                    <xdr:colOff>361950</xdr:colOff>
                    <xdr:row>7</xdr:row>
                    <xdr:rowOff>76200</xdr:rowOff>
                  </to>
                </anchor>
              </controlPr>
            </control>
          </mc:Choice>
        </mc:AlternateContent>
        <mc:AlternateContent xmlns:mc="http://schemas.openxmlformats.org/markup-compatibility/2006">
          <mc:Choice Requires="x14">
            <control shapeId="30722" r:id="rId5" name="Option Button 2">
              <controlPr defaultSize="0" autoFill="0" autoLine="0" autoPict="0">
                <anchor moveWithCells="1">
                  <from>
                    <xdr:col>35</xdr:col>
                    <xdr:colOff>819150</xdr:colOff>
                    <xdr:row>4</xdr:row>
                    <xdr:rowOff>180975</xdr:rowOff>
                  </from>
                  <to>
                    <xdr:col>37</xdr:col>
                    <xdr:colOff>485775</xdr:colOff>
                    <xdr:row>7</xdr:row>
                    <xdr:rowOff>47625</xdr:rowOff>
                  </to>
                </anchor>
              </controlPr>
            </control>
          </mc:Choice>
        </mc:AlternateContent>
        <mc:AlternateContent xmlns:mc="http://schemas.openxmlformats.org/markup-compatibility/2006">
          <mc:Choice Requires="x14">
            <control shapeId="30723" r:id="rId6" name="Option Button 3">
              <controlPr defaultSize="0" autoFill="0" autoLine="0" autoPict="0">
                <anchor moveWithCells="1">
                  <from>
                    <xdr:col>37</xdr:col>
                    <xdr:colOff>695325</xdr:colOff>
                    <xdr:row>4</xdr:row>
                    <xdr:rowOff>180975</xdr:rowOff>
                  </from>
                  <to>
                    <xdr:col>39</xdr:col>
                    <xdr:colOff>361950</xdr:colOff>
                    <xdr:row>7</xdr:row>
                    <xdr:rowOff>47625</xdr:rowOff>
                  </to>
                </anchor>
              </controlPr>
            </control>
          </mc:Choice>
        </mc:AlternateContent>
        <mc:AlternateContent xmlns:mc="http://schemas.openxmlformats.org/markup-compatibility/2006">
          <mc:Choice Requires="x14">
            <control shapeId="30724" r:id="rId7" name="Option Button 4">
              <controlPr defaultSize="0" autoFill="0" autoLine="0" autoPict="0">
                <anchor moveWithCells="1">
                  <from>
                    <xdr:col>39</xdr:col>
                    <xdr:colOff>581025</xdr:colOff>
                    <xdr:row>4</xdr:row>
                    <xdr:rowOff>180975</xdr:rowOff>
                  </from>
                  <to>
                    <xdr:col>41</xdr:col>
                    <xdr:colOff>247650</xdr:colOff>
                    <xdr:row>7</xdr:row>
                    <xdr:rowOff>47625</xdr:rowOff>
                  </to>
                </anchor>
              </controlPr>
            </control>
          </mc:Choice>
        </mc:AlternateContent>
      </controls>
    </mc:Choice>
  </mc:AlternateConten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A1:AS115"/>
  <sheetViews>
    <sheetView workbookViewId="0">
      <pane xSplit="1" ySplit="4" topLeftCell="B91" activePane="bottomRight" state="frozen"/>
      <selection activeCell="A4" sqref="A4"/>
      <selection pane="topRight" activeCell="B4" sqref="B4"/>
      <selection pane="bottomLeft" activeCell="A5" sqref="A5"/>
      <selection pane="bottomRight" activeCell="Y87" sqref="Y87"/>
    </sheetView>
  </sheetViews>
  <sheetFormatPr defaultColWidth="11" defaultRowHeight="15.75"/>
  <cols>
    <col min="1" max="1" width="29.125" customWidth="1"/>
    <col min="2" max="17" width="0" hidden="1" customWidth="1"/>
    <col min="18" max="18" width="10.875" style="563"/>
    <col min="19" max="22" width="10.875" style="18"/>
  </cols>
  <sheetData>
    <row r="1" spans="1:45" hidden="1"/>
    <row r="2" spans="1:45" hidden="1"/>
    <row r="3" spans="1:45" hidden="1">
      <c r="L3" t="s">
        <v>3</v>
      </c>
      <c r="M3" s="851" t="s">
        <v>3</v>
      </c>
      <c r="N3" s="851" t="s">
        <v>3</v>
      </c>
      <c r="O3" s="851" t="s">
        <v>3</v>
      </c>
      <c r="P3" s="851" t="s">
        <v>3</v>
      </c>
      <c r="Q3" s="851" t="s">
        <v>3</v>
      </c>
      <c r="R3" s="563" t="s">
        <v>3</v>
      </c>
      <c r="S3" s="18" t="s">
        <v>3</v>
      </c>
      <c r="T3" s="18" t="s">
        <v>3</v>
      </c>
      <c r="U3" s="18" t="s">
        <v>3</v>
      </c>
      <c r="V3" s="18" t="s">
        <v>3</v>
      </c>
      <c r="W3" s="18" t="s">
        <v>3</v>
      </c>
      <c r="X3" s="18" t="s">
        <v>3</v>
      </c>
    </row>
    <row r="4" spans="1:45">
      <c r="B4">
        <v>2000</v>
      </c>
      <c r="C4">
        <v>2001</v>
      </c>
      <c r="D4" s="851">
        <v>2002</v>
      </c>
      <c r="E4" s="851">
        <v>2003</v>
      </c>
      <c r="F4" s="851">
        <v>2004</v>
      </c>
      <c r="G4" s="851">
        <v>2005</v>
      </c>
      <c r="H4" s="851">
        <v>2006</v>
      </c>
      <c r="I4" s="851">
        <v>2007</v>
      </c>
      <c r="J4" s="851">
        <v>2008</v>
      </c>
      <c r="K4" s="851">
        <v>2009</v>
      </c>
      <c r="L4" s="851">
        <v>2010</v>
      </c>
      <c r="M4" s="851">
        <v>2011</v>
      </c>
      <c r="N4" s="851">
        <v>2012</v>
      </c>
      <c r="O4" s="851">
        <v>2013</v>
      </c>
      <c r="P4" s="851">
        <v>2014</v>
      </c>
      <c r="Q4" s="851">
        <v>2015</v>
      </c>
      <c r="R4" s="563">
        <v>2016</v>
      </c>
      <c r="S4" s="18">
        <v>2017</v>
      </c>
      <c r="T4" s="18">
        <v>2018</v>
      </c>
      <c r="U4" s="18">
        <v>2019</v>
      </c>
      <c r="V4" s="18">
        <v>2020</v>
      </c>
      <c r="W4" s="18">
        <v>2021</v>
      </c>
      <c r="X4" s="18">
        <v>2022</v>
      </c>
    </row>
    <row r="5" spans="1:45">
      <c r="W5" s="18"/>
    </row>
    <row r="6" spans="1:45" s="10" customFormat="1" ht="19.5" thickBot="1">
      <c r="A6" s="1280" t="s">
        <v>889</v>
      </c>
      <c r="B6" s="1281"/>
      <c r="C6" s="1281"/>
      <c r="D6" s="1281"/>
      <c r="E6" s="1281"/>
      <c r="F6" s="1281"/>
      <c r="G6" s="1281"/>
      <c r="H6" s="1281"/>
      <c r="I6" s="1282"/>
      <c r="J6" s="1282"/>
      <c r="K6" s="1282"/>
      <c r="L6" s="1282"/>
      <c r="M6" s="1282"/>
      <c r="N6" s="1281"/>
      <c r="O6" s="1281"/>
      <c r="P6" s="1281"/>
      <c r="Q6" s="1281">
        <f>Q4</f>
        <v>2015</v>
      </c>
      <c r="R6" s="1282">
        <f>R4</f>
        <v>2016</v>
      </c>
      <c r="S6" s="1283" t="str">
        <f t="shared" ref="S6:V6" si="0">S4&amp;"E"</f>
        <v>2017E</v>
      </c>
      <c r="T6" s="1283" t="str">
        <f t="shared" si="0"/>
        <v>2018E</v>
      </c>
      <c r="U6" s="1283" t="str">
        <f t="shared" si="0"/>
        <v>2019E</v>
      </c>
      <c r="V6" s="1283" t="str">
        <f t="shared" si="0"/>
        <v>2020E</v>
      </c>
      <c r="W6" s="1283" t="str">
        <f t="shared" ref="W6" si="1">W4&amp;"E"</f>
        <v>2021E</v>
      </c>
      <c r="X6" s="100"/>
      <c r="Y6" s="100"/>
      <c r="Z6" s="100"/>
      <c r="AA6" s="100"/>
      <c r="AB6" s="101"/>
      <c r="AC6" s="101"/>
      <c r="AD6" s="101"/>
      <c r="AE6" s="101"/>
      <c r="AF6" s="101"/>
      <c r="AG6" s="101"/>
      <c r="AH6" s="101"/>
      <c r="AI6" s="101"/>
      <c r="AJ6" s="101"/>
      <c r="AK6" s="101"/>
      <c r="AL6" s="101"/>
      <c r="AM6" s="101"/>
      <c r="AN6" s="101"/>
      <c r="AO6" s="101"/>
      <c r="AP6" s="101"/>
      <c r="AQ6" s="101"/>
      <c r="AR6" s="101"/>
      <c r="AS6" s="101"/>
    </row>
    <row r="7" spans="1:45" s="851" customFormat="1">
      <c r="A7" s="134"/>
      <c r="B7" s="1039"/>
      <c r="C7" s="1039"/>
      <c r="D7" s="1039"/>
      <c r="E7" s="1039"/>
      <c r="F7" s="1039"/>
      <c r="G7" s="1039"/>
      <c r="H7" s="1039"/>
      <c r="I7" s="1040"/>
      <c r="J7" s="1040"/>
      <c r="K7" s="1040"/>
      <c r="L7" s="1040"/>
      <c r="M7" s="1040"/>
      <c r="N7" s="1039"/>
      <c r="O7" s="1039"/>
      <c r="P7" s="1039"/>
      <c r="Q7" s="1039"/>
      <c r="R7" s="1040"/>
      <c r="S7" s="1041"/>
      <c r="T7" s="1041"/>
      <c r="U7" s="1041"/>
      <c r="V7" s="1041"/>
      <c r="W7" s="1041"/>
      <c r="X7" s="4"/>
      <c r="Y7" s="4"/>
      <c r="Z7" s="4"/>
      <c r="AA7" s="4"/>
      <c r="AB7" s="19"/>
      <c r="AC7" s="19"/>
      <c r="AD7" s="19"/>
      <c r="AE7" s="19"/>
      <c r="AF7" s="19"/>
      <c r="AG7" s="19"/>
      <c r="AH7" s="19"/>
      <c r="AI7" s="19"/>
      <c r="AJ7" s="19"/>
      <c r="AK7" s="19"/>
      <c r="AL7" s="19"/>
      <c r="AM7" s="19"/>
      <c r="AN7" s="19"/>
      <c r="AO7" s="19"/>
      <c r="AP7" s="19"/>
      <c r="AQ7" s="19"/>
      <c r="AR7" s="19"/>
      <c r="AS7" s="19"/>
    </row>
    <row r="8" spans="1:45" s="851" customFormat="1" hidden="1">
      <c r="A8" s="134" t="s">
        <v>67</v>
      </c>
      <c r="B8" s="1039"/>
      <c r="C8" s="1039"/>
      <c r="D8" s="1039"/>
      <c r="E8" s="1039"/>
      <c r="F8" s="1039"/>
      <c r="G8" s="1039">
        <v>6918</v>
      </c>
      <c r="H8" s="1040">
        <v>6565</v>
      </c>
      <c r="I8" s="1040">
        <v>8442</v>
      </c>
      <c r="J8" s="1040">
        <v>8536</v>
      </c>
      <c r="K8" s="1040">
        <v>6891</v>
      </c>
      <c r="L8" s="1040">
        <f>SUMIF(Model!$2:$2,Annual!L$4,Model!8:8)</f>
        <v>6474</v>
      </c>
      <c r="M8" s="1040">
        <f>SUMIF(Model!$2:$2,Annual!M$4,Model!8:8)</f>
        <v>6426</v>
      </c>
      <c r="N8" s="1039">
        <f>SUMIF(Model!$2:$2,Annual!N$4,Model!8:8)</f>
        <v>7143</v>
      </c>
      <c r="O8" s="1039">
        <f>SUMIF(Model!$2:$2,Annual!O$4,Model!8:8)</f>
        <v>8115</v>
      </c>
      <c r="P8" s="1039">
        <f>SUMIF(Model!$2:$2,Annual!P$4,Model!8:8)</f>
        <v>9034</v>
      </c>
      <c r="Q8" s="1039">
        <f>SUMIF(Model!$2:$2,Annual!Q$4,Model!8:8)</f>
        <v>9299</v>
      </c>
      <c r="R8" s="1040">
        <f>SUMIF(Model!$2:$2,Annual!R$4,Model!8:8)</f>
        <v>7562</v>
      </c>
      <c r="S8" s="1041"/>
      <c r="T8" s="1041"/>
      <c r="U8" s="1041"/>
      <c r="V8" s="1041"/>
      <c r="W8" s="1041"/>
      <c r="X8" s="4"/>
      <c r="Y8" s="4"/>
      <c r="Z8" s="4"/>
      <c r="AA8" s="4"/>
      <c r="AB8" s="144"/>
      <c r="AC8" s="19"/>
      <c r="AD8" s="19"/>
      <c r="AE8" s="19"/>
      <c r="AF8" s="19"/>
      <c r="AG8" s="19"/>
      <c r="AH8" s="19"/>
      <c r="AI8" s="19"/>
      <c r="AJ8" s="19"/>
      <c r="AK8" s="19"/>
      <c r="AL8" s="19"/>
      <c r="AM8" s="19"/>
      <c r="AN8" s="19"/>
      <c r="AO8" s="19"/>
      <c r="AP8" s="19"/>
      <c r="AQ8" s="19"/>
      <c r="AR8" s="19"/>
      <c r="AS8" s="19"/>
    </row>
    <row r="9" spans="1:45" s="851" customFormat="1" hidden="1">
      <c r="A9" s="134" t="s">
        <v>68</v>
      </c>
      <c r="B9" s="1039"/>
      <c r="C9" s="1039"/>
      <c r="D9" s="1039"/>
      <c r="E9" s="1039"/>
      <c r="F9" s="1039"/>
      <c r="G9" s="1039">
        <v>14323</v>
      </c>
      <c r="H9" s="1040">
        <v>17191</v>
      </c>
      <c r="I9" s="1040">
        <v>18929</v>
      </c>
      <c r="J9" s="1040">
        <v>14812</v>
      </c>
      <c r="K9" s="1040">
        <v>13750</v>
      </c>
      <c r="L9" s="1040">
        <f>SUMIF(Model!$2:$2,Annual!L$4,Model!9:9)</f>
        <v>14131</v>
      </c>
      <c r="M9" s="1040">
        <f>SUMIF(Model!$2:$2,Annual!M$4,Model!9:9)</f>
        <v>12638</v>
      </c>
      <c r="N9" s="1039">
        <f>SUMIF(Model!$2:$2,Annual!N$4,Model!9:9)</f>
        <v>12724</v>
      </c>
      <c r="O9" s="1039">
        <f>SUMIF(Model!$2:$2,Annual!O$4,Model!9:9)</f>
        <v>13226</v>
      </c>
      <c r="P9" s="1039">
        <f>SUMIF(Model!$2:$2,Annual!P$4,Model!9:9)</f>
        <v>13051</v>
      </c>
      <c r="Q9" s="1039">
        <f>SUMIF(Model!$2:$2,Annual!Q$4,Model!9:9)</f>
        <v>12044</v>
      </c>
      <c r="R9" s="1040">
        <f>SUMIF(Model!$2:$2,Annual!R$4,Model!9:9)</f>
        <v>11092</v>
      </c>
      <c r="S9" s="1041"/>
      <c r="T9" s="1041"/>
      <c r="U9" s="1041"/>
      <c r="V9" s="1041"/>
      <c r="W9" s="1041"/>
      <c r="X9" s="4"/>
      <c r="Y9" s="4"/>
      <c r="Z9" s="4"/>
      <c r="AA9" s="4"/>
      <c r="AB9" s="151"/>
      <c r="AC9" s="19"/>
      <c r="AD9" s="19"/>
      <c r="AE9" s="19"/>
      <c r="AF9" s="19"/>
      <c r="AG9" s="19"/>
      <c r="AH9" s="19"/>
      <c r="AI9" s="19"/>
      <c r="AJ9" s="19"/>
      <c r="AK9" s="19"/>
      <c r="AL9" s="19"/>
      <c r="AM9" s="19"/>
      <c r="AN9" s="19"/>
      <c r="AO9" s="19"/>
      <c r="AP9" s="19"/>
      <c r="AQ9" s="19"/>
      <c r="AR9" s="19"/>
      <c r="AS9" s="19"/>
    </row>
    <row r="10" spans="1:45" s="851" customFormat="1" hidden="1">
      <c r="A10" s="134" t="s">
        <v>69</v>
      </c>
      <c r="B10" s="1039"/>
      <c r="C10" s="1039"/>
      <c r="D10" s="1039"/>
      <c r="E10" s="1039"/>
      <c r="F10" s="1039"/>
      <c r="G10" s="1039">
        <v>5634</v>
      </c>
      <c r="H10" s="1040">
        <v>9427</v>
      </c>
      <c r="I10" s="1040">
        <v>6146</v>
      </c>
      <c r="J10" s="1040">
        <v>-9880</v>
      </c>
      <c r="K10" s="1040">
        <v>12151</v>
      </c>
      <c r="L10" s="1040">
        <f>SUMIF(Model!$2:$2,Annual!L$4,Model!10:10)</f>
        <v>9328</v>
      </c>
      <c r="M10" s="1040">
        <f>SUMIF(Model!$2:$2,Annual!M$4,Model!10:10)</f>
        <v>5021</v>
      </c>
      <c r="N10" s="1039">
        <f>SUMIF(Model!$2:$2,Annual!N$4,Model!10:10)</f>
        <v>1196</v>
      </c>
      <c r="O10" s="1039">
        <f>SUMIF(Model!$2:$2,Annual!O$4,Model!10:10)</f>
        <v>2739</v>
      </c>
      <c r="P10" s="1039">
        <f>SUMIF(Model!$2:$2,Annual!P$4,Model!10:10)</f>
        <v>2026</v>
      </c>
      <c r="Q10" s="1039">
        <f>SUMIF(Model!$2:$2,Annual!Q$4,Model!10:10)</f>
        <v>1340</v>
      </c>
      <c r="R10" s="1040">
        <f>SUMIF(Model!$2:$2,Annual!R$4,Model!10:10)</f>
        <v>313</v>
      </c>
      <c r="S10" s="1041"/>
      <c r="T10" s="1041"/>
      <c r="U10" s="1041"/>
      <c r="V10" s="1041"/>
      <c r="W10" s="1041"/>
      <c r="X10" s="4"/>
      <c r="Y10" s="4"/>
      <c r="Z10" s="4"/>
      <c r="AA10" s="4"/>
      <c r="AB10" s="19"/>
      <c r="AC10" s="19"/>
      <c r="AD10" s="19"/>
      <c r="AE10" s="19"/>
      <c r="AF10" s="19"/>
      <c r="AG10" s="19"/>
      <c r="AH10" s="19"/>
      <c r="AI10" s="19"/>
      <c r="AJ10" s="19"/>
      <c r="AK10" s="19"/>
      <c r="AL10" s="19"/>
      <c r="AM10" s="19"/>
      <c r="AN10" s="19"/>
      <c r="AO10" s="19"/>
      <c r="AP10" s="19"/>
      <c r="AQ10" s="19"/>
      <c r="AR10" s="19"/>
      <c r="AS10" s="19"/>
    </row>
    <row r="11" spans="1:45" s="851" customFormat="1" hidden="1">
      <c r="A11" s="134" t="s">
        <v>70</v>
      </c>
      <c r="B11" s="1039"/>
      <c r="C11" s="1039"/>
      <c r="D11" s="1039"/>
      <c r="E11" s="1039"/>
      <c r="F11" s="1039"/>
      <c r="G11" s="1039">
        <v>3614</v>
      </c>
      <c r="H11" s="1040">
        <v>4960</v>
      </c>
      <c r="I11" s="1040">
        <v>5804</v>
      </c>
      <c r="J11" s="1040">
        <v>-4200</v>
      </c>
      <c r="K11" s="1040">
        <v>502</v>
      </c>
      <c r="L11" s="1040">
        <f>SUMIF(Model!$2:$2,Annual!L$4,Model!11:11)</f>
        <v>692</v>
      </c>
      <c r="M11" s="1040">
        <f>SUMIF(Model!$2:$2,Annual!M$4,Model!11:11)</f>
        <v>1806</v>
      </c>
      <c r="N11" s="1039">
        <f>SUMIF(Model!$2:$2,Annual!N$4,Model!11:11)</f>
        <v>2548</v>
      </c>
      <c r="O11" s="1039">
        <f>SUMIF(Model!$2:$2,Annual!O$4,Model!11:11)</f>
        <v>1776</v>
      </c>
      <c r="P11" s="1039">
        <f>SUMIF(Model!$2:$2,Annual!P$4,Model!11:11)</f>
        <v>2131</v>
      </c>
      <c r="Q11" s="1039">
        <f>SUMIF(Model!$2:$2,Annual!Q$4,Model!11:11)</f>
        <v>1114</v>
      </c>
      <c r="R11" s="1040">
        <f>SUMIF(Model!$2:$2,Annual!R$4,Model!11:11)</f>
        <v>1356</v>
      </c>
      <c r="S11" s="1041"/>
      <c r="T11" s="1041"/>
      <c r="U11" s="1041"/>
      <c r="V11" s="1041"/>
      <c r="W11" s="1041"/>
      <c r="X11" s="4"/>
      <c r="Y11" s="4"/>
      <c r="Z11" s="4"/>
      <c r="AA11" s="4"/>
      <c r="AB11" s="144"/>
      <c r="AC11" s="19"/>
      <c r="AD11" s="19"/>
      <c r="AE11" s="19"/>
      <c r="AF11" s="19"/>
      <c r="AG11" s="19"/>
      <c r="AH11" s="19"/>
      <c r="AI11" s="19"/>
      <c r="AJ11" s="19"/>
      <c r="AK11" s="19"/>
      <c r="AL11" s="19"/>
      <c r="AM11" s="19"/>
      <c r="AN11" s="19"/>
      <c r="AO11" s="19"/>
      <c r="AP11" s="19"/>
      <c r="AQ11" s="19"/>
      <c r="AR11" s="19"/>
      <c r="AS11" s="19"/>
    </row>
    <row r="12" spans="1:45" s="851" customFormat="1" hidden="1">
      <c r="A12" s="134"/>
      <c r="B12" s="1039"/>
      <c r="C12" s="1039"/>
      <c r="D12" s="1039"/>
      <c r="E12" s="1039"/>
      <c r="F12" s="1039"/>
      <c r="G12" s="1039"/>
      <c r="H12" s="1040"/>
      <c r="I12" s="1040"/>
      <c r="J12" s="1040"/>
      <c r="K12" s="1040"/>
      <c r="L12" s="1040"/>
      <c r="M12" s="1040"/>
      <c r="N12" s="1039"/>
      <c r="O12" s="1039"/>
      <c r="P12" s="1039"/>
      <c r="Q12" s="1039"/>
      <c r="R12" s="1040"/>
      <c r="S12" s="1041"/>
      <c r="T12" s="1041"/>
      <c r="U12" s="1041"/>
      <c r="V12" s="1041"/>
      <c r="W12" s="1041"/>
      <c r="X12" s="4"/>
      <c r="Y12" s="4"/>
      <c r="Z12" s="4"/>
      <c r="AA12" s="4"/>
      <c r="AB12" s="19"/>
      <c r="AC12" s="19"/>
      <c r="AD12" s="19"/>
      <c r="AE12" s="19"/>
      <c r="AF12" s="19"/>
      <c r="AG12" s="19"/>
      <c r="AH12" s="19"/>
      <c r="AI12" s="19"/>
      <c r="AJ12" s="19"/>
      <c r="AK12" s="19"/>
      <c r="AL12" s="19"/>
      <c r="AM12" s="19"/>
      <c r="AN12" s="19"/>
      <c r="AO12" s="19"/>
      <c r="AP12" s="19"/>
      <c r="AQ12" s="19"/>
      <c r="AR12" s="19"/>
      <c r="AS12" s="19"/>
    </row>
    <row r="13" spans="1:45" s="6" customFormat="1">
      <c r="A13" s="1042" t="s">
        <v>5</v>
      </c>
      <c r="B13" s="1042"/>
      <c r="C13" s="1042"/>
      <c r="D13" s="1042"/>
      <c r="E13" s="1042"/>
      <c r="F13" s="1042"/>
      <c r="G13" s="1043">
        <f>SUM(G8:G12)</f>
        <v>30489</v>
      </c>
      <c r="H13" s="1043">
        <f>SUM(H8:H12)</f>
        <v>38143</v>
      </c>
      <c r="I13" s="1043">
        <f>SUM(I8:I12)</f>
        <v>39321</v>
      </c>
      <c r="J13" s="1043">
        <v>9268</v>
      </c>
      <c r="K13" s="1043">
        <v>33294</v>
      </c>
      <c r="L13" s="1043">
        <f>SUMIF(Model!$2:$2,Annual!L$4,Model!13:13)</f>
        <v>30625</v>
      </c>
      <c r="M13" s="1043">
        <f>SUMIF(Model!$2:$2,Annual!M$4,Model!13:13)</f>
        <v>25891</v>
      </c>
      <c r="N13" s="1042">
        <f>SUMIF(Model!$2:$2,Annual!N$4,Model!13:13)</f>
        <v>23611</v>
      </c>
      <c r="O13" s="1042">
        <f>SUMIF(Model!$2:$2,Annual!O$4,Model!13:13)</f>
        <v>25856</v>
      </c>
      <c r="P13" s="1042">
        <f>SUMIF(Model!$2:$2,Annual!P$4,Model!13:13)</f>
        <v>26242</v>
      </c>
      <c r="Q13" s="1077">
        <f>SUMIF(Model!$2:$2,Annual!Q$4,Model!13:13)</f>
        <v>23797</v>
      </c>
      <c r="R13" s="1202">
        <f>SUMIF(Model!$2:$2,Annual!R$4,Model!13:13)</f>
        <v>20323</v>
      </c>
      <c r="S13" s="1078">
        <f>SUMIF(Model!$2:$2,Annual!S$4,Model!13:13)</f>
        <v>21160.401480990473</v>
      </c>
      <c r="T13" s="1078">
        <f>SUMIF(Model!$2:$2,Annual!T$4,Model!13:13)</f>
        <v>22089.863543050469</v>
      </c>
      <c r="U13" s="1078">
        <f>SUMIF(Model!$2:$2,Annual!U$4,Model!13:13)</f>
        <v>23060.726962819084</v>
      </c>
      <c r="V13" s="1078">
        <f>SUMIF(Model!$2:$2,Annual!V$4,Model!13:13)</f>
        <v>23792.626757315084</v>
      </c>
      <c r="W13" s="1078">
        <f>SUMIF(Model!$2:$2,Annual!W$4,Model!13:13)</f>
        <v>24491.09319201731</v>
      </c>
      <c r="AB13" s="92"/>
      <c r="AC13" s="92"/>
      <c r="AD13" s="92"/>
      <c r="AE13" s="92"/>
      <c r="AF13" s="92"/>
      <c r="AG13" s="92"/>
      <c r="AH13" s="92"/>
      <c r="AI13" s="92"/>
      <c r="AJ13" s="92"/>
      <c r="AK13" s="92"/>
      <c r="AL13" s="92"/>
      <c r="AM13" s="92"/>
      <c r="AN13" s="92"/>
      <c r="AO13" s="92"/>
      <c r="AP13" s="92"/>
      <c r="AQ13" s="92"/>
      <c r="AR13" s="92"/>
      <c r="AS13" s="92"/>
    </row>
    <row r="14" spans="1:45" s="1056" customFormat="1">
      <c r="A14" s="1054" t="s">
        <v>6</v>
      </c>
      <c r="B14" s="1054"/>
      <c r="C14" s="1054"/>
      <c r="D14" s="1054"/>
      <c r="E14" s="1054"/>
      <c r="F14" s="1054"/>
      <c r="G14" s="1054">
        <v>-144</v>
      </c>
      <c r="H14" s="1055">
        <v>-111</v>
      </c>
      <c r="I14" s="1055">
        <v>240</v>
      </c>
      <c r="J14" s="1055">
        <v>813</v>
      </c>
      <c r="K14" s="1055">
        <v>506</v>
      </c>
      <c r="L14" s="1055">
        <f>SUMIF(Model!$2:$2,Annual!L$4,Model!14:14)</f>
        <v>-79</v>
      </c>
      <c r="M14" s="1055">
        <f>SUMIF(Model!$2:$2,Annual!M$4,Model!14:14)</f>
        <v>187</v>
      </c>
      <c r="N14" s="1054">
        <f>SUMIF(Model!$2:$2,Annual!N$4,Model!14:14)</f>
        <v>170</v>
      </c>
      <c r="O14" s="1054">
        <f>SUMIF(Model!$2:$2,Annual!O$4,Model!14:14)</f>
        <v>167</v>
      </c>
      <c r="P14" s="1054">
        <f>SUMIF(Model!$2:$2,Annual!P$4,Model!14:14)</f>
        <v>186</v>
      </c>
      <c r="Q14" s="1079">
        <f>SUMIF(Model!$2:$2,Annual!Q$4,Model!14:14)</f>
        <v>324</v>
      </c>
      <c r="R14" s="1203">
        <f>SUMIF(Model!$2:$2,Annual!R$4,Model!14:14)</f>
        <v>252</v>
      </c>
      <c r="S14" s="1080">
        <f>SUMIF(Model!$2:$2,Annual!S$4,Model!14:14)</f>
        <v>217.14188192528687</v>
      </c>
      <c r="T14" s="1080">
        <f>SUMIF(Model!$2:$2,Annual!T$4,Model!14:14)</f>
        <v>200.56752770114744</v>
      </c>
      <c r="U14" s="1080">
        <f>SUMIF(Model!$2:$2,Annual!U$4,Model!14:14)</f>
        <v>200.56752770114744</v>
      </c>
      <c r="V14" s="1080">
        <f>SUMIF(Model!$2:$2,Annual!V$4,Model!14:14)</f>
        <v>200.56752770114744</v>
      </c>
      <c r="W14" s="1080">
        <f>SUMIF(Model!$2:$2,Annual!W$4,Model!14:14)</f>
        <v>200.56752770114744</v>
      </c>
      <c r="AB14" s="1057"/>
      <c r="AC14" s="1057"/>
      <c r="AD14" s="1057"/>
      <c r="AE14" s="1057"/>
      <c r="AF14" s="1057"/>
      <c r="AG14" s="1057"/>
      <c r="AH14" s="1057"/>
      <c r="AI14" s="1057"/>
      <c r="AJ14" s="1057"/>
      <c r="AK14" s="1057"/>
      <c r="AL14" s="1057"/>
      <c r="AM14" s="1057"/>
      <c r="AN14" s="1057"/>
      <c r="AO14" s="1057"/>
      <c r="AP14" s="1057"/>
      <c r="AQ14" s="1057"/>
      <c r="AR14" s="1057"/>
      <c r="AS14" s="1057"/>
    </row>
    <row r="15" spans="1:45" s="851" customFormat="1" hidden="1">
      <c r="A15" s="134" t="s">
        <v>7</v>
      </c>
      <c r="B15" s="134"/>
      <c r="C15" s="134"/>
      <c r="D15" s="134"/>
      <c r="E15" s="134"/>
      <c r="F15" s="134"/>
      <c r="G15" s="1039">
        <v>13974</v>
      </c>
      <c r="H15" s="1044">
        <v>15520</v>
      </c>
      <c r="I15" s="1044">
        <v>16098</v>
      </c>
      <c r="J15" s="1044">
        <v>13254</v>
      </c>
      <c r="K15" s="1044">
        <v>15013</v>
      </c>
      <c r="L15" s="1044">
        <f>SUMIF(Model!$2:$2,Annual!L$4,Model!15:15)</f>
        <v>14562</v>
      </c>
      <c r="M15" s="1044">
        <f>SUMIF(Model!$2:$2,Annual!M$4,Model!15:15)</f>
        <v>13001</v>
      </c>
      <c r="N15" s="1044">
        <f>SUMIF(Model!$2:$2,Annual!N$4,Model!15:15)</f>
        <v>12303</v>
      </c>
      <c r="O15" s="1044">
        <f>SUMIF(Model!$2:$2,Annual!O$4,Model!15:15)</f>
        <v>11256</v>
      </c>
      <c r="P15" s="1044">
        <f>SUMIF(Model!$2:$2,Annual!P$4,Model!15:15)</f>
        <v>11334</v>
      </c>
      <c r="Q15" s="1081">
        <f>SUMIF(Model!$2:$2,Annual!Q$4,Model!15:15)</f>
        <v>11546</v>
      </c>
      <c r="R15" s="1081">
        <f>SUMIF(Model!$2:$2,Annual!R$4,Model!15:15)</f>
        <v>10572</v>
      </c>
      <c r="S15" s="1082"/>
      <c r="T15" s="1082"/>
      <c r="U15" s="1082"/>
      <c r="V15" s="1082"/>
      <c r="W15" s="1082"/>
      <c r="AB15" s="143"/>
      <c r="AC15" s="143"/>
      <c r="AD15" s="143"/>
      <c r="AE15" s="143"/>
      <c r="AF15" s="143"/>
      <c r="AG15" s="143"/>
      <c r="AH15" s="143"/>
      <c r="AI15" s="143"/>
      <c r="AJ15" s="143"/>
      <c r="AK15" s="143"/>
      <c r="AL15" s="143"/>
      <c r="AM15" s="143"/>
      <c r="AN15" s="143"/>
      <c r="AO15" s="143"/>
      <c r="AP15" s="143"/>
      <c r="AQ15" s="143"/>
      <c r="AR15" s="143"/>
      <c r="AS15" s="143"/>
    </row>
    <row r="16" spans="1:45" s="851" customFormat="1" hidden="1">
      <c r="A16" s="134" t="s">
        <v>8</v>
      </c>
      <c r="B16" s="134"/>
      <c r="C16" s="134"/>
      <c r="D16" s="134"/>
      <c r="E16" s="134"/>
      <c r="F16" s="134"/>
      <c r="G16" s="134"/>
      <c r="H16" s="1044">
        <v>6324</v>
      </c>
      <c r="I16" s="1044">
        <v>6833</v>
      </c>
      <c r="J16" s="1044">
        <v>7809</v>
      </c>
      <c r="K16" s="1044">
        <v>7701</v>
      </c>
      <c r="L16" s="1044">
        <f>SUMIF(Model!$2:$2,Annual!L$4,Model!16:16)</f>
        <v>7194</v>
      </c>
      <c r="M16" s="1044">
        <f>SUMIF(Model!$2:$2,Annual!M$4,Model!16:16)</f>
        <v>7293</v>
      </c>
      <c r="N16" s="1044">
        <f>SUMIF(Model!$2:$2,Annual!N$4,Model!16:16)</f>
        <v>7246</v>
      </c>
      <c r="O16" s="1044">
        <f>SUMIF(Model!$2:$2,Annual!O$4,Model!16:16)</f>
        <v>8587</v>
      </c>
      <c r="P16" s="1044">
        <f>SUMIF(Model!$2:$2,Annual!P$4,Model!16:16)</f>
        <v>9534</v>
      </c>
      <c r="Q16" s="1081">
        <f>SUMIF(Model!$2:$2,Annual!Q$4,Model!16:16)</f>
        <v>8574</v>
      </c>
      <c r="R16" s="1081">
        <f>SUMIF(Model!$2:$2,Annual!R$4,Model!16:16)</f>
        <v>9770</v>
      </c>
      <c r="S16" s="1082"/>
      <c r="T16" s="1082"/>
      <c r="U16" s="1082"/>
      <c r="V16" s="1082"/>
      <c r="W16" s="1082"/>
      <c r="AB16" s="143"/>
      <c r="AC16" s="143"/>
      <c r="AD16" s="143"/>
      <c r="AE16" s="143"/>
      <c r="AF16" s="143"/>
      <c r="AG16" s="143"/>
      <c r="AH16" s="143"/>
      <c r="AI16" s="143"/>
      <c r="AJ16" s="143"/>
      <c r="AK16" s="143"/>
      <c r="AL16" s="143"/>
      <c r="AM16" s="143"/>
      <c r="AN16" s="143"/>
      <c r="AO16" s="143"/>
      <c r="AP16" s="143"/>
      <c r="AQ16" s="143"/>
      <c r="AR16" s="143"/>
      <c r="AS16" s="143"/>
    </row>
    <row r="17" spans="1:45" s="851" customFormat="1" hidden="1">
      <c r="A17" s="134" t="s">
        <v>9</v>
      </c>
      <c r="B17" s="134"/>
      <c r="C17" s="134"/>
      <c r="D17" s="134"/>
      <c r="E17" s="134"/>
      <c r="F17" s="134"/>
      <c r="G17" s="134"/>
      <c r="H17" s="1044">
        <v>2091</v>
      </c>
      <c r="I17" s="1044">
        <v>2410</v>
      </c>
      <c r="J17" s="1044">
        <v>2294</v>
      </c>
      <c r="K17" s="1044">
        <v>1997</v>
      </c>
      <c r="L17" s="1044">
        <f>SUMIF(Model!$2:$2,Annual!L$4,Model!17:17)</f>
        <v>2148</v>
      </c>
      <c r="M17" s="1044">
        <f>SUMIF(Model!$2:$2,Annual!M$4,Model!17:17)</f>
        <v>1939</v>
      </c>
      <c r="N17" s="1044">
        <f>SUMIF(Model!$2:$2,Annual!N$4,Model!17:17)</f>
        <v>1702</v>
      </c>
      <c r="O17" s="1044">
        <f>SUMIF(Model!$2:$2,Annual!O$4,Model!17:17)</f>
        <v>1738</v>
      </c>
      <c r="P17" s="1044">
        <f>SUMIF(Model!$2:$2,Annual!P$4,Model!17:17)</f>
        <v>1561</v>
      </c>
      <c r="Q17" s="1081">
        <f>SUMIF(Model!$2:$2,Annual!Q$4,Model!17:17)</f>
        <v>1623</v>
      </c>
      <c r="R17" s="1081">
        <f>SUMIF(Model!$2:$2,Annual!R$4,Model!17:17)</f>
        <v>1455</v>
      </c>
      <c r="S17" s="1082"/>
      <c r="T17" s="1082"/>
      <c r="U17" s="1082"/>
      <c r="V17" s="1082"/>
      <c r="W17" s="1082"/>
      <c r="AB17" s="143"/>
      <c r="AC17" s="143"/>
      <c r="AD17" s="143"/>
      <c r="AE17" s="143"/>
      <c r="AF17" s="143"/>
      <c r="AG17" s="143"/>
      <c r="AH17" s="143"/>
      <c r="AI17" s="143"/>
      <c r="AJ17" s="143"/>
      <c r="AK17" s="143"/>
      <c r="AL17" s="143"/>
      <c r="AM17" s="143"/>
      <c r="AN17" s="143"/>
      <c r="AO17" s="143"/>
      <c r="AP17" s="143"/>
      <c r="AQ17" s="143"/>
      <c r="AR17" s="143"/>
      <c r="AS17" s="143"/>
    </row>
    <row r="18" spans="1:45" s="851" customFormat="1" hidden="1">
      <c r="A18" s="134" t="s">
        <v>71</v>
      </c>
      <c r="B18" s="134"/>
      <c r="C18" s="134"/>
      <c r="D18" s="134"/>
      <c r="E18" s="134"/>
      <c r="F18" s="134"/>
      <c r="G18" s="1044">
        <f>SUMIF(Model!$2:$2,Annual!G$4,Model!18:18)</f>
        <v>0</v>
      </c>
      <c r="H18" s="1044">
        <f>SUMIF(Model!$2:$2,Annual!H$4,Model!18:18)</f>
        <v>0</v>
      </c>
      <c r="I18" s="1044">
        <f>SUMIF(Model!$2:$2,Annual!I$4,Model!18:18)</f>
        <v>0</v>
      </c>
      <c r="J18" s="1044">
        <f>SUMIF(Model!$2:$2,Annual!J$4,Model!18:18)</f>
        <v>0</v>
      </c>
      <c r="K18" s="1044">
        <f>SUMIF(Model!$2:$2,Annual!K$4,Model!18:18)</f>
        <v>0</v>
      </c>
      <c r="L18" s="1044">
        <f>SUMIF(Model!$2:$2,Annual!L$4,Model!18:18)</f>
        <v>0</v>
      </c>
      <c r="M18" s="1044">
        <f>SUMIF(Model!$2:$2,Annual!M$4,Model!18:18)</f>
        <v>0</v>
      </c>
      <c r="N18" s="1044">
        <f>SUMIF(Model!$2:$2,Annual!N$4,Model!18:18)</f>
        <v>0</v>
      </c>
      <c r="O18" s="1044">
        <f>SUMIF(Model!$2:$2,Annual!O$4,Model!18:18)</f>
        <v>12</v>
      </c>
      <c r="P18" s="1044">
        <f>SUMIF(Model!$2:$2,Annual!P$4,Model!18:18)</f>
        <v>0</v>
      </c>
      <c r="Q18" s="1081">
        <f>SUMIF(Model!$2:$2,Annual!Q$4,Model!18:18)</f>
        <v>3797</v>
      </c>
      <c r="R18" s="1081">
        <f>SUMIF(Model!$2:$2,Annual!R$4,Model!18:18)</f>
        <v>0</v>
      </c>
      <c r="S18" s="1082"/>
      <c r="T18" s="1082"/>
      <c r="U18" s="1082"/>
      <c r="V18" s="1082"/>
      <c r="W18" s="1082"/>
      <c r="AB18" s="143"/>
      <c r="AC18" s="143"/>
      <c r="AD18" s="143"/>
      <c r="AE18" s="143"/>
      <c r="AF18" s="143"/>
      <c r="AG18" s="143"/>
      <c r="AH18" s="143"/>
      <c r="AI18" s="143"/>
      <c r="AJ18" s="143"/>
      <c r="AK18" s="143"/>
      <c r="AL18" s="143"/>
      <c r="AM18" s="143"/>
      <c r="AN18" s="143"/>
      <c r="AO18" s="143"/>
      <c r="AP18" s="143"/>
      <c r="AQ18" s="143"/>
      <c r="AR18" s="143"/>
      <c r="AS18" s="143"/>
    </row>
    <row r="19" spans="1:45" s="851" customFormat="1" hidden="1">
      <c r="A19" s="134" t="s">
        <v>10</v>
      </c>
      <c r="B19" s="134"/>
      <c r="C19" s="134"/>
      <c r="D19" s="134"/>
      <c r="E19" s="134"/>
      <c r="F19" s="134"/>
      <c r="G19" s="1044">
        <f>SUMIF(Model!$2:$2,Annual!G$4,Model!19:19)</f>
        <v>0</v>
      </c>
      <c r="H19" s="1044">
        <f>SUMIF(Model!$2:$2,Annual!H$4,Model!19:19)</f>
        <v>0</v>
      </c>
      <c r="I19" s="1044">
        <f>SUMIF(Model!$2:$2,Annual!I$4,Model!19:19)</f>
        <v>0</v>
      </c>
      <c r="J19" s="1044">
        <f>SUMIF(Model!$2:$2,Annual!J$4,Model!19:19)</f>
        <v>0</v>
      </c>
      <c r="K19" s="1044">
        <f>SUMIF(Model!$2:$2,Annual!K$4,Model!19:19)</f>
        <v>0</v>
      </c>
      <c r="L19" s="1044">
        <f>SUMIF(Model!$2:$2,Annual!L$4,Model!19:19)</f>
        <v>0</v>
      </c>
      <c r="M19" s="1044">
        <f>SUMIF(Model!$2:$2,Annual!M$4,Model!19:19)</f>
        <v>0</v>
      </c>
      <c r="N19" s="1044">
        <f>SUMIF(Model!$2:$2,Annual!N$4,Model!19:19)</f>
        <v>0</v>
      </c>
      <c r="O19" s="1044">
        <f>SUMIF(Model!$2:$2,Annual!O$4,Model!19:19)</f>
        <v>0</v>
      </c>
      <c r="P19" s="1044">
        <f>SUMIF(Model!$2:$2,Annual!P$4,Model!19:19)</f>
        <v>0</v>
      </c>
      <c r="Q19" s="1081">
        <f>SUMIF(Model!$2:$2,Annual!Q$4,Model!19:19)</f>
        <v>355</v>
      </c>
      <c r="R19" s="1081">
        <f>SUMIF(Model!$2:$2,Annual!R$4,Model!19:19)</f>
        <v>540</v>
      </c>
      <c r="S19" s="1082"/>
      <c r="T19" s="1082"/>
      <c r="U19" s="1082"/>
      <c r="V19" s="1082"/>
      <c r="W19" s="1082"/>
      <c r="AB19" s="143"/>
      <c r="AC19" s="143"/>
      <c r="AD19" s="143"/>
      <c r="AE19" s="143"/>
      <c r="AF19" s="143"/>
      <c r="AG19" s="143"/>
      <c r="AH19" s="143"/>
      <c r="AI19" s="143"/>
      <c r="AJ19" s="143"/>
      <c r="AK19" s="143"/>
      <c r="AL19" s="143"/>
      <c r="AM19" s="143"/>
      <c r="AN19" s="143"/>
      <c r="AO19" s="143"/>
      <c r="AP19" s="143"/>
      <c r="AQ19" s="143"/>
      <c r="AR19" s="143"/>
      <c r="AS19" s="143"/>
    </row>
    <row r="20" spans="1:45" s="851" customFormat="1" hidden="1">
      <c r="A20" s="134" t="s">
        <v>11</v>
      </c>
      <c r="B20" s="134"/>
      <c r="C20" s="134"/>
      <c r="D20" s="134"/>
      <c r="E20" s="134"/>
      <c r="F20" s="134"/>
      <c r="G20" s="134">
        <v>9258</v>
      </c>
      <c r="H20" s="1044">
        <v>8415</v>
      </c>
      <c r="I20" s="1044">
        <v>9243</v>
      </c>
      <c r="J20" s="1044">
        <v>10103</v>
      </c>
      <c r="K20" s="1044">
        <v>9698</v>
      </c>
      <c r="L20" s="1044">
        <f>SUMIF(Model!$2:$2,Annual!L$4,Model!20:20)</f>
        <v>9342</v>
      </c>
      <c r="M20" s="1044">
        <f>SUMIF(Model!$2:$2,Annual!M$4,Model!20:20)</f>
        <v>9232</v>
      </c>
      <c r="N20" s="1044">
        <f>SUMIF(Model!$2:$2,Annual!N$4,Model!20:20)</f>
        <v>8948</v>
      </c>
      <c r="O20" s="1044">
        <f>SUMIF(Model!$2:$2,Annual!O$4,Model!20:20)</f>
        <v>10337</v>
      </c>
      <c r="P20" s="1044">
        <f>SUMIF(Model!$2:$2,Annual!P$4,Model!20:20)</f>
        <v>11095</v>
      </c>
      <c r="Q20" s="1081">
        <f>SUMIF(Model!$2:$2,Annual!Q$4,Model!20:20)</f>
        <v>14349</v>
      </c>
      <c r="R20" s="1081">
        <f>SUMIF(Model!$2:$2,Annual!R$4,Model!20:20)</f>
        <v>11765</v>
      </c>
      <c r="S20" s="1082"/>
      <c r="T20" s="1082"/>
      <c r="U20" s="1082"/>
      <c r="V20" s="1082"/>
      <c r="W20" s="1082"/>
      <c r="AB20" s="143"/>
      <c r="AC20" s="143"/>
      <c r="AD20" s="143"/>
      <c r="AE20" s="143"/>
      <c r="AF20" s="143"/>
      <c r="AG20" s="143"/>
      <c r="AH20" s="143"/>
      <c r="AI20" s="143"/>
      <c r="AJ20" s="143"/>
      <c r="AK20" s="143"/>
      <c r="AL20" s="143"/>
      <c r="AM20" s="143"/>
      <c r="AN20" s="143"/>
      <c r="AO20" s="143"/>
      <c r="AP20" s="143"/>
      <c r="AQ20" s="143"/>
      <c r="AR20" s="143"/>
      <c r="AS20" s="143"/>
    </row>
    <row r="21" spans="1:45" s="851" customFormat="1">
      <c r="A21" s="134" t="s">
        <v>914</v>
      </c>
      <c r="B21" s="134"/>
      <c r="C21" s="134"/>
      <c r="D21" s="134"/>
      <c r="E21" s="134"/>
      <c r="F21" s="134"/>
      <c r="G21" s="134"/>
      <c r="H21" s="1044"/>
      <c r="I21" s="1044"/>
      <c r="J21" s="1044"/>
      <c r="K21" s="1044"/>
      <c r="L21" s="1044"/>
      <c r="M21" s="1044"/>
      <c r="N21" s="1044"/>
      <c r="O21" s="1044"/>
      <c r="P21" s="1044"/>
      <c r="Q21" s="1081"/>
      <c r="R21" s="1081"/>
      <c r="S21" s="1082">
        <v>-2300</v>
      </c>
      <c r="T21" s="1082"/>
      <c r="U21" s="1082"/>
      <c r="V21" s="1082"/>
      <c r="W21" s="1082"/>
      <c r="AB21" s="143"/>
      <c r="AC21" s="143"/>
      <c r="AD21" s="143"/>
      <c r="AE21" s="143"/>
      <c r="AF21" s="143"/>
      <c r="AG21" s="143"/>
      <c r="AH21" s="143"/>
      <c r="AI21" s="143"/>
      <c r="AJ21" s="143"/>
      <c r="AK21" s="143"/>
      <c r="AL21" s="143"/>
      <c r="AM21" s="143"/>
      <c r="AN21" s="143"/>
      <c r="AO21" s="143"/>
      <c r="AP21" s="143"/>
      <c r="AQ21" s="143"/>
      <c r="AR21" s="143"/>
      <c r="AS21" s="143"/>
    </row>
    <row r="22" spans="1:45" s="8" customFormat="1">
      <c r="A22" s="1045" t="s">
        <v>12</v>
      </c>
      <c r="B22" s="1045"/>
      <c r="C22" s="1045"/>
      <c r="D22" s="1045"/>
      <c r="E22" s="1045"/>
      <c r="F22" s="1045"/>
      <c r="G22" s="1045">
        <f>SUM(G15:G20)</f>
        <v>23232</v>
      </c>
      <c r="H22" s="1046">
        <f>SUM(H15:H17)</f>
        <v>23935</v>
      </c>
      <c r="I22" s="1046">
        <f>SUM(I15:I17)</f>
        <v>25341</v>
      </c>
      <c r="J22" s="1046">
        <f>SUM(J15:J17)</f>
        <v>23357</v>
      </c>
      <c r="K22" s="1046">
        <f>SUM(K15:K17)</f>
        <v>24711</v>
      </c>
      <c r="L22" s="1046">
        <f>SUMIF(Model!$2:$2,Annual!L$4,Model!21:21)</f>
        <v>23904</v>
      </c>
      <c r="M22" s="1046">
        <f>SUMIF(Model!$2:$2,Annual!M$4,Model!21:21)</f>
        <v>22233</v>
      </c>
      <c r="N22" s="1045">
        <f>SUMIF(Model!$2:$2,Annual!N$4,Model!21:21)</f>
        <v>21251</v>
      </c>
      <c r="O22" s="1045">
        <f>SUMIF(Model!$2:$2,Annual!O$4,Model!21:21)</f>
        <v>21593</v>
      </c>
      <c r="P22" s="1045">
        <f>SUMIF(Model!$2:$2,Annual!P$4,Model!21:21)</f>
        <v>22429</v>
      </c>
      <c r="Q22" s="1083">
        <f>SUMIF(Model!$2:$2,Annual!Q$4,Model!21:21)</f>
        <v>25895</v>
      </c>
      <c r="R22" s="1204">
        <f>SUMIF(Model!$2:$2,Annual!R$4,Model!21:21)</f>
        <v>22337</v>
      </c>
      <c r="S22" s="1084">
        <f>SUMIF(Model!$2:$2,Annual!S$4,Model!21:21)</f>
        <v>18728.454955010209</v>
      </c>
      <c r="T22" s="1084">
        <f>SUMIF(Model!$2:$2,Annual!T$4,Model!21:21)</f>
        <v>18353.932644843739</v>
      </c>
      <c r="U22" s="1084">
        <f>SUMIF(Model!$2:$2,Annual!U$4,Model!21:21)</f>
        <v>17777.744570147726</v>
      </c>
      <c r="V22" s="1084">
        <f>SUMIF(Model!$2:$2,Annual!V$4,Model!21:21)</f>
        <v>17709.114189405635</v>
      </c>
      <c r="W22" s="1084">
        <f>SUMIF(Model!$2:$2,Annual!W$4,Model!21:21)</f>
        <v>17909.087307376314</v>
      </c>
      <c r="AB22" s="121"/>
      <c r="AC22" s="121"/>
      <c r="AD22" s="121"/>
      <c r="AE22" s="121"/>
      <c r="AF22" s="121"/>
      <c r="AG22" s="121"/>
      <c r="AH22" s="121"/>
      <c r="AI22" s="121"/>
      <c r="AJ22" s="121"/>
      <c r="AK22" s="121"/>
      <c r="AL22" s="121"/>
      <c r="AM22" s="121"/>
      <c r="AN22" s="121"/>
      <c r="AO22" s="121"/>
      <c r="AP22" s="121"/>
      <c r="AQ22" s="121"/>
      <c r="AR22" s="121"/>
      <c r="AS22" s="121"/>
    </row>
    <row r="23" spans="1:45" s="98" customFormat="1">
      <c r="A23" s="1047" t="s">
        <v>159</v>
      </c>
      <c r="B23" s="1048"/>
      <c r="C23" s="1048"/>
      <c r="D23" s="1048"/>
      <c r="E23" s="1048"/>
      <c r="F23" s="1048"/>
      <c r="G23" s="1048">
        <f>G22/G13</f>
        <v>0.76197973039456857</v>
      </c>
      <c r="H23" s="1048">
        <f t="shared" ref="H23:V23" si="2">H22/H13</f>
        <v>0.62750701308234802</v>
      </c>
      <c r="I23" s="1048">
        <f t="shared" si="2"/>
        <v>0.64446478980697341</v>
      </c>
      <c r="J23" s="1048">
        <f t="shared" si="2"/>
        <v>2.5201769529564091</v>
      </c>
      <c r="K23" s="1048">
        <f t="shared" si="2"/>
        <v>0.74220580284735993</v>
      </c>
      <c r="L23" s="1048">
        <f t="shared" si="2"/>
        <v>0.78053877551020412</v>
      </c>
      <c r="M23" s="1048">
        <f t="shared" si="2"/>
        <v>0.85871538372407397</v>
      </c>
      <c r="N23" s="1048">
        <f t="shared" si="2"/>
        <v>0.90004658845453389</v>
      </c>
      <c r="O23" s="1048">
        <f t="shared" si="2"/>
        <v>0.83512530940594054</v>
      </c>
      <c r="P23" s="1048">
        <f t="shared" si="2"/>
        <v>0.85469857480374967</v>
      </c>
      <c r="Q23" s="1048">
        <f t="shared" si="2"/>
        <v>1.0881623734084129</v>
      </c>
      <c r="R23" s="1205">
        <f t="shared" si="2"/>
        <v>1.0990995423903951</v>
      </c>
      <c r="S23" s="1053">
        <f t="shared" si="2"/>
        <v>0.8850708703157163</v>
      </c>
      <c r="T23" s="1053">
        <f t="shared" si="2"/>
        <v>0.83087578196552214</v>
      </c>
      <c r="U23" s="1053">
        <f t="shared" si="2"/>
        <v>0.77090998036665825</v>
      </c>
      <c r="V23" s="1053">
        <f t="shared" si="2"/>
        <v>0.74431101576293746</v>
      </c>
      <c r="W23" s="1053">
        <f t="shared" ref="W23" si="3">W22/W13</f>
        <v>0.73124899599065873</v>
      </c>
      <c r="X23" s="99"/>
      <c r="Y23" s="99"/>
      <c r="Z23" s="99"/>
      <c r="AA23" s="99"/>
      <c r="AB23" s="122"/>
      <c r="AC23" s="122"/>
      <c r="AD23" s="122"/>
      <c r="AE23" s="122"/>
      <c r="AF23" s="122"/>
      <c r="AG23" s="122"/>
      <c r="AH23" s="122"/>
      <c r="AI23" s="122"/>
      <c r="AJ23" s="122"/>
      <c r="AK23" s="122"/>
      <c r="AL23" s="122"/>
      <c r="AM23" s="122"/>
      <c r="AN23" s="122"/>
      <c r="AO23" s="122"/>
      <c r="AP23" s="122"/>
      <c r="AQ23" s="122"/>
      <c r="AR23" s="122"/>
      <c r="AS23" s="122"/>
    </row>
    <row r="24" spans="1:45" s="8" customFormat="1">
      <c r="A24" s="1075" t="s">
        <v>598</v>
      </c>
      <c r="B24" s="1045"/>
      <c r="C24" s="1045"/>
      <c r="D24" s="1045"/>
      <c r="E24" s="1045"/>
      <c r="F24" s="1045"/>
      <c r="G24" s="1046">
        <f>G13-G14-G22</f>
        <v>7401</v>
      </c>
      <c r="H24" s="1046">
        <f>H13-H14-H22</f>
        <v>14319</v>
      </c>
      <c r="I24" s="1046">
        <f>I13-I14-I22</f>
        <v>13740</v>
      </c>
      <c r="J24" s="1046">
        <f>J13-J14-J22</f>
        <v>-14902</v>
      </c>
      <c r="K24" s="1046">
        <f>K13-K14-K22</f>
        <v>8077</v>
      </c>
      <c r="L24" s="1046">
        <f>SUMIF(Model!$2:$2,Annual!L$4,Model!23:23)</f>
        <v>6800</v>
      </c>
      <c r="M24" s="1046">
        <f>SUMIF(Model!$2:$2,Annual!M$4,Model!23:23)</f>
        <v>3471</v>
      </c>
      <c r="N24" s="1045">
        <f>SUMIF(Model!$2:$2,Annual!N$4,Model!23:23)</f>
        <v>2190</v>
      </c>
      <c r="O24" s="1045">
        <f>SUMIF(Model!$2:$2,Annual!O$4,Model!23:23)</f>
        <v>4096</v>
      </c>
      <c r="P24" s="1045">
        <f>SUMIF(Model!$2:$2,Annual!P$4,Model!23:23)</f>
        <v>3627</v>
      </c>
      <c r="Q24" s="1083">
        <f>SUMIF(Model!$2:$2,Annual!Q$4,Model!23:23)</f>
        <v>-2422</v>
      </c>
      <c r="R24" s="1204">
        <f>SUMIF(Model!$2:$2,Annual!R$4,Model!23:23)</f>
        <v>-2266</v>
      </c>
      <c r="S24" s="1084">
        <f>SUMIF(Model!$2:$2,Annual!S$4,Model!23:23)</f>
        <v>2214.8046440549788</v>
      </c>
      <c r="T24" s="1084">
        <f>SUMIF(Model!$2:$2,Annual!T$4,Model!23:23)</f>
        <v>3535.3633705055863</v>
      </c>
      <c r="U24" s="1084">
        <f>SUMIF(Model!$2:$2,Annual!U$4,Model!23:23)</f>
        <v>5082.4148649702111</v>
      </c>
      <c r="V24" s="1084">
        <f>SUMIF(Model!$2:$2,Annual!V$4,Model!23:23)</f>
        <v>5882.9450402082994</v>
      </c>
      <c r="W24" s="1084">
        <f>SUMIF(Model!$2:$2,Annual!W$4,Model!23:23)</f>
        <v>6381.4383569398487</v>
      </c>
      <c r="AB24" s="94"/>
      <c r="AC24" s="94"/>
      <c r="AD24" s="94"/>
      <c r="AE24" s="94"/>
      <c r="AF24" s="94"/>
      <c r="AG24" s="94"/>
      <c r="AH24" s="94"/>
      <c r="AI24" s="94"/>
      <c r="AJ24" s="94"/>
      <c r="AK24" s="94"/>
      <c r="AL24" s="94"/>
      <c r="AM24" s="94"/>
      <c r="AN24" s="94"/>
      <c r="AO24" s="94"/>
      <c r="AP24" s="94"/>
      <c r="AQ24" s="94"/>
      <c r="AR24" s="94"/>
      <c r="AS24" s="94"/>
    </row>
    <row r="25" spans="1:45" s="96" customFormat="1" hidden="1">
      <c r="A25" s="1049" t="s">
        <v>158</v>
      </c>
      <c r="B25" s="1050"/>
      <c r="C25" s="1050"/>
      <c r="D25" s="1050"/>
      <c r="E25" s="1050"/>
      <c r="F25" s="1050"/>
      <c r="G25" s="1050"/>
      <c r="H25" s="1050"/>
      <c r="I25" s="1050"/>
      <c r="J25" s="1050"/>
      <c r="K25" s="1050"/>
      <c r="L25" s="1050"/>
      <c r="M25" s="1050"/>
      <c r="N25" s="1050"/>
      <c r="O25" s="1050"/>
      <c r="P25" s="1050"/>
      <c r="Q25" s="1085"/>
      <c r="R25" s="1206"/>
      <c r="S25" s="1086"/>
      <c r="T25" s="1086"/>
      <c r="U25" s="1086"/>
      <c r="V25" s="1086"/>
      <c r="W25" s="1086"/>
      <c r="X25" s="97"/>
      <c r="Y25" s="97"/>
      <c r="Z25" s="97"/>
      <c r="AA25" s="97"/>
      <c r="AB25" s="118"/>
      <c r="AC25" s="118"/>
      <c r="AD25" s="118"/>
      <c r="AE25" s="118"/>
      <c r="AF25" s="118"/>
      <c r="AG25" s="118"/>
      <c r="AH25" s="118"/>
      <c r="AI25" s="118"/>
      <c r="AJ25" s="118"/>
      <c r="AK25" s="118"/>
      <c r="AL25" s="118"/>
      <c r="AM25" s="118"/>
      <c r="AN25" s="118"/>
      <c r="AO25" s="118"/>
      <c r="AP25" s="118"/>
      <c r="AQ25" s="118"/>
      <c r="AR25" s="118"/>
      <c r="AS25" s="118"/>
    </row>
    <row r="26" spans="1:45" s="851" customFormat="1">
      <c r="A26" s="134" t="s">
        <v>583</v>
      </c>
      <c r="B26" s="134"/>
      <c r="C26" s="134"/>
      <c r="D26" s="134"/>
      <c r="E26" s="134"/>
      <c r="F26" s="134"/>
      <c r="G26" s="134">
        <v>927</v>
      </c>
      <c r="H26" s="1044">
        <v>2394</v>
      </c>
      <c r="I26" s="1044">
        <v>1248</v>
      </c>
      <c r="J26" s="1044">
        <v>-4596</v>
      </c>
      <c r="K26" s="1044">
        <v>1835</v>
      </c>
      <c r="L26" s="1044">
        <f>SUMIF(Model!$2:$2,Annual!L$4,Model!25:25)</f>
        <v>1548</v>
      </c>
      <c r="M26" s="1044">
        <f>SUMIF(Model!$2:$2,Annual!M$4,Model!25:25)</f>
        <v>656</v>
      </c>
      <c r="N26" s="134">
        <f>SUMIF(Model!$2:$2,Annual!N$4,Model!25:25)</f>
        <v>465</v>
      </c>
      <c r="O26" s="134">
        <f>SUMIF(Model!$2:$2,Annual!O$4,Model!25:25)</f>
        <v>1276</v>
      </c>
      <c r="P26" s="134">
        <f>SUMIF(Model!$2:$2,Annual!P$4,Model!25:25)</f>
        <v>1405</v>
      </c>
      <c r="Q26" s="1087">
        <f>SUMIF(Model!$2:$2,Annual!Q$4,Model!25:25)</f>
        <v>523</v>
      </c>
      <c r="R26" s="1081">
        <f>SUMIF(Model!$2:$2,Annual!R$4,Model!25:25)</f>
        <v>441</v>
      </c>
      <c r="S26" s="1082">
        <f>SUMIF(Model!$2:$2,Annual!S$4,Model!25:25)</f>
        <v>647.7011610137447</v>
      </c>
      <c r="T26" s="1082">
        <f>SUMIF(Model!$2:$2,Annual!T$4,Model!25:25)</f>
        <v>883.84084262639658</v>
      </c>
      <c r="U26" s="1082">
        <f>SUMIF(Model!$2:$2,Annual!U$4,Model!25:25)</f>
        <v>1270.6037162425528</v>
      </c>
      <c r="V26" s="1082">
        <f>SUMIF(Model!$2:$2,Annual!V$4,Model!25:25)</f>
        <v>1470.7362600520748</v>
      </c>
      <c r="W26" s="1082">
        <f>SUMIF(Model!$2:$2,Annual!W$4,Model!25:25)</f>
        <v>1595.3595892349622</v>
      </c>
      <c r="AB26" s="119"/>
      <c r="AC26" s="119"/>
      <c r="AD26" s="119"/>
      <c r="AE26" s="119"/>
      <c r="AF26" s="119"/>
      <c r="AG26" s="119"/>
      <c r="AH26" s="119"/>
      <c r="AI26" s="119"/>
      <c r="AJ26" s="119"/>
      <c r="AK26" s="119"/>
      <c r="AL26" s="119"/>
      <c r="AM26" s="119"/>
      <c r="AN26" s="119"/>
      <c r="AO26" s="119"/>
      <c r="AP26" s="119"/>
      <c r="AQ26" s="119"/>
      <c r="AR26" s="119"/>
      <c r="AS26" s="119"/>
    </row>
    <row r="27" spans="1:45" s="8" customFormat="1" ht="31.5" hidden="1">
      <c r="A27" s="1075" t="s">
        <v>14</v>
      </c>
      <c r="B27" s="1045"/>
      <c r="C27" s="1045"/>
      <c r="D27" s="1045"/>
      <c r="E27" s="1045"/>
      <c r="F27" s="1045"/>
      <c r="G27" s="1046">
        <f>G24-G26</f>
        <v>6474</v>
      </c>
      <c r="H27" s="1046">
        <f>H24-H26</f>
        <v>11925</v>
      </c>
      <c r="I27" s="1046">
        <f>I24-I26</f>
        <v>12492</v>
      </c>
      <c r="J27" s="1046">
        <f>J24-J26</f>
        <v>-10306</v>
      </c>
      <c r="K27" s="1046">
        <f>K24-K26</f>
        <v>6242</v>
      </c>
      <c r="L27" s="1046">
        <f>SUMIF(Model!$2:$2,Annual!L$4,Model!26:26)</f>
        <v>5252</v>
      </c>
      <c r="M27" s="1046">
        <f>SUMIF(Model!$2:$2,Annual!M$4,Model!26:26)</f>
        <v>2815</v>
      </c>
      <c r="N27" s="1045">
        <f>SUMIF(Model!$2:$2,Annual!N$4,Model!26:26)</f>
        <v>1725</v>
      </c>
      <c r="O27" s="1045">
        <f>SUMIF(Model!$2:$2,Annual!O$4,Model!26:26)</f>
        <v>2820</v>
      </c>
      <c r="P27" s="1045">
        <f>SUMIF(Model!$2:$2,Annual!P$4,Model!26:26)</f>
        <v>2222</v>
      </c>
      <c r="Q27" s="1083">
        <f>SUMIF(Model!$2:$2,Annual!Q$4,Model!26:26)</f>
        <v>-2945</v>
      </c>
      <c r="R27" s="1204">
        <f>SUMIF(Model!$2:$2,Annual!R$4,Model!26:26)</f>
        <v>-2707</v>
      </c>
      <c r="S27" s="1084">
        <f>SUMIF(Model!$2:$2,Annual!S$4,Model!26:26)</f>
        <v>1567.1034830412343</v>
      </c>
      <c r="T27" s="1084">
        <f>SUMIF(Model!$2:$2,Annual!T$4,Model!26:26)</f>
        <v>2651.5225278791904</v>
      </c>
      <c r="U27" s="1084">
        <f>SUMIF(Model!$2:$2,Annual!U$4,Model!26:26)</f>
        <v>3811.8111487276578</v>
      </c>
      <c r="V27" s="1084">
        <f>SUMIF(Model!$2:$2,Annual!V$4,Model!26:26)</f>
        <v>4412.2087801562247</v>
      </c>
      <c r="W27" s="1084">
        <f>SUMIF(Model!$2:$2,Annual!W$4,Model!26:26)</f>
        <v>4786.0787677048866</v>
      </c>
      <c r="AB27" s="121"/>
      <c r="AC27" s="121"/>
      <c r="AD27" s="121"/>
      <c r="AE27" s="121"/>
      <c r="AF27" s="121"/>
      <c r="AG27" s="121"/>
      <c r="AH27" s="121"/>
      <c r="AI27" s="121"/>
      <c r="AJ27" s="121"/>
      <c r="AK27" s="121"/>
      <c r="AL27" s="121"/>
      <c r="AM27" s="121"/>
      <c r="AN27" s="121"/>
      <c r="AO27" s="121"/>
      <c r="AP27" s="121"/>
      <c r="AQ27" s="121"/>
      <c r="AR27" s="121"/>
      <c r="AS27" s="121"/>
    </row>
    <row r="28" spans="1:45" s="851" customFormat="1" hidden="1">
      <c r="A28" s="134" t="s">
        <v>15</v>
      </c>
      <c r="B28" s="134"/>
      <c r="C28" s="134"/>
      <c r="D28" s="134"/>
      <c r="E28" s="134"/>
      <c r="F28" s="134"/>
      <c r="G28" s="134"/>
      <c r="H28" s="1044"/>
      <c r="I28" s="1044"/>
      <c r="J28" s="1044">
        <v>-531</v>
      </c>
      <c r="K28" s="1044">
        <v>169</v>
      </c>
      <c r="L28" s="1044">
        <f>SUMIF(Model!$2:$2,Annual!L$4,Model!27:27)</f>
        <v>-19</v>
      </c>
      <c r="M28" s="1044">
        <f>SUMIF(Model!$2:$2,Annual!M$4,Model!27:27)</f>
        <v>-25</v>
      </c>
      <c r="N28" s="134">
        <f>SUMIF(Model!$2:$2,Annual!N$4,Model!27:27)</f>
        <v>-40</v>
      </c>
      <c r="O28" s="134">
        <f>SUMIF(Model!$2:$2,Annual!O$4,Model!27:27)</f>
        <v>145</v>
      </c>
      <c r="P28" s="134">
        <f>SUMIF(Model!$2:$2,Annual!P$4,Model!27:27)</f>
        <v>102</v>
      </c>
      <c r="Q28" s="1087">
        <f>SUMIF(Model!$2:$2,Annual!Q$4,Model!27:27)</f>
        <v>0</v>
      </c>
      <c r="R28" s="1081">
        <f>SUMIF(Model!$2:$2,Annual!R$4,Model!27:27)</f>
        <v>0</v>
      </c>
      <c r="S28" s="1082">
        <f>SUMIF(Model!$2:$2,Annual!S$4,Model!27:27)</f>
        <v>0</v>
      </c>
      <c r="T28" s="1082">
        <f>SUMIF(Model!$2:$2,Annual!T$4,Model!27:27)</f>
        <v>0</v>
      </c>
      <c r="U28" s="1082">
        <f>SUMIF(Model!$2:$2,Annual!U$4,Model!27:27)</f>
        <v>0</v>
      </c>
      <c r="V28" s="1082">
        <f>SUMIF(Model!$2:$2,Annual!V$4,Model!27:27)</f>
        <v>0</v>
      </c>
      <c r="W28" s="1082">
        <f>SUMIF(Model!$2:$2,Annual!W$4,Model!27:27)</f>
        <v>0</v>
      </c>
      <c r="AB28" s="18"/>
      <c r="AC28" s="18"/>
      <c r="AD28" s="18"/>
      <c r="AE28" s="18"/>
      <c r="AF28" s="18"/>
      <c r="AG28" s="18"/>
      <c r="AH28" s="18"/>
      <c r="AI28" s="18"/>
      <c r="AJ28" s="18"/>
      <c r="AK28" s="18"/>
      <c r="AL28" s="18"/>
      <c r="AM28" s="18"/>
      <c r="AN28" s="18"/>
      <c r="AO28" s="18"/>
      <c r="AP28" s="18"/>
      <c r="AQ28" s="18"/>
      <c r="AR28" s="18"/>
      <c r="AS28" s="18"/>
    </row>
    <row r="29" spans="1:45" s="8" customFormat="1">
      <c r="A29" s="1045" t="s">
        <v>16</v>
      </c>
      <c r="B29" s="1045"/>
      <c r="C29" s="1045"/>
      <c r="D29" s="1045"/>
      <c r="E29" s="1045"/>
      <c r="F29" s="1045"/>
      <c r="G29" s="1046">
        <f>G27+G28</f>
        <v>6474</v>
      </c>
      <c r="H29" s="1046">
        <f>H27+H28</f>
        <v>11925</v>
      </c>
      <c r="I29" s="1046">
        <f>I27+I28</f>
        <v>12492</v>
      </c>
      <c r="J29" s="1046">
        <f>J27+J28</f>
        <v>-10837</v>
      </c>
      <c r="K29" s="1046">
        <f>K27+K28</f>
        <v>6411</v>
      </c>
      <c r="L29" s="1046">
        <f>SUMIF(Model!$2:$2,Annual!L$4,Model!28:28)</f>
        <v>5233</v>
      </c>
      <c r="M29" s="1046">
        <f>SUMIF(Model!$2:$2,Annual!M$4,Model!28:28)</f>
        <v>2790</v>
      </c>
      <c r="N29" s="1045">
        <f>SUMIF(Model!$2:$2,Annual!N$4,Model!28:28)</f>
        <v>1685</v>
      </c>
      <c r="O29" s="1045">
        <f>SUMIF(Model!$2:$2,Annual!O$4,Model!28:28)</f>
        <v>2965</v>
      </c>
      <c r="P29" s="1045">
        <f>SUMIF(Model!$2:$2,Annual!P$4,Model!28:28)</f>
        <v>2324</v>
      </c>
      <c r="Q29" s="1083">
        <f>SUMIF(Model!$2:$2,Annual!Q$4,Model!28:28)</f>
        <v>-2945</v>
      </c>
      <c r="R29" s="1204">
        <f>SUMIF(Model!$2:$2,Annual!R$4,Model!28:28)</f>
        <v>-2707</v>
      </c>
      <c r="S29" s="1084">
        <f>SUMIF(Model!$2:$2,Annual!S$4,Model!28:28)</f>
        <v>1567.1034830412343</v>
      </c>
      <c r="T29" s="1084">
        <f>SUMIF(Model!$2:$2,Annual!T$4,Model!28:28)</f>
        <v>2651.5225278791904</v>
      </c>
      <c r="U29" s="1084">
        <f>SUMIF(Model!$2:$2,Annual!U$4,Model!28:28)</f>
        <v>3811.8111487276578</v>
      </c>
      <c r="V29" s="1084">
        <f>SUMIF(Model!$2:$2,Annual!V$4,Model!28:28)</f>
        <v>4412.2087801562247</v>
      </c>
      <c r="W29" s="1084">
        <f>SUMIF(Model!$2:$2,Annual!W$4,Model!28:28)</f>
        <v>4786.0787677048866</v>
      </c>
      <c r="AB29" s="121"/>
      <c r="AC29" s="121"/>
      <c r="AD29" s="121"/>
      <c r="AE29" s="121"/>
      <c r="AF29" s="121"/>
      <c r="AG29" s="121"/>
      <c r="AH29" s="121"/>
      <c r="AI29" s="121"/>
      <c r="AJ29" s="121"/>
      <c r="AK29" s="121"/>
      <c r="AL29" s="121"/>
      <c r="AM29" s="121"/>
      <c r="AN29" s="121"/>
      <c r="AO29" s="121"/>
      <c r="AP29" s="121"/>
      <c r="AQ29" s="121"/>
      <c r="AR29" s="121"/>
      <c r="AS29" s="121"/>
    </row>
    <row r="30" spans="1:45" s="851" customFormat="1" hidden="1">
      <c r="A30" s="134" t="s">
        <v>17</v>
      </c>
      <c r="B30" s="134"/>
      <c r="C30" s="134"/>
      <c r="D30" s="134"/>
      <c r="E30" s="134"/>
      <c r="F30" s="134"/>
      <c r="G30" s="134">
        <v>1948</v>
      </c>
      <c r="H30" s="1044">
        <v>3630</v>
      </c>
      <c r="I30" s="1044">
        <v>4738</v>
      </c>
      <c r="J30" s="1044">
        <v>-2619</v>
      </c>
      <c r="K30" s="1044">
        <v>-313</v>
      </c>
      <c r="L30" s="1044">
        <f>SUMIF(Model!$2:$2,Annual!L$4,Model!29:29)</f>
        <v>135</v>
      </c>
      <c r="M30" s="1044">
        <f>SUMIF(Model!$2:$2,Annual!M$4,Model!29:29)</f>
        <v>837</v>
      </c>
      <c r="N30" s="134">
        <f>SUMIF(Model!$2:$2,Annual!N$4,Model!29:29)</f>
        <v>336</v>
      </c>
      <c r="O30" s="134">
        <f>SUMIF(Model!$2:$2,Annual!O$4,Model!29:29)</f>
        <v>639</v>
      </c>
      <c r="P30" s="134">
        <f>SUMIF(Model!$2:$2,Annual!P$4,Model!29:29)</f>
        <v>449</v>
      </c>
      <c r="Q30" s="1087">
        <f>SUMIF(Model!$2:$2,Annual!Q$4,Model!29:29)</f>
        <v>-1</v>
      </c>
      <c r="R30" s="1081">
        <f>SUMIF(Model!$2:$2,Annual!R$4,Model!29:29)</f>
        <v>11</v>
      </c>
      <c r="S30" s="1082">
        <f>SUMIF(Model!$2:$2,Annual!S$4,Model!29:29)</f>
        <v>2</v>
      </c>
      <c r="T30" s="1082">
        <f>SUMIF(Model!$2:$2,Annual!T$4,Model!29:29)</f>
        <v>0</v>
      </c>
      <c r="U30" s="1082">
        <f>SUMIF(Model!$2:$2,Annual!U$4,Model!29:29)</f>
        <v>0</v>
      </c>
      <c r="V30" s="1082">
        <f>SUMIF(Model!$2:$2,Annual!V$4,Model!29:29)</f>
        <v>0</v>
      </c>
      <c r="W30" s="1082">
        <f>SUMIF(Model!$2:$2,Annual!W$4,Model!29:29)</f>
        <v>0</v>
      </c>
      <c r="AB30" s="18"/>
      <c r="AC30" s="18"/>
      <c r="AD30" s="18"/>
      <c r="AE30" s="18"/>
      <c r="AF30" s="18"/>
      <c r="AG30" s="18"/>
      <c r="AH30" s="18"/>
      <c r="AI30" s="18"/>
      <c r="AJ30" s="18"/>
      <c r="AK30" s="18"/>
      <c r="AL30" s="18"/>
      <c r="AM30" s="18"/>
      <c r="AN30" s="18"/>
      <c r="AO30" s="18"/>
      <c r="AP30" s="18"/>
      <c r="AQ30" s="18"/>
      <c r="AR30" s="18"/>
      <c r="AS30" s="18"/>
    </row>
    <row r="31" spans="1:45" s="851" customFormat="1" hidden="1">
      <c r="A31" s="134" t="s">
        <v>18</v>
      </c>
      <c r="B31" s="134"/>
      <c r="C31" s="134"/>
      <c r="D31" s="134"/>
      <c r="E31" s="134"/>
      <c r="F31" s="134"/>
      <c r="G31" s="1044">
        <f>G29-G30</f>
        <v>4526</v>
      </c>
      <c r="H31" s="1044">
        <f>H29-H30</f>
        <v>8295</v>
      </c>
      <c r="I31" s="1044">
        <f>I29-I30</f>
        <v>7754</v>
      </c>
      <c r="J31" s="1044">
        <f>J29-J30</f>
        <v>-8218</v>
      </c>
      <c r="K31" s="1044">
        <f>K29-K30</f>
        <v>6724</v>
      </c>
      <c r="L31" s="1044">
        <f>SUMIF(Model!$2:$2,Annual!L$4,Model!30:30)</f>
        <v>5098</v>
      </c>
      <c r="M31" s="1044">
        <f>SUMIF(Model!$2:$2,Annual!M$4,Model!30:30)</f>
        <v>1953</v>
      </c>
      <c r="N31" s="134">
        <f>SUMIF(Model!$2:$2,Annual!N$4,Model!30:30)</f>
        <v>1349</v>
      </c>
      <c r="O31" s="134">
        <f>SUMIF(Model!$2:$2,Annual!O$4,Model!30:30)</f>
        <v>2326</v>
      </c>
      <c r="P31" s="134">
        <f>SUMIF(Model!$2:$2,Annual!P$4,Model!30:30)</f>
        <v>1875</v>
      </c>
      <c r="Q31" s="1087">
        <f>SUMIF(Model!$2:$2,Annual!Q$4,Model!30:30)</f>
        <v>-2944</v>
      </c>
      <c r="R31" s="1081">
        <f>SUMIF(Model!$2:$2,Annual!R$4,Model!30:30)</f>
        <v>-2710</v>
      </c>
      <c r="S31" s="1082">
        <f>SUMIF(Model!$2:$2,Annual!S$4,Model!30:30)</f>
        <v>1143</v>
      </c>
      <c r="T31" s="1082">
        <f>SUMIF(Model!$2:$2,Annual!T$4,Model!30:30)</f>
        <v>0</v>
      </c>
      <c r="U31" s="1082">
        <f>SUMIF(Model!$2:$2,Annual!U$4,Model!30:30)</f>
        <v>0</v>
      </c>
      <c r="V31" s="1082">
        <f>SUMIF(Model!$2:$2,Annual!V$4,Model!30:30)</f>
        <v>0</v>
      </c>
      <c r="W31" s="1082">
        <f>SUMIF(Model!$2:$2,Annual!W$4,Model!30:30)</f>
        <v>0</v>
      </c>
      <c r="AB31" s="18"/>
      <c r="AC31" s="18"/>
      <c r="AD31" s="18"/>
      <c r="AE31" s="18"/>
      <c r="AF31" s="18"/>
      <c r="AG31" s="18"/>
      <c r="AH31" s="18"/>
      <c r="AI31" s="18"/>
      <c r="AJ31" s="18"/>
      <c r="AK31" s="18"/>
      <c r="AL31" s="18"/>
      <c r="AM31" s="18"/>
      <c r="AN31" s="18"/>
      <c r="AO31" s="18"/>
      <c r="AP31" s="18"/>
      <c r="AQ31" s="18"/>
      <c r="AR31" s="18"/>
      <c r="AS31" s="18"/>
    </row>
    <row r="32" spans="1:45" s="851" customFormat="1" hidden="1">
      <c r="A32" s="134" t="s">
        <v>19</v>
      </c>
      <c r="B32" s="134"/>
      <c r="C32" s="134"/>
      <c r="D32" s="134"/>
      <c r="E32" s="134"/>
      <c r="F32" s="134"/>
      <c r="G32" s="1044">
        <f>G31+G33</f>
        <v>5850</v>
      </c>
      <c r="H32" s="1044">
        <f>H31+H33</f>
        <v>11327</v>
      </c>
      <c r="I32" s="1044">
        <f>I31+I33</f>
        <v>7760</v>
      </c>
      <c r="J32" s="1044">
        <v>-7687</v>
      </c>
      <c r="K32" s="1044">
        <v>6555</v>
      </c>
      <c r="L32" s="1044">
        <f>SUMIF(Model!$2:$2,Annual!L$4,Model!31:31)</f>
        <v>5117</v>
      </c>
      <c r="M32" s="1044">
        <f>SUMIF(Model!$2:$2,Annual!M$4,Model!31:31)</f>
        <v>1978</v>
      </c>
      <c r="N32" s="134">
        <f>SUMIF(Model!$2:$2,Annual!N$4,Model!31:31)</f>
        <v>1389</v>
      </c>
      <c r="O32" s="134">
        <f>SUMIF(Model!$2:$2,Annual!O$4,Model!31:31)</f>
        <v>2181</v>
      </c>
      <c r="P32" s="134">
        <f>SUMIF(Model!$2:$2,Annual!P$4,Model!31:31)</f>
        <v>1773</v>
      </c>
      <c r="Q32" s="1087">
        <f>SUMIF(Model!$2:$2,Annual!Q$4,Model!31:31)</f>
        <v>-2944</v>
      </c>
      <c r="R32" s="1081">
        <f>SUMIF(Model!$2:$2,Annual!R$4,Model!31:31)</f>
        <v>-91</v>
      </c>
      <c r="S32" s="1082">
        <f>SUMIF(Model!$2:$2,Annual!S$4,Model!31:31)</f>
        <v>0</v>
      </c>
      <c r="T32" s="1082">
        <f>SUMIF(Model!$2:$2,Annual!T$4,Model!31:31)</f>
        <v>0</v>
      </c>
      <c r="U32" s="1082">
        <f>SUMIF(Model!$2:$2,Annual!U$4,Model!31:31)</f>
        <v>0</v>
      </c>
      <c r="V32" s="1082">
        <f>SUMIF(Model!$2:$2,Annual!V$4,Model!31:31)</f>
        <v>0</v>
      </c>
      <c r="W32" s="1082">
        <f>SUMIF(Model!$2:$2,Annual!W$4,Model!31:31)</f>
        <v>0</v>
      </c>
      <c r="AB32" s="18"/>
      <c r="AC32" s="18"/>
      <c r="AD32" s="18"/>
      <c r="AE32" s="18"/>
      <c r="AF32" s="18"/>
      <c r="AG32" s="18"/>
      <c r="AH32" s="18"/>
      <c r="AI32" s="18"/>
      <c r="AJ32" s="18"/>
      <c r="AK32" s="18"/>
      <c r="AL32" s="18"/>
      <c r="AM32" s="18"/>
      <c r="AN32" s="18"/>
      <c r="AO32" s="18"/>
      <c r="AP32" s="18"/>
      <c r="AQ32" s="18"/>
      <c r="AR32" s="18"/>
      <c r="AS32" s="18"/>
    </row>
    <row r="33" spans="1:45" s="9" customFormat="1" hidden="1">
      <c r="A33" s="875" t="s">
        <v>20</v>
      </c>
      <c r="B33" s="875"/>
      <c r="C33" s="875"/>
      <c r="D33" s="875"/>
      <c r="E33" s="875"/>
      <c r="F33" s="875"/>
      <c r="G33" s="875">
        <f>1310+14</f>
        <v>1324</v>
      </c>
      <c r="H33" s="1051">
        <f>3056-24</f>
        <v>3032</v>
      </c>
      <c r="I33" s="1051">
        <v>6</v>
      </c>
      <c r="J33" s="1051">
        <v>-531</v>
      </c>
      <c r="K33" s="1051">
        <v>9</v>
      </c>
      <c r="L33" s="1051">
        <f>SUMIF(Model!$2:$2,Annual!L$4,Model!32:32)</f>
        <v>-19</v>
      </c>
      <c r="M33" s="1051">
        <f>SUMIF(Model!$2:$2,Annual!M$4,Model!32:32)</f>
        <v>-25</v>
      </c>
      <c r="N33" s="875">
        <f>SUMIF(Model!$2:$2,Annual!N$4,Model!32:32)</f>
        <v>-40</v>
      </c>
      <c r="O33" s="875">
        <f>SUMIF(Model!$2:$2,Annual!O$4,Model!32:32)</f>
        <v>145</v>
      </c>
      <c r="P33" s="875">
        <f>SUMIF(Model!$2:$2,Annual!P$4,Model!32:32)</f>
        <v>102</v>
      </c>
      <c r="Q33" s="1088">
        <f>SUMIF(Model!$2:$2,Annual!Q$4,Model!32:32)</f>
        <v>0</v>
      </c>
      <c r="R33" s="1207">
        <f>SUMIF(Model!$2:$2,Annual!R$4,Model!32:32)</f>
        <v>0</v>
      </c>
      <c r="S33" s="1089">
        <f>SUMIF(Model!$2:$2,Annual!S$4,Model!32:32)</f>
        <v>0</v>
      </c>
      <c r="T33" s="1089">
        <f>SUMIF(Model!$2:$2,Annual!T$4,Model!32:32)</f>
        <v>0</v>
      </c>
      <c r="U33" s="1089">
        <f>SUMIF(Model!$2:$2,Annual!U$4,Model!32:32)</f>
        <v>0</v>
      </c>
      <c r="V33" s="1089">
        <f>SUMIF(Model!$2:$2,Annual!V$4,Model!32:32)</f>
        <v>0</v>
      </c>
      <c r="W33" s="1089">
        <f>SUMIF(Model!$2:$2,Annual!W$4,Model!32:32)</f>
        <v>0</v>
      </c>
      <c r="AB33" s="21"/>
      <c r="AC33" s="21"/>
      <c r="AD33" s="21"/>
      <c r="AE33" s="21"/>
      <c r="AF33" s="21"/>
      <c r="AG33" s="21"/>
      <c r="AH33" s="21"/>
      <c r="AI33" s="21"/>
      <c r="AJ33" s="21"/>
      <c r="AK33" s="21"/>
      <c r="AL33" s="21"/>
      <c r="AM33" s="21"/>
      <c r="AN33" s="21"/>
      <c r="AO33" s="21"/>
      <c r="AP33" s="21"/>
      <c r="AQ33" s="21"/>
      <c r="AR33" s="21"/>
      <c r="AS33" s="21"/>
    </row>
    <row r="34" spans="1:45" s="914" customFormat="1" hidden="1">
      <c r="A34" s="1045" t="s">
        <v>483</v>
      </c>
      <c r="B34" s="1045"/>
      <c r="C34" s="1045"/>
      <c r="D34" s="1045"/>
      <c r="E34" s="1045"/>
      <c r="F34" s="1045"/>
      <c r="G34" s="1045"/>
      <c r="H34" s="1045"/>
      <c r="I34" s="1076"/>
      <c r="J34" s="1046"/>
      <c r="K34" s="1046"/>
      <c r="L34" s="1046">
        <f>SUMIF(Model!$2:$2,Annual!L$4,Model!33:33)</f>
        <v>0</v>
      </c>
      <c r="M34" s="1046">
        <f>SUMIF(Model!$2:$2,Annual!M$4,Model!33:33)</f>
        <v>0</v>
      </c>
      <c r="N34" s="1045">
        <f>SUMIF(Model!$2:$2,Annual!N$4,Model!33:33)</f>
        <v>332</v>
      </c>
      <c r="O34" s="1045">
        <f>SUMIF(Model!$2:$2,Annual!O$4,Model!33:33)</f>
        <v>2977</v>
      </c>
      <c r="P34" s="1045">
        <f>SUMIF(Model!$2:$2,Annual!P$4,Model!33:33)</f>
        <v>2324</v>
      </c>
      <c r="Q34" s="1083">
        <f>SUMIF(Model!$2:$2,Annual!Q$4,Model!33:33)</f>
        <v>1207</v>
      </c>
      <c r="R34" s="1204">
        <f>SUMIF(Model!$2:$2,Annual!R$4,Model!33:33)</f>
        <v>-343</v>
      </c>
      <c r="S34" s="1084">
        <f>SUMIF(Model!$2:$2,Annual!S$4,Model!33:33)</f>
        <v>1463</v>
      </c>
      <c r="T34" s="1084">
        <f>SUMIF(Model!$2:$2,Annual!T$4,Model!33:33)</f>
        <v>2651.5225278791904</v>
      </c>
      <c r="U34" s="1084">
        <f>SUMIF(Model!$2:$2,Annual!U$4,Model!33:33)</f>
        <v>3811.8111487276578</v>
      </c>
      <c r="V34" s="1084">
        <f>SUMIF(Model!$2:$2,Annual!V$4,Model!33:33)</f>
        <v>4412.2087801562247</v>
      </c>
      <c r="W34" s="1084">
        <f>SUMIF(Model!$2:$2,Annual!W$4,Model!33:33)</f>
        <v>4786.0787677048866</v>
      </c>
      <c r="AB34" s="916"/>
      <c r="AC34" s="916"/>
      <c r="AD34" s="916"/>
      <c r="AE34" s="916"/>
      <c r="AF34" s="916"/>
      <c r="AG34" s="916"/>
      <c r="AH34" s="916"/>
      <c r="AI34" s="916"/>
      <c r="AJ34" s="916"/>
      <c r="AK34" s="916"/>
      <c r="AL34" s="916"/>
      <c r="AM34" s="916"/>
      <c r="AN34" s="916"/>
      <c r="AO34" s="916"/>
      <c r="AP34" s="916"/>
      <c r="AQ34" s="916"/>
      <c r="AR34" s="916"/>
      <c r="AS34" s="916"/>
    </row>
    <row r="35" spans="1:45" s="914" customFormat="1">
      <c r="A35" s="1435" t="s">
        <v>912</v>
      </c>
      <c r="B35" s="1435"/>
      <c r="C35" s="1435"/>
      <c r="D35" s="1435"/>
      <c r="E35" s="1435"/>
      <c r="F35" s="1435"/>
      <c r="G35" s="1435"/>
      <c r="H35" s="1435"/>
      <c r="I35" s="1436"/>
      <c r="J35" s="1437"/>
      <c r="K35" s="1437"/>
      <c r="L35" s="1437"/>
      <c r="M35" s="1437"/>
      <c r="N35" s="1435"/>
      <c r="O35" s="1435"/>
      <c r="P35" s="1435"/>
      <c r="Q35" s="1438"/>
      <c r="R35" s="1439"/>
      <c r="S35" s="1440">
        <f>Model!AG34+SUM(Model!AD33:AF33)</f>
        <v>-274.19535594502099</v>
      </c>
      <c r="T35" s="1440"/>
      <c r="U35" s="1440"/>
      <c r="V35" s="1440"/>
      <c r="W35" s="1440"/>
      <c r="AB35" s="916"/>
      <c r="AC35" s="916"/>
      <c r="AD35" s="916"/>
      <c r="AE35" s="916"/>
      <c r="AF35" s="916"/>
      <c r="AG35" s="916"/>
      <c r="AH35" s="916"/>
      <c r="AI35" s="916"/>
      <c r="AJ35" s="916"/>
      <c r="AK35" s="916"/>
      <c r="AL35" s="916"/>
      <c r="AM35" s="916"/>
      <c r="AN35" s="916"/>
      <c r="AO35" s="916"/>
      <c r="AP35" s="916"/>
      <c r="AQ35" s="916"/>
      <c r="AR35" s="916"/>
      <c r="AS35" s="916"/>
    </row>
    <row r="36" spans="1:45" s="914" customFormat="1">
      <c r="A36" s="1284"/>
      <c r="B36" s="1284"/>
      <c r="C36" s="1284"/>
      <c r="D36" s="1284"/>
      <c r="E36" s="1284"/>
      <c r="F36" s="1284"/>
      <c r="G36" s="1284"/>
      <c r="H36" s="1284"/>
      <c r="I36" s="1285"/>
      <c r="J36" s="1286"/>
      <c r="K36" s="1286"/>
      <c r="L36" s="1286"/>
      <c r="M36" s="1286"/>
      <c r="N36" s="1284"/>
      <c r="O36" s="1284"/>
      <c r="P36" s="1284"/>
      <c r="Q36" s="1287"/>
      <c r="R36" s="1288"/>
      <c r="S36" s="1289"/>
      <c r="T36" s="1289"/>
      <c r="U36" s="1289"/>
      <c r="V36" s="1289"/>
      <c r="W36" s="1289"/>
      <c r="AB36" s="916"/>
      <c r="AC36" s="916"/>
      <c r="AD36" s="916"/>
      <c r="AE36" s="916"/>
      <c r="AF36" s="916"/>
      <c r="AG36" s="916"/>
      <c r="AH36" s="916"/>
      <c r="AI36" s="916"/>
      <c r="AJ36" s="916"/>
      <c r="AK36" s="916"/>
      <c r="AL36" s="916"/>
      <c r="AM36" s="916"/>
      <c r="AN36" s="916"/>
      <c r="AO36" s="916"/>
      <c r="AP36" s="916"/>
      <c r="AQ36" s="916"/>
      <c r="AR36" s="916"/>
      <c r="AS36" s="916"/>
    </row>
    <row r="37" spans="1:45" s="868" customFormat="1">
      <c r="A37" s="1045" t="s">
        <v>826</v>
      </c>
      <c r="B37" s="1045"/>
      <c r="C37" s="1045"/>
      <c r="D37" s="1045"/>
      <c r="E37" s="1045"/>
      <c r="F37" s="1045"/>
      <c r="G37" s="1045"/>
      <c r="H37" s="1045"/>
      <c r="I37" s="1076"/>
      <c r="J37" s="1046"/>
      <c r="K37" s="1046"/>
      <c r="L37" s="1046"/>
      <c r="M37" s="1046"/>
      <c r="N37" s="1045"/>
      <c r="O37" s="1045"/>
      <c r="P37" s="1045"/>
      <c r="Q37" s="1083"/>
      <c r="R37" s="1219">
        <f>R34/R101</f>
        <v>-0.16412268529594717</v>
      </c>
      <c r="S37" s="1220">
        <f>S29/S101</f>
        <v>0.61332373803030582</v>
      </c>
      <c r="T37" s="1220">
        <f>T29/T101</f>
        <v>1.0377372814681189</v>
      </c>
      <c r="U37" s="1220">
        <f>U29/U101</f>
        <v>1.4918442130357552</v>
      </c>
      <c r="V37" s="1220">
        <f>V29/V101</f>
        <v>1.7268243043936538</v>
      </c>
      <c r="W37" s="1220">
        <f>W29/W101</f>
        <v>1.8731473397146439</v>
      </c>
      <c r="AB37" s="23"/>
      <c r="AC37" s="23"/>
      <c r="AD37" s="23"/>
      <c r="AE37" s="23"/>
      <c r="AF37" s="23"/>
      <c r="AG37" s="23"/>
      <c r="AH37" s="23"/>
      <c r="AI37" s="23"/>
      <c r="AJ37" s="23"/>
      <c r="AK37" s="23"/>
      <c r="AL37" s="23"/>
      <c r="AM37" s="23"/>
      <c r="AN37" s="23"/>
      <c r="AO37" s="23"/>
      <c r="AP37" s="23"/>
      <c r="AQ37" s="23"/>
      <c r="AR37" s="23"/>
      <c r="AS37" s="23"/>
    </row>
    <row r="38" spans="1:45" s="868" customFormat="1">
      <c r="A38" s="1049" t="s">
        <v>909</v>
      </c>
      <c r="B38" s="1052"/>
      <c r="C38" s="1052"/>
      <c r="D38" s="1052"/>
      <c r="E38" s="1052"/>
      <c r="F38" s="1052"/>
      <c r="G38" s="1052"/>
      <c r="H38" s="1052"/>
      <c r="I38" s="1311"/>
      <c r="J38" s="1312"/>
      <c r="K38" s="1312"/>
      <c r="L38" s="1312"/>
      <c r="M38" s="1312"/>
      <c r="N38" s="1052"/>
      <c r="O38" s="1052"/>
      <c r="P38" s="1052"/>
      <c r="Q38" s="1313"/>
      <c r="R38" s="1314"/>
      <c r="S38" s="1315"/>
      <c r="T38" s="1315"/>
      <c r="U38" s="1315"/>
      <c r="V38" s="1315"/>
      <c r="W38" s="1315"/>
      <c r="AB38" s="23"/>
      <c r="AC38" s="23"/>
      <c r="AD38" s="23"/>
      <c r="AE38" s="23"/>
      <c r="AF38" s="23"/>
      <c r="AG38" s="23"/>
      <c r="AH38" s="23"/>
      <c r="AI38" s="23"/>
      <c r="AJ38" s="23"/>
      <c r="AK38" s="23"/>
      <c r="AL38" s="23"/>
      <c r="AM38" s="23"/>
      <c r="AN38" s="23"/>
      <c r="AO38" s="23"/>
      <c r="AP38" s="23"/>
      <c r="AQ38" s="23"/>
      <c r="AR38" s="23"/>
      <c r="AS38" s="23"/>
    </row>
    <row r="39" spans="1:45" s="868" customFormat="1">
      <c r="A39" s="1049" t="s">
        <v>950</v>
      </c>
      <c r="B39" s="1052"/>
      <c r="C39" s="1052"/>
      <c r="D39" s="1052"/>
      <c r="E39" s="1052"/>
      <c r="F39" s="1052"/>
      <c r="G39" s="1052"/>
      <c r="H39" s="1052"/>
      <c r="I39" s="1311"/>
      <c r="J39" s="1312"/>
      <c r="K39" s="1312"/>
      <c r="L39" s="1312"/>
      <c r="M39" s="1312"/>
      <c r="N39" s="1052"/>
      <c r="O39" s="1052"/>
      <c r="P39" s="1052"/>
      <c r="Q39" s="1313"/>
      <c r="R39" s="1314"/>
      <c r="S39" s="1315"/>
      <c r="T39" s="1315"/>
      <c r="U39" s="1315"/>
      <c r="V39" s="1315"/>
      <c r="W39" s="1315"/>
      <c r="AB39" s="23"/>
      <c r="AC39" s="23"/>
      <c r="AD39" s="23"/>
      <c r="AE39" s="23"/>
      <c r="AF39" s="23"/>
      <c r="AG39" s="23"/>
      <c r="AH39" s="23"/>
      <c r="AI39" s="23"/>
      <c r="AJ39" s="23"/>
      <c r="AK39" s="23"/>
      <c r="AL39" s="23"/>
      <c r="AM39" s="23"/>
      <c r="AN39" s="23"/>
      <c r="AO39" s="23"/>
      <c r="AP39" s="23"/>
      <c r="AQ39" s="23"/>
      <c r="AR39" s="23"/>
      <c r="AS39" s="23"/>
    </row>
    <row r="40" spans="1:45" s="868" customFormat="1">
      <c r="A40" s="873"/>
      <c r="B40" s="873"/>
      <c r="C40" s="873"/>
      <c r="D40" s="873"/>
      <c r="E40" s="873"/>
      <c r="F40" s="873"/>
      <c r="G40" s="873"/>
      <c r="H40" s="873"/>
      <c r="I40" s="1072"/>
      <c r="J40" s="1072"/>
      <c r="K40" s="1072"/>
      <c r="L40" s="1072"/>
      <c r="M40" s="1072"/>
      <c r="N40" s="873"/>
      <c r="O40" s="873"/>
      <c r="P40" s="873"/>
      <c r="Q40" s="873"/>
      <c r="R40" s="1208"/>
      <c r="S40" s="1073"/>
      <c r="T40" s="1073"/>
      <c r="U40" s="1073"/>
      <c r="V40" s="1073"/>
      <c r="W40" s="1073"/>
      <c r="AB40" s="23"/>
      <c r="AC40" s="23"/>
      <c r="AD40" s="23"/>
      <c r="AE40" s="23"/>
      <c r="AF40" s="23"/>
      <c r="AG40" s="23"/>
      <c r="AH40" s="23"/>
      <c r="AI40" s="23"/>
      <c r="AJ40" s="23"/>
      <c r="AK40" s="23"/>
      <c r="AL40" s="23"/>
      <c r="AM40" s="23"/>
      <c r="AN40" s="23"/>
      <c r="AO40" s="23"/>
      <c r="AP40" s="23"/>
      <c r="AQ40" s="23"/>
      <c r="AR40" s="23"/>
      <c r="AS40" s="23"/>
    </row>
    <row r="41" spans="1:45" s="10" customFormat="1" ht="19.5" thickBot="1">
      <c r="A41" s="1280" t="s">
        <v>890</v>
      </c>
      <c r="B41" s="1281"/>
      <c r="C41" s="1281"/>
      <c r="D41" s="1281"/>
      <c r="E41" s="1281"/>
      <c r="F41" s="1281"/>
      <c r="G41" s="1281"/>
      <c r="H41" s="1281"/>
      <c r="I41" s="1282"/>
      <c r="J41" s="1282"/>
      <c r="K41" s="1282"/>
      <c r="L41" s="1282"/>
      <c r="M41" s="1282"/>
      <c r="N41" s="1281"/>
      <c r="O41" s="1281"/>
      <c r="P41" s="1281"/>
      <c r="Q41" s="1281">
        <f t="shared" ref="Q41:W41" si="4">Q6</f>
        <v>2015</v>
      </c>
      <c r="R41" s="1282">
        <f t="shared" si="4"/>
        <v>2016</v>
      </c>
      <c r="S41" s="1283" t="str">
        <f t="shared" si="4"/>
        <v>2017E</v>
      </c>
      <c r="T41" s="1283" t="str">
        <f t="shared" si="4"/>
        <v>2018E</v>
      </c>
      <c r="U41" s="1283" t="str">
        <f t="shared" si="4"/>
        <v>2019E</v>
      </c>
      <c r="V41" s="1283" t="str">
        <f t="shared" si="4"/>
        <v>2020E</v>
      </c>
      <c r="W41" s="1283" t="str">
        <f t="shared" si="4"/>
        <v>2021E</v>
      </c>
      <c r="X41" s="100"/>
      <c r="Y41" s="100"/>
      <c r="Z41" s="100"/>
      <c r="AA41" s="100"/>
      <c r="AB41" s="101"/>
      <c r="AC41" s="101"/>
      <c r="AD41" s="101"/>
      <c r="AE41" s="101"/>
      <c r="AF41" s="101"/>
      <c r="AG41" s="101"/>
      <c r="AH41" s="101"/>
      <c r="AI41" s="101"/>
      <c r="AJ41" s="101"/>
      <c r="AK41" s="101"/>
      <c r="AL41" s="101"/>
      <c r="AM41" s="101"/>
      <c r="AN41" s="101"/>
      <c r="AO41" s="101"/>
      <c r="AP41" s="101"/>
      <c r="AQ41" s="101"/>
      <c r="AR41" s="101"/>
      <c r="AS41" s="101"/>
    </row>
    <row r="42" spans="1:45" s="851" customFormat="1">
      <c r="A42" s="134"/>
      <c r="B42" s="134"/>
      <c r="C42" s="134"/>
      <c r="D42" s="134"/>
      <c r="E42" s="134"/>
      <c r="F42" s="134"/>
      <c r="G42" s="134"/>
      <c r="H42" s="134"/>
      <c r="I42" s="134"/>
      <c r="J42" s="134"/>
      <c r="K42" s="134"/>
      <c r="L42" s="134"/>
      <c r="M42" s="134"/>
      <c r="N42" s="134"/>
      <c r="O42" s="134"/>
      <c r="P42" s="134"/>
      <c r="Q42" s="134"/>
      <c r="R42" s="1044"/>
      <c r="S42" s="131"/>
      <c r="T42" s="131"/>
      <c r="U42" s="131"/>
      <c r="V42" s="131"/>
      <c r="W42" s="131"/>
      <c r="AB42" s="18"/>
      <c r="AC42" s="18"/>
      <c r="AD42" s="18"/>
      <c r="AE42" s="18"/>
      <c r="AF42" s="18"/>
      <c r="AG42" s="18"/>
      <c r="AH42" s="18"/>
      <c r="AI42" s="18"/>
      <c r="AJ42" s="18"/>
      <c r="AK42" s="18"/>
      <c r="AL42" s="18"/>
      <c r="AM42" s="18"/>
      <c r="AN42" s="18"/>
      <c r="AO42" s="18"/>
      <c r="AP42" s="18"/>
      <c r="AQ42" s="18"/>
      <c r="AR42" s="18"/>
      <c r="AS42" s="18"/>
    </row>
    <row r="43" spans="1:45" s="843" customFormat="1" ht="16.5" thickBot="1">
      <c r="A43" s="1058" t="s">
        <v>21</v>
      </c>
      <c r="B43" s="1058"/>
      <c r="C43" s="1058"/>
      <c r="D43" s="1058"/>
      <c r="E43" s="1058"/>
      <c r="F43" s="1058"/>
      <c r="G43" s="1058"/>
      <c r="H43" s="1058"/>
      <c r="I43" s="1058"/>
      <c r="J43" s="1058"/>
      <c r="K43" s="1058"/>
      <c r="L43" s="1058"/>
      <c r="M43" s="1058"/>
      <c r="N43" s="1058"/>
      <c r="O43" s="1058"/>
      <c r="P43" s="1058"/>
      <c r="Q43" s="1058"/>
      <c r="R43" s="1212"/>
      <c r="S43" s="1059"/>
      <c r="T43" s="1059"/>
      <c r="U43" s="1059"/>
      <c r="V43" s="1059"/>
      <c r="W43" s="1059"/>
      <c r="AB43" s="850"/>
      <c r="AC43" s="844"/>
      <c r="AD43" s="844"/>
      <c r="AE43" s="844"/>
      <c r="AF43" s="844"/>
      <c r="AG43" s="844"/>
      <c r="AH43" s="844"/>
      <c r="AI43" s="844"/>
      <c r="AJ43" s="844"/>
      <c r="AK43" s="844"/>
      <c r="AL43" s="844"/>
      <c r="AM43" s="844"/>
      <c r="AN43" s="844"/>
      <c r="AO43" s="844"/>
      <c r="AP43" s="844"/>
      <c r="AQ43" s="844"/>
      <c r="AR43" s="844"/>
      <c r="AS43" s="844"/>
    </row>
    <row r="44" spans="1:45" s="851" customFormat="1" ht="16.5" thickTop="1">
      <c r="A44" s="134" t="s">
        <v>22</v>
      </c>
      <c r="B44" s="134"/>
      <c r="C44" s="134"/>
      <c r="D44" s="134"/>
      <c r="E44" s="134"/>
      <c r="F44" s="134"/>
      <c r="G44" s="134"/>
      <c r="H44" s="134"/>
      <c r="I44" s="134"/>
      <c r="J44" s="134"/>
      <c r="K44" s="134"/>
      <c r="L44" s="134"/>
      <c r="M44" s="134"/>
      <c r="N44" s="134"/>
      <c r="O44" s="1060">
        <f>SUMIFS(Model!73:73,Model!$2:$2,Annual!O$4,Model!$3:$3,O$3)</f>
        <v>68692</v>
      </c>
      <c r="P44" s="1060">
        <f>SUMIFS(Model!73:73,Model!$2:$2,Annual!P$4,Model!$3:$3,P$3)</f>
        <v>79349</v>
      </c>
      <c r="Q44" s="1087">
        <f>SUMIFS(Model!73:73,Model!$2:$2,Annual!Q$4,Model!$3:$3,Q$3)</f>
        <v>92328</v>
      </c>
      <c r="R44" s="1081">
        <f>SUMIFS(Model!73:73,Model!$2:$2,Annual!R$4,Model!$3:$3,R$3)</f>
        <v>121161</v>
      </c>
      <c r="S44" s="1082">
        <f>SUMIFS(Model!73:73,Model!$2:$2,Annual!S$4,Model!$3:$3,S$3)</f>
        <v>113115.79531066271</v>
      </c>
      <c r="T44" s="1082">
        <f>SUMIFS(Model!73:73,Model!$2:$2,Annual!T$4,Model!$3:$3,T$3)</f>
        <v>145372.21380116988</v>
      </c>
      <c r="U44" s="1082">
        <f>SUMIFS(Model!73:73,Model!$2:$2,Annual!U$4,Model!$3:$3,U$3)</f>
        <v>173176.81725893868</v>
      </c>
      <c r="V44" s="1082">
        <f>SUMIFS(Model!73:73,Model!$2:$2,Annual!V$4,Model!$3:$3,V$3)</f>
        <v>198214.19494116877</v>
      </c>
      <c r="W44" s="1082">
        <f>SUMIFS(Model!73:73,Model!$2:$2,Annual!W$4,Model!$3:$3,W$3)</f>
        <v>220718.43031699699</v>
      </c>
      <c r="AB44" s="143"/>
      <c r="AC44" s="143"/>
      <c r="AD44" s="143"/>
      <c r="AE44" s="143"/>
      <c r="AF44" s="143"/>
      <c r="AG44" s="143"/>
      <c r="AH44" s="143"/>
      <c r="AI44" s="143"/>
      <c r="AJ44" s="143"/>
      <c r="AK44" s="143"/>
      <c r="AL44" s="143"/>
      <c r="AM44" s="143"/>
      <c r="AN44" s="143"/>
      <c r="AO44" s="143"/>
      <c r="AP44" s="143"/>
      <c r="AQ44" s="143"/>
      <c r="AR44" s="143"/>
      <c r="AS44" s="143"/>
    </row>
    <row r="45" spans="1:45" s="851" customFormat="1" hidden="1">
      <c r="A45" s="134" t="s">
        <v>23</v>
      </c>
      <c r="B45" s="134"/>
      <c r="C45" s="134"/>
      <c r="D45" s="134"/>
      <c r="E45" s="134"/>
      <c r="F45" s="134"/>
      <c r="G45" s="134"/>
      <c r="H45" s="134"/>
      <c r="I45" s="134"/>
      <c r="J45" s="134"/>
      <c r="K45" s="134"/>
      <c r="L45" s="134"/>
      <c r="M45" s="134"/>
      <c r="N45" s="134"/>
      <c r="O45" s="1060">
        <f>SUMIFS(Model!74:74,Model!$2:$2,Annual!O$4,Model!$3:$3,O$3)</f>
        <v>1515</v>
      </c>
      <c r="P45" s="1060">
        <f>SUMIFS(Model!74:74,Model!$2:$2,Annual!P$4,Model!$3:$3,P$3)</f>
        <v>1244</v>
      </c>
      <c r="Q45" s="1087">
        <f>SUMIFS(Model!74:74,Model!$2:$2,Annual!Q$4,Model!$3:$3,Q$3)</f>
        <v>867</v>
      </c>
      <c r="R45" s="1081">
        <f>SUMIFS(Model!74:74,Model!$2:$2,Annual!R$4,Model!$3:$3,R$3)</f>
        <v>772</v>
      </c>
      <c r="S45" s="1082">
        <f>SUMIFS(Model!74:74,Model!$2:$2,Annual!S$4,Model!$3:$3,S$3)</f>
        <v>684</v>
      </c>
      <c r="T45" s="1082">
        <f>SUMIFS(Model!74:74,Model!$2:$2,Annual!T$4,Model!$3:$3,T$3)</f>
        <v>684</v>
      </c>
      <c r="U45" s="1082">
        <f>SUMIFS(Model!74:74,Model!$2:$2,Annual!U$4,Model!$3:$3,U$3)</f>
        <v>684</v>
      </c>
      <c r="V45" s="1082">
        <f>SUMIFS(Model!74:74,Model!$2:$2,Annual!V$4,Model!$3:$3,V$3)</f>
        <v>684</v>
      </c>
      <c r="W45" s="1082">
        <f>SUMIFS(Model!74:74,Model!$2:$2,Annual!W$4,Model!$3:$3,W$3)</f>
        <v>684</v>
      </c>
      <c r="AB45" s="18"/>
      <c r="AC45" s="18"/>
      <c r="AD45" s="18"/>
      <c r="AE45" s="18"/>
      <c r="AF45" s="18"/>
      <c r="AG45" s="18"/>
      <c r="AH45" s="18"/>
      <c r="AI45" s="18"/>
      <c r="AJ45" s="18"/>
      <c r="AK45" s="18"/>
      <c r="AL45" s="18"/>
      <c r="AM45" s="18"/>
      <c r="AN45" s="18"/>
      <c r="AO45" s="18"/>
      <c r="AP45" s="18"/>
      <c r="AQ45" s="18"/>
      <c r="AR45" s="18"/>
      <c r="AS45" s="18"/>
    </row>
    <row r="46" spans="1:45" s="851" customFormat="1" hidden="1">
      <c r="A46" s="134" t="s">
        <v>24</v>
      </c>
      <c r="B46" s="134"/>
      <c r="C46" s="134"/>
      <c r="D46" s="134"/>
      <c r="E46" s="134"/>
      <c r="F46" s="134"/>
      <c r="G46" s="134"/>
      <c r="H46" s="134"/>
      <c r="I46" s="134"/>
      <c r="J46" s="134"/>
      <c r="K46" s="134"/>
      <c r="L46" s="134"/>
      <c r="M46" s="134"/>
      <c r="N46" s="134"/>
      <c r="O46" s="1060">
        <f>SUMIFS(Model!75:75,Model!$2:$2,Annual!O$4,Model!$3:$3,O$3)</f>
        <v>160022</v>
      </c>
      <c r="P46" s="1060">
        <f>SUMIFS(Model!75:75,Model!$2:$2,Annual!P$4,Model!$3:$3,P$3)</f>
        <v>163208</v>
      </c>
      <c r="Q46" s="1087">
        <f>SUMIFS(Model!75:75,Model!$2:$2,Annual!Q$4,Model!$3:$3,Q$3)</f>
        <v>123049</v>
      </c>
      <c r="R46" s="1081">
        <f>SUMIFS(Model!75:75,Model!$2:$2,Annual!R$4,Model!$3:$3,R$3)</f>
        <v>134839</v>
      </c>
      <c r="S46" s="1082">
        <f>SUMIFS(Model!75:75,Model!$2:$2,Annual!S$4,Model!$3:$3,S$3)</f>
        <v>140041</v>
      </c>
      <c r="T46" s="1082">
        <f>SUMIFS(Model!75:75,Model!$2:$2,Annual!T$4,Model!$3:$3,T$3)</f>
        <v>140041</v>
      </c>
      <c r="U46" s="1082">
        <f>SUMIFS(Model!75:75,Model!$2:$2,Annual!U$4,Model!$3:$3,U$3)</f>
        <v>140041</v>
      </c>
      <c r="V46" s="1082">
        <f>SUMIFS(Model!75:75,Model!$2:$2,Annual!V$4,Model!$3:$3,V$3)</f>
        <v>140041</v>
      </c>
      <c r="W46" s="1082">
        <f>SUMIFS(Model!75:75,Model!$2:$2,Annual!W$4,Model!$3:$3,W$3)</f>
        <v>140041</v>
      </c>
      <c r="AB46" s="18"/>
      <c r="AC46" s="18"/>
      <c r="AD46" s="18"/>
      <c r="AE46" s="18"/>
      <c r="AF46" s="18"/>
      <c r="AG46" s="18"/>
      <c r="AH46" s="18"/>
      <c r="AI46" s="18"/>
      <c r="AJ46" s="18"/>
      <c r="AK46" s="18"/>
      <c r="AL46" s="18"/>
      <c r="AM46" s="18"/>
      <c r="AN46" s="18"/>
      <c r="AO46" s="18"/>
      <c r="AP46" s="18"/>
      <c r="AQ46" s="18"/>
      <c r="AR46" s="18"/>
      <c r="AS46" s="18"/>
    </row>
    <row r="47" spans="1:45" s="851" customFormat="1" hidden="1">
      <c r="A47" s="134" t="s">
        <v>25</v>
      </c>
      <c r="B47" s="134"/>
      <c r="C47" s="134"/>
      <c r="D47" s="134"/>
      <c r="E47" s="134"/>
      <c r="F47" s="134"/>
      <c r="G47" s="134"/>
      <c r="H47" s="134"/>
      <c r="I47" s="134"/>
      <c r="J47" s="134"/>
      <c r="K47" s="134"/>
      <c r="L47" s="134"/>
      <c r="M47" s="134"/>
      <c r="N47" s="134"/>
      <c r="O47" s="1060">
        <f>SUMIFS(Model!76:76,Model!$2:$2,Annual!O$4,Model!$3:$3,O$3)</f>
        <v>22800</v>
      </c>
      <c r="P47" s="1060">
        <f>SUMIFS(Model!76:76,Model!$2:$2,Annual!P$4,Model!$3:$3,P$3)</f>
        <v>26854</v>
      </c>
      <c r="Q47" s="1087">
        <f>SUMIFS(Model!76:76,Model!$2:$2,Annual!Q$4,Model!$3:$3,Q$3)</f>
        <v>28511</v>
      </c>
      <c r="R47" s="1081">
        <f>SUMIFS(Model!76:76,Model!$2:$2,Annual!R$4,Model!$3:$3,R$3)</f>
        <v>32564</v>
      </c>
      <c r="S47" s="1082">
        <f>SUMIFS(Model!76:76,Model!$2:$2,Annual!S$4,Model!$3:$3,S$3)</f>
        <v>35901</v>
      </c>
      <c r="T47" s="1082">
        <f>SUMIFS(Model!76:76,Model!$2:$2,Annual!T$4,Model!$3:$3,T$3)</f>
        <v>35901</v>
      </c>
      <c r="U47" s="1082">
        <f>SUMIFS(Model!76:76,Model!$2:$2,Annual!U$4,Model!$3:$3,U$3)</f>
        <v>35901</v>
      </c>
      <c r="V47" s="1082">
        <f>SUMIFS(Model!76:76,Model!$2:$2,Annual!V$4,Model!$3:$3,V$3)</f>
        <v>35901</v>
      </c>
      <c r="W47" s="1082">
        <f>SUMIFS(Model!76:76,Model!$2:$2,Annual!W$4,Model!$3:$3,W$3)</f>
        <v>35901</v>
      </c>
      <c r="AB47" s="18"/>
      <c r="AC47" s="18"/>
      <c r="AD47" s="18"/>
      <c r="AE47" s="18"/>
      <c r="AF47" s="18"/>
      <c r="AG47" s="18"/>
      <c r="AH47" s="18"/>
      <c r="AI47" s="18"/>
      <c r="AJ47" s="18"/>
      <c r="AK47" s="18"/>
      <c r="AL47" s="18"/>
      <c r="AM47" s="18"/>
      <c r="AN47" s="18"/>
      <c r="AO47" s="18"/>
      <c r="AP47" s="18"/>
      <c r="AQ47" s="18"/>
      <c r="AR47" s="18"/>
      <c r="AS47" s="18"/>
    </row>
    <row r="48" spans="1:45" s="851" customFormat="1" hidden="1">
      <c r="A48" s="134" t="s">
        <v>26</v>
      </c>
      <c r="B48" s="134"/>
      <c r="C48" s="134"/>
      <c r="D48" s="134"/>
      <c r="E48" s="134"/>
      <c r="F48" s="134"/>
      <c r="G48" s="134"/>
      <c r="H48" s="134"/>
      <c r="I48" s="134"/>
      <c r="J48" s="134"/>
      <c r="K48" s="134"/>
      <c r="L48" s="134"/>
      <c r="M48" s="134"/>
      <c r="N48" s="134"/>
      <c r="O48" s="1060">
        <f>SUMIFS(Model!77:77,Model!$2:$2,Annual!O$4,Model!$3:$3,O$3)</f>
        <v>229413</v>
      </c>
      <c r="P48" s="1060">
        <f>SUMIFS(Model!77:77,Model!$2:$2,Annual!P$4,Model!$3:$3,P$3)</f>
        <v>241131</v>
      </c>
      <c r="Q48" s="1087">
        <f>SUMIFS(Model!77:77,Model!$2:$2,Annual!Q$4,Model!$3:$3,Q$3)</f>
        <v>190737</v>
      </c>
      <c r="R48" s="1081">
        <f>SUMIFS(Model!77:77,Model!$2:$2,Annual!R$4,Model!$3:$3,R$3)</f>
        <v>165150</v>
      </c>
      <c r="S48" s="1082">
        <f>SUMIFS(Model!77:77,Model!$2:$2,Annual!S$4,Model!$3:$3,S$3)</f>
        <v>149173.08654577989</v>
      </c>
      <c r="T48" s="1082">
        <f>SUMIFS(Model!77:77,Model!$2:$2,Annual!T$4,Model!$3:$3,T$3)</f>
        <v>114295.74659820624</v>
      </c>
      <c r="U48" s="1082">
        <f>SUMIFS(Model!77:77,Model!$2:$2,Annual!U$4,Model!$3:$3,U$3)</f>
        <v>87572.885920224624</v>
      </c>
      <c r="V48" s="1082">
        <f>SUMIFS(Model!77:77,Model!$2:$2,Annual!V$4,Model!$3:$3,V$3)</f>
        <v>67097.950506909183</v>
      </c>
      <c r="W48" s="1082">
        <f>SUMIFS(Model!77:77,Model!$2:$2,Annual!W$4,Model!$3:$3,W$3)</f>
        <v>51410.147272397735</v>
      </c>
      <c r="AB48" s="143"/>
      <c r="AC48" s="143"/>
      <c r="AD48" s="143"/>
      <c r="AE48" s="143"/>
      <c r="AF48" s="143"/>
      <c r="AG48" s="143"/>
      <c r="AH48" s="143"/>
      <c r="AI48" s="143"/>
      <c r="AJ48" s="143"/>
      <c r="AK48" s="143"/>
      <c r="AL48" s="143"/>
      <c r="AM48" s="143"/>
      <c r="AN48" s="143"/>
      <c r="AO48" s="143"/>
      <c r="AP48" s="143"/>
      <c r="AQ48" s="143"/>
      <c r="AR48" s="143"/>
      <c r="AS48" s="143"/>
    </row>
    <row r="49" spans="1:45" s="851" customFormat="1" hidden="1">
      <c r="A49" s="134" t="s">
        <v>27</v>
      </c>
      <c r="B49" s="134"/>
      <c r="C49" s="134"/>
      <c r="D49" s="134"/>
      <c r="E49" s="134"/>
      <c r="F49" s="134"/>
      <c r="G49" s="134"/>
      <c r="H49" s="134"/>
      <c r="I49" s="134"/>
      <c r="J49" s="134"/>
      <c r="K49" s="134"/>
      <c r="L49" s="134"/>
      <c r="M49" s="134"/>
      <c r="N49" s="134"/>
      <c r="O49" s="1060">
        <f>SUMIFS(Model!78:78,Model!$2:$2,Annual!O$4,Model!$3:$3,O$3)</f>
        <v>2987</v>
      </c>
      <c r="P49" s="1060">
        <f>SUMIFS(Model!78:78,Model!$2:$2,Annual!P$4,Model!$3:$3,P$3)</f>
        <v>2791</v>
      </c>
      <c r="Q49" s="1087">
        <f>SUMIFS(Model!78:78,Model!$2:$2,Annual!Q$4,Model!$3:$3,Q$3)</f>
        <v>3090</v>
      </c>
      <c r="R49" s="1081">
        <f>SUMIFS(Model!78:78,Model!$2:$2,Annual!R$4,Model!$3:$3,R$3)</f>
        <v>2489</v>
      </c>
      <c r="S49" s="1082">
        <f>SUMIFS(Model!78:78,Model!$2:$2,Annual!S$4,Model!$3:$3,S$3)</f>
        <v>2704</v>
      </c>
      <c r="T49" s="1082">
        <f>SUMIFS(Model!78:78,Model!$2:$2,Annual!T$4,Model!$3:$3,T$3)</f>
        <v>2704</v>
      </c>
      <c r="U49" s="1082">
        <f>SUMIFS(Model!78:78,Model!$2:$2,Annual!U$4,Model!$3:$3,U$3)</f>
        <v>2704</v>
      </c>
      <c r="V49" s="1082">
        <f>SUMIFS(Model!78:78,Model!$2:$2,Annual!V$4,Model!$3:$3,V$3)</f>
        <v>2704</v>
      </c>
      <c r="W49" s="1082">
        <f>SUMIFS(Model!78:78,Model!$2:$2,Annual!W$4,Model!$3:$3,W$3)</f>
        <v>2704</v>
      </c>
      <c r="AB49" s="18"/>
      <c r="AC49" s="18"/>
      <c r="AD49" s="18"/>
      <c r="AE49" s="18"/>
      <c r="AF49" s="18"/>
      <c r="AG49" s="18"/>
      <c r="AH49" s="18"/>
      <c r="AI49" s="18"/>
      <c r="AJ49" s="18"/>
      <c r="AK49" s="18"/>
      <c r="AL49" s="18"/>
      <c r="AM49" s="18"/>
      <c r="AN49" s="18"/>
      <c r="AO49" s="18"/>
      <c r="AP49" s="18"/>
      <c r="AQ49" s="18"/>
      <c r="AR49" s="18"/>
      <c r="AS49" s="18"/>
    </row>
    <row r="50" spans="1:45" s="851" customFormat="1" hidden="1">
      <c r="A50" s="134" t="s">
        <v>28</v>
      </c>
      <c r="B50" s="134"/>
      <c r="C50" s="134"/>
      <c r="D50" s="134"/>
      <c r="E50" s="134"/>
      <c r="F50" s="134"/>
      <c r="G50" s="134"/>
      <c r="H50" s="134"/>
      <c r="I50" s="134"/>
      <c r="J50" s="134"/>
      <c r="K50" s="134"/>
      <c r="L50" s="134"/>
      <c r="M50" s="134"/>
      <c r="N50" s="134"/>
      <c r="O50" s="1060">
        <f>SUMIFS(Model!79:79,Model!$2:$2,Annual!O$4,Model!$3:$3,O$3)</f>
        <v>10329</v>
      </c>
      <c r="P50" s="1060">
        <f>SUMIFS(Model!79:79,Model!$2:$2,Annual!P$4,Model!$3:$3,P$3)</f>
        <v>8613</v>
      </c>
      <c r="Q50" s="1087">
        <f>SUMIFS(Model!79:79,Model!$2:$2,Annual!Q$4,Model!$3:$3,Q$3)</f>
        <v>7021</v>
      </c>
      <c r="R50" s="1081">
        <f>SUMIFS(Model!79:79,Model!$2:$2,Annual!R$4,Model!$3:$3,R$3)</f>
        <v>6777</v>
      </c>
      <c r="S50" s="1082">
        <f>SUMIFS(Model!79:79,Model!$2:$2,Annual!S$4,Model!$3:$3,S$3)</f>
        <v>6173</v>
      </c>
      <c r="T50" s="1082">
        <f>SUMIFS(Model!79:79,Model!$2:$2,Annual!T$4,Model!$3:$3,T$3)</f>
        <v>6173</v>
      </c>
      <c r="U50" s="1082">
        <f>SUMIFS(Model!79:79,Model!$2:$2,Annual!U$4,Model!$3:$3,U$3)</f>
        <v>6173</v>
      </c>
      <c r="V50" s="1082">
        <f>SUMIFS(Model!79:79,Model!$2:$2,Annual!V$4,Model!$3:$3,V$3)</f>
        <v>6173</v>
      </c>
      <c r="W50" s="1082">
        <f>SUMIFS(Model!79:79,Model!$2:$2,Annual!W$4,Model!$3:$3,W$3)</f>
        <v>6173</v>
      </c>
      <c r="AB50" s="18"/>
      <c r="AC50" s="18"/>
      <c r="AD50" s="18"/>
      <c r="AE50" s="18"/>
      <c r="AF50" s="18"/>
      <c r="AG50" s="18"/>
      <c r="AH50" s="18"/>
      <c r="AI50" s="18"/>
      <c r="AJ50" s="18"/>
      <c r="AK50" s="18"/>
      <c r="AL50" s="18"/>
      <c r="AM50" s="18"/>
      <c r="AN50" s="18"/>
      <c r="AO50" s="18"/>
      <c r="AP50" s="18"/>
      <c r="AQ50" s="18"/>
      <c r="AR50" s="18"/>
      <c r="AS50" s="18"/>
    </row>
    <row r="51" spans="1:45" s="851" customFormat="1" hidden="1">
      <c r="A51" s="134" t="s">
        <v>29</v>
      </c>
      <c r="B51" s="134"/>
      <c r="C51" s="134"/>
      <c r="D51" s="134"/>
      <c r="E51" s="134"/>
      <c r="F51" s="134"/>
      <c r="G51" s="134"/>
      <c r="H51" s="134"/>
      <c r="I51" s="134"/>
      <c r="J51" s="134"/>
      <c r="K51" s="134"/>
      <c r="L51" s="134"/>
      <c r="M51" s="134"/>
      <c r="N51" s="134"/>
      <c r="O51" s="1060">
        <f>SUMIFS(Model!80:80,Model!$2:$2,Annual!O$4,Model!$3:$3,O$3)</f>
        <v>247054</v>
      </c>
      <c r="P51" s="1060">
        <f>SUMIFS(Model!80:80,Model!$2:$2,Annual!P$4,Model!$3:$3,P$3)</f>
        <v>272551</v>
      </c>
      <c r="Q51" s="1087">
        <f>SUMIFS(Model!80:80,Model!$2:$2,Annual!Q$4,Model!$3:$3,Q$3)</f>
        <v>272995</v>
      </c>
      <c r="R51" s="1081">
        <f>SUMIFS(Model!80:80,Model!$2:$2,Annual!R$4,Model!$3:$3,R$3)</f>
        <v>275976</v>
      </c>
      <c r="S51" s="1082">
        <f>SUMIFS(Model!80:80,Model!$2:$2,Annual!S$4,Model!$3:$3,S$3)</f>
        <v>281186.10172843392</v>
      </c>
      <c r="T51" s="1082">
        <f>SUMIFS(Model!80:80,Model!$2:$2,Annual!T$4,Model!$3:$3,T$3)</f>
        <v>304045.61255304958</v>
      </c>
      <c r="U51" s="1082">
        <f>SUMIFS(Model!80:80,Model!$2:$2,Annual!U$4,Model!$3:$3,U$3)</f>
        <v>330322.0922516702</v>
      </c>
      <c r="V51" s="1082">
        <f>SUMIFS(Model!80:80,Model!$2:$2,Annual!V$4,Model!$3:$3,V$3)</f>
        <v>360428.59317161428</v>
      </c>
      <c r="W51" s="1082">
        <f>SUMIFS(Model!80:80,Model!$2:$2,Annual!W$4,Model!$3:$3,W$3)</f>
        <v>395014.38351362984</v>
      </c>
      <c r="AB51" s="91"/>
      <c r="AC51" s="91"/>
      <c r="AD51" s="91"/>
      <c r="AE51" s="91"/>
      <c r="AF51" s="91"/>
      <c r="AG51" s="91"/>
      <c r="AH51" s="91"/>
      <c r="AI51" s="91"/>
      <c r="AJ51" s="91"/>
      <c r="AK51" s="91"/>
      <c r="AL51" s="91"/>
      <c r="AM51" s="91"/>
      <c r="AN51" s="91"/>
      <c r="AO51" s="91"/>
      <c r="AP51" s="91"/>
      <c r="AQ51" s="91"/>
      <c r="AR51" s="91"/>
      <c r="AS51" s="91"/>
    </row>
    <row r="52" spans="1:45" s="851" customFormat="1" hidden="1">
      <c r="A52" s="134" t="s">
        <v>30</v>
      </c>
      <c r="B52" s="134"/>
      <c r="C52" s="134"/>
      <c r="D52" s="134"/>
      <c r="E52" s="134"/>
      <c r="F52" s="134"/>
      <c r="G52" s="134"/>
      <c r="H52" s="134"/>
      <c r="I52" s="134"/>
      <c r="J52" s="134"/>
      <c r="K52" s="134"/>
      <c r="L52" s="134"/>
      <c r="M52" s="134"/>
      <c r="N52" s="134"/>
      <c r="O52" s="1060">
        <f>SUMIFS(Model!81:81,Model!$2:$2,Annual!O$4,Model!$3:$3,O$3)</f>
        <v>5091</v>
      </c>
      <c r="P52" s="1060">
        <f>SUMIFS(Model!81:81,Model!$2:$2,Annual!P$4,Model!$3:$3,P$3)</f>
        <v>4641</v>
      </c>
      <c r="Q52" s="1087">
        <f>SUMIFS(Model!81:81,Model!$2:$2,Annual!Q$4,Model!$3:$3,Q$3)</f>
        <v>4644</v>
      </c>
      <c r="R52" s="1081">
        <f>SUMIFS(Model!81:81,Model!$2:$2,Annual!R$4,Model!$3:$3,R$3)</f>
        <v>4711</v>
      </c>
      <c r="S52" s="1082">
        <f>SUMIFS(Model!81:81,Model!$2:$2,Annual!S$4,Model!$3:$3,S$3)</f>
        <v>4591</v>
      </c>
      <c r="T52" s="1082">
        <f>SUMIFS(Model!81:81,Model!$2:$2,Annual!T$4,Model!$3:$3,T$3)</f>
        <v>4591</v>
      </c>
      <c r="U52" s="1082">
        <f>SUMIFS(Model!81:81,Model!$2:$2,Annual!U$4,Model!$3:$3,U$3)</f>
        <v>4591</v>
      </c>
      <c r="V52" s="1082">
        <f>SUMIFS(Model!81:81,Model!$2:$2,Annual!V$4,Model!$3:$3,V$3)</f>
        <v>4591</v>
      </c>
      <c r="W52" s="1082">
        <f>SUMIFS(Model!81:81,Model!$2:$2,Annual!W$4,Model!$3:$3,W$3)</f>
        <v>4591</v>
      </c>
      <c r="AB52" s="18"/>
      <c r="AC52" s="18"/>
      <c r="AD52" s="18"/>
      <c r="AE52" s="18"/>
      <c r="AF52" s="18"/>
      <c r="AG52" s="18"/>
      <c r="AH52" s="18"/>
      <c r="AI52" s="18"/>
      <c r="AJ52" s="18"/>
      <c r="AK52" s="18"/>
      <c r="AL52" s="18"/>
      <c r="AM52" s="18"/>
      <c r="AN52" s="18"/>
      <c r="AO52" s="18"/>
      <c r="AP52" s="18"/>
      <c r="AQ52" s="18"/>
      <c r="AR52" s="18"/>
      <c r="AS52" s="18"/>
    </row>
    <row r="53" spans="1:45" s="851" customFormat="1" hidden="1">
      <c r="A53" s="134" t="s">
        <v>31</v>
      </c>
      <c r="B53" s="134"/>
      <c r="C53" s="134"/>
      <c r="D53" s="134"/>
      <c r="E53" s="134"/>
      <c r="F53" s="134"/>
      <c r="G53" s="134"/>
      <c r="H53" s="134"/>
      <c r="I53" s="134"/>
      <c r="J53" s="134"/>
      <c r="K53" s="134"/>
      <c r="L53" s="134"/>
      <c r="M53" s="134"/>
      <c r="N53" s="134"/>
      <c r="O53" s="1060">
        <f>SUMIFS(Model!82:82,Model!$2:$2,Annual!O$4,Model!$3:$3,O$3)</f>
        <v>7999</v>
      </c>
      <c r="P53" s="1060">
        <f>SUMIFS(Model!82:82,Model!$2:$2,Annual!P$4,Model!$3:$3,P$3)</f>
        <v>8644</v>
      </c>
      <c r="Q53" s="1087">
        <f>SUMIFS(Model!82:82,Model!$2:$2,Annual!Q$4,Model!$3:$3,Q$3)</f>
        <v>4808</v>
      </c>
      <c r="R53" s="1081">
        <f>SUMIFS(Model!82:82,Model!$2:$2,Annual!R$4,Model!$3:$3,R$3)</f>
        <v>4913</v>
      </c>
      <c r="S53" s="1082">
        <f>SUMIFS(Model!82:82,Model!$2:$2,Annual!S$4,Model!$3:$3,S$3)</f>
        <v>4715</v>
      </c>
      <c r="T53" s="1082">
        <f>SUMIFS(Model!82:82,Model!$2:$2,Annual!T$4,Model!$3:$3,T$3)</f>
        <v>4715</v>
      </c>
      <c r="U53" s="1082">
        <f>SUMIFS(Model!82:82,Model!$2:$2,Annual!U$4,Model!$3:$3,U$3)</f>
        <v>4715</v>
      </c>
      <c r="V53" s="1082">
        <f>SUMIFS(Model!82:82,Model!$2:$2,Annual!V$4,Model!$3:$3,V$3)</f>
        <v>4715</v>
      </c>
      <c r="W53" s="1082">
        <f>SUMIFS(Model!82:82,Model!$2:$2,Annual!W$4,Model!$3:$3,W$3)</f>
        <v>4715</v>
      </c>
      <c r="AB53" s="18"/>
      <c r="AC53" s="18"/>
      <c r="AD53" s="18"/>
      <c r="AE53" s="18"/>
      <c r="AF53" s="18"/>
      <c r="AG53" s="18"/>
      <c r="AH53" s="18"/>
      <c r="AI53" s="18"/>
      <c r="AJ53" s="18"/>
      <c r="AK53" s="18"/>
      <c r="AL53" s="18"/>
      <c r="AM53" s="18"/>
      <c r="AN53" s="18"/>
      <c r="AO53" s="18"/>
      <c r="AP53" s="18"/>
      <c r="AQ53" s="18"/>
      <c r="AR53" s="18"/>
      <c r="AS53" s="18"/>
    </row>
    <row r="54" spans="1:45" s="851" customFormat="1" hidden="1">
      <c r="A54" s="134" t="s">
        <v>32</v>
      </c>
      <c r="B54" s="134"/>
      <c r="C54" s="134"/>
      <c r="D54" s="134"/>
      <c r="E54" s="134"/>
      <c r="F54" s="134"/>
      <c r="G54" s="134"/>
      <c r="H54" s="134"/>
      <c r="I54" s="134"/>
      <c r="J54" s="134"/>
      <c r="K54" s="134"/>
      <c r="L54" s="134"/>
      <c r="M54" s="134"/>
      <c r="N54" s="134"/>
      <c r="O54" s="1060">
        <f>SUMIFS(Model!83:83,Model!$2:$2,Annual!O$4,Model!$3:$3,O$3)</f>
        <v>210</v>
      </c>
      <c r="P54" s="1060">
        <f>SUMIFS(Model!83:83,Model!$2:$2,Annual!P$4,Model!$3:$3,P$3)</f>
        <v>249</v>
      </c>
      <c r="Q54" s="1087">
        <f>SUMIFS(Model!83:83,Model!$2:$2,Annual!Q$4,Model!$3:$3,Q$3)</f>
        <v>196</v>
      </c>
      <c r="R54" s="1081">
        <f>SUMIFS(Model!83:83,Model!$2:$2,Annual!R$4,Model!$3:$3,R$3)</f>
        <v>213</v>
      </c>
      <c r="S54" s="1082">
        <f>SUMIFS(Model!83:83,Model!$2:$2,Annual!S$4,Model!$3:$3,S$3)</f>
        <v>219</v>
      </c>
      <c r="T54" s="1082">
        <f>SUMIFS(Model!83:83,Model!$2:$2,Annual!T$4,Model!$3:$3,T$3)</f>
        <v>219</v>
      </c>
      <c r="U54" s="1082">
        <f>SUMIFS(Model!83:83,Model!$2:$2,Annual!U$4,Model!$3:$3,U$3)</f>
        <v>219</v>
      </c>
      <c r="V54" s="1082">
        <f>SUMIFS(Model!83:83,Model!$2:$2,Annual!V$4,Model!$3:$3,V$3)</f>
        <v>219</v>
      </c>
      <c r="W54" s="1082">
        <f>SUMIFS(Model!83:83,Model!$2:$2,Annual!W$4,Model!$3:$3,W$3)</f>
        <v>219</v>
      </c>
      <c r="AB54" s="18"/>
      <c r="AC54" s="18"/>
      <c r="AD54" s="18"/>
      <c r="AE54" s="18"/>
      <c r="AF54" s="18"/>
      <c r="AG54" s="18"/>
      <c r="AH54" s="18"/>
      <c r="AI54" s="18"/>
      <c r="AJ54" s="18"/>
      <c r="AK54" s="18"/>
      <c r="AL54" s="18"/>
      <c r="AM54" s="18"/>
      <c r="AN54" s="18"/>
      <c r="AO54" s="18"/>
      <c r="AP54" s="18"/>
      <c r="AQ54" s="18"/>
      <c r="AR54" s="18"/>
      <c r="AS54" s="18"/>
    </row>
    <row r="55" spans="1:45" s="851" customFormat="1" hidden="1">
      <c r="A55" s="134" t="s">
        <v>33</v>
      </c>
      <c r="B55" s="134"/>
      <c r="C55" s="134"/>
      <c r="D55" s="134"/>
      <c r="E55" s="134"/>
      <c r="F55" s="134"/>
      <c r="G55" s="134"/>
      <c r="H55" s="134"/>
      <c r="I55" s="134"/>
      <c r="J55" s="134"/>
      <c r="K55" s="134"/>
      <c r="L55" s="134"/>
      <c r="M55" s="134"/>
      <c r="N55" s="134"/>
      <c r="O55" s="1060">
        <f>SUMIFS(Model!84:84,Model!$2:$2,Annual!O$4,Model!$3:$3,O$3)</f>
        <v>52045</v>
      </c>
      <c r="P55" s="1060">
        <f>SUMIFS(Model!84:84,Model!$2:$2,Annual!P$4,Model!$3:$3,P$3)</f>
        <v>41629</v>
      </c>
      <c r="Q55" s="1087">
        <f>SUMIFS(Model!84:84,Model!$2:$2,Annual!Q$4,Model!$3:$3,Q$3)</f>
        <v>34542</v>
      </c>
      <c r="R55" s="1081">
        <f>SUMIFS(Model!84:84,Model!$2:$2,Annual!R$4,Model!$3:$3,R$3)</f>
        <v>33431</v>
      </c>
      <c r="S55" s="1082">
        <f>SUMIFS(Model!84:84,Model!$2:$2,Annual!S$4,Model!$3:$3,S$3)</f>
        <v>35525</v>
      </c>
      <c r="T55" s="1082">
        <f>SUMIFS(Model!84:84,Model!$2:$2,Annual!T$4,Model!$3:$3,T$3)</f>
        <v>35525</v>
      </c>
      <c r="U55" s="1082">
        <f>SUMIFS(Model!84:84,Model!$2:$2,Annual!U$4,Model!$3:$3,U$3)</f>
        <v>35525</v>
      </c>
      <c r="V55" s="1082">
        <f>SUMIFS(Model!84:84,Model!$2:$2,Annual!V$4,Model!$3:$3,V$3)</f>
        <v>35525</v>
      </c>
      <c r="W55" s="1082">
        <f>SUMIFS(Model!84:84,Model!$2:$2,Annual!W$4,Model!$3:$3,W$3)</f>
        <v>35525</v>
      </c>
      <c r="AB55" s="18"/>
      <c r="AC55" s="18"/>
      <c r="AD55" s="18"/>
      <c r="AE55" s="18"/>
      <c r="AF55" s="18"/>
      <c r="AG55" s="18"/>
      <c r="AH55" s="18"/>
      <c r="AI55" s="18"/>
      <c r="AJ55" s="18"/>
      <c r="AK55" s="18"/>
      <c r="AL55" s="18"/>
      <c r="AM55" s="18"/>
      <c r="AN55" s="18"/>
      <c r="AO55" s="18"/>
      <c r="AP55" s="18"/>
      <c r="AQ55" s="18"/>
      <c r="AR55" s="18"/>
      <c r="AS55" s="18"/>
    </row>
    <row r="56" spans="1:45" s="851" customFormat="1" hidden="1">
      <c r="A56" s="134" t="s">
        <v>34</v>
      </c>
      <c r="B56" s="134"/>
      <c r="C56" s="134"/>
      <c r="D56" s="134"/>
      <c r="E56" s="134"/>
      <c r="F56" s="134"/>
      <c r="G56" s="134"/>
      <c r="H56" s="134"/>
      <c r="I56" s="134"/>
      <c r="J56" s="134"/>
      <c r="K56" s="134"/>
      <c r="L56" s="134"/>
      <c r="M56" s="134"/>
      <c r="N56" s="134"/>
      <c r="O56" s="1060">
        <f>SUMIFS(Model!85:85,Model!$2:$2,Annual!O$4,Model!$3:$3,O$3)</f>
        <v>63065</v>
      </c>
      <c r="P56" s="1060">
        <f>SUMIFS(Model!85:85,Model!$2:$2,Annual!P$4,Model!$3:$3,P$3)</f>
        <v>70558</v>
      </c>
      <c r="Q56" s="1087">
        <f>SUMIFS(Model!85:85,Model!$2:$2,Annual!Q$4,Model!$3:$3,Q$3)</f>
        <v>58017</v>
      </c>
      <c r="R56" s="1081">
        <f>SUMIFS(Model!85:85,Model!$2:$2,Annual!R$4,Model!$3:$3,R$3)</f>
        <v>36865</v>
      </c>
      <c r="S56" s="1082">
        <f>SUMIFS(Model!85:85,Model!$2:$2,Annual!S$4,Model!$3:$3,S$3)</f>
        <v>31826</v>
      </c>
      <c r="T56" s="1082">
        <f>SUMIFS(Model!85:85,Model!$2:$2,Annual!T$4,Model!$3:$3,T$3)</f>
        <v>31826</v>
      </c>
      <c r="U56" s="1082">
        <f>SUMIFS(Model!85:85,Model!$2:$2,Annual!U$4,Model!$3:$3,U$3)</f>
        <v>31826</v>
      </c>
      <c r="V56" s="1082">
        <f>SUMIFS(Model!85:85,Model!$2:$2,Annual!V$4,Model!$3:$3,V$3)</f>
        <v>31826</v>
      </c>
      <c r="W56" s="1082">
        <f>SUMIFS(Model!85:85,Model!$2:$2,Annual!W$4,Model!$3:$3,W$3)</f>
        <v>31826</v>
      </c>
      <c r="AB56" s="18"/>
      <c r="AC56" s="18"/>
      <c r="AD56" s="18"/>
      <c r="AE56" s="18"/>
      <c r="AF56" s="18"/>
      <c r="AG56" s="18"/>
      <c r="AH56" s="18"/>
      <c r="AI56" s="18"/>
      <c r="AJ56" s="18"/>
      <c r="AK56" s="18"/>
      <c r="AL56" s="18"/>
      <c r="AM56" s="18"/>
      <c r="AN56" s="18"/>
      <c r="AO56" s="18"/>
      <c r="AP56" s="18"/>
      <c r="AQ56" s="18"/>
      <c r="AR56" s="18"/>
      <c r="AS56" s="18"/>
    </row>
    <row r="57" spans="1:45" s="851" customFormat="1" hidden="1">
      <c r="A57" s="134" t="s">
        <v>35</v>
      </c>
      <c r="B57" s="134"/>
      <c r="C57" s="134"/>
      <c r="D57" s="134"/>
      <c r="E57" s="134"/>
      <c r="F57" s="134"/>
      <c r="G57" s="134"/>
      <c r="H57" s="134"/>
      <c r="I57" s="134"/>
      <c r="J57" s="134"/>
      <c r="K57" s="134"/>
      <c r="L57" s="134"/>
      <c r="M57" s="134"/>
      <c r="N57" s="134"/>
      <c r="O57" s="1060">
        <f>SUMIFS(Model!86:86,Model!$2:$2,Annual!O$4,Model!$3:$3,O$3)</f>
        <v>1584</v>
      </c>
      <c r="P57" s="1060">
        <f>SUMIFS(Model!86:86,Model!$2:$2,Annual!P$4,Model!$3:$3,P$3)</f>
        <v>0</v>
      </c>
      <c r="Q57" s="1087">
        <f>SUMIFS(Model!86:86,Model!$2:$2,Annual!Q$4,Model!$3:$3,Q$3)</f>
        <v>0</v>
      </c>
      <c r="R57" s="1081">
        <f>SUMIFS(Model!86:86,Model!$2:$2,Annual!R$4,Model!$3:$3,R$3)</f>
        <v>0</v>
      </c>
      <c r="S57" s="1082">
        <f>SUMIFS(Model!86:86,Model!$2:$2,Annual!S$4,Model!$3:$3,S$3)</f>
        <v>0</v>
      </c>
      <c r="T57" s="1082">
        <f>SUMIFS(Model!86:86,Model!$2:$2,Annual!T$4,Model!$3:$3,T$3)</f>
        <v>0</v>
      </c>
      <c r="U57" s="1082">
        <f>SUMIFS(Model!86:86,Model!$2:$2,Annual!U$4,Model!$3:$3,U$3)</f>
        <v>0</v>
      </c>
      <c r="V57" s="1082">
        <f>SUMIFS(Model!86:86,Model!$2:$2,Annual!V$4,Model!$3:$3,V$3)</f>
        <v>0</v>
      </c>
      <c r="W57" s="1082">
        <f>SUMIFS(Model!86:86,Model!$2:$2,Annual!W$4,Model!$3:$3,W$3)</f>
        <v>0</v>
      </c>
      <c r="AB57" s="18"/>
      <c r="AC57" s="18"/>
      <c r="AD57" s="18"/>
      <c r="AE57" s="18"/>
      <c r="AF57" s="18"/>
      <c r="AG57" s="18"/>
      <c r="AH57" s="18"/>
      <c r="AI57" s="18"/>
      <c r="AJ57" s="18"/>
      <c r="AK57" s="18"/>
      <c r="AL57" s="18"/>
      <c r="AM57" s="18"/>
      <c r="AN57" s="18"/>
      <c r="AO57" s="18"/>
      <c r="AP57" s="18"/>
      <c r="AQ57" s="18"/>
      <c r="AR57" s="18"/>
      <c r="AS57" s="18"/>
    </row>
    <row r="58" spans="1:45" s="142" customFormat="1" ht="16.5" thickBot="1">
      <c r="A58" s="1061" t="s">
        <v>36</v>
      </c>
      <c r="B58" s="1061"/>
      <c r="C58" s="1061"/>
      <c r="D58" s="1061"/>
      <c r="E58" s="1061"/>
      <c r="F58" s="1061"/>
      <c r="G58" s="1061"/>
      <c r="H58" s="1061"/>
      <c r="I58" s="1061"/>
      <c r="J58" s="1061"/>
      <c r="K58" s="1061"/>
      <c r="L58" s="1061"/>
      <c r="M58" s="1061"/>
      <c r="N58" s="1061"/>
      <c r="O58" s="1062">
        <f>SUMIFS(Model!87:87,Model!$2:$2,Annual!O$4,Model!$3:$3,O$3)</f>
        <v>872806</v>
      </c>
      <c r="P58" s="1062">
        <f>SUMIFS(Model!87:87,Model!$2:$2,Annual!P$4,Model!$3:$3,P$3)</f>
        <v>921462</v>
      </c>
      <c r="Q58" s="1090">
        <f>SUMIFS(Model!87:87,Model!$2:$2,Annual!Q$4,Model!$3:$3,Q$3)</f>
        <v>820805</v>
      </c>
      <c r="R58" s="1213">
        <f>SUMIFS(Model!87:87,Model!$2:$2,Annual!R$4,Model!$3:$3,R$3)</f>
        <v>819861</v>
      </c>
      <c r="S58" s="1091">
        <f>SUMIFS(Model!87:87,Model!$2:$2,Annual!S$4,Model!$3:$3,S$3)</f>
        <v>805853.98358487652</v>
      </c>
      <c r="T58" s="1091">
        <f>SUMIFS(Model!87:87,Model!$2:$2,Annual!T$4,Model!$3:$3,T$3)</f>
        <v>826092.57295242569</v>
      </c>
      <c r="U58" s="1091">
        <f>SUMIFS(Model!87:87,Model!$2:$2,Annual!U$4,Model!$3:$3,U$3)</f>
        <v>853450.79543083347</v>
      </c>
      <c r="V58" s="1091">
        <f>SUMIFS(Model!87:87,Model!$2:$2,Annual!V$4,Model!$3:$3,V$3)</f>
        <v>888119.73861969216</v>
      </c>
      <c r="W58" s="1091">
        <f>SUMIFS(Model!87:87,Model!$2:$2,Annual!W$4,Model!$3:$3,W$3)</f>
        <v>929521.96110302466</v>
      </c>
      <c r="AB58" s="845"/>
      <c r="AC58" s="845"/>
      <c r="AD58" s="845"/>
      <c r="AE58" s="845"/>
      <c r="AF58" s="845"/>
      <c r="AG58" s="845"/>
      <c r="AH58" s="845"/>
      <c r="AI58" s="845"/>
      <c r="AJ58" s="845"/>
      <c r="AK58" s="845"/>
      <c r="AL58" s="845"/>
      <c r="AM58" s="845"/>
      <c r="AN58" s="845"/>
      <c r="AO58" s="845"/>
      <c r="AP58" s="845"/>
      <c r="AQ58" s="845"/>
      <c r="AR58" s="845"/>
      <c r="AS58" s="845"/>
    </row>
    <row r="59" spans="1:45" s="851" customFormat="1">
      <c r="A59" s="134"/>
      <c r="B59" s="134"/>
      <c r="C59" s="134"/>
      <c r="D59" s="134"/>
      <c r="E59" s="134"/>
      <c r="F59" s="134"/>
      <c r="G59" s="134"/>
      <c r="H59" s="134"/>
      <c r="I59" s="134"/>
      <c r="J59" s="134"/>
      <c r="K59" s="134"/>
      <c r="L59" s="134"/>
      <c r="M59" s="134"/>
      <c r="N59" s="134"/>
      <c r="O59" s="1060"/>
      <c r="P59" s="1060"/>
      <c r="Q59" s="1087"/>
      <c r="R59" s="1081"/>
      <c r="S59" s="1082"/>
      <c r="T59" s="1082"/>
      <c r="U59" s="1082"/>
      <c r="V59" s="1082"/>
      <c r="W59" s="1082"/>
      <c r="AB59" s="18"/>
      <c r="AC59" s="18"/>
      <c r="AD59" s="18"/>
      <c r="AE59" s="18"/>
      <c r="AF59" s="18"/>
      <c r="AG59" s="18"/>
      <c r="AH59" s="18"/>
      <c r="AI59" s="18"/>
      <c r="AJ59" s="18"/>
      <c r="AK59" s="18"/>
      <c r="AL59" s="18"/>
      <c r="AM59" s="18"/>
      <c r="AN59" s="18"/>
      <c r="AO59" s="18"/>
      <c r="AP59" s="18"/>
      <c r="AQ59" s="18"/>
      <c r="AR59" s="18"/>
      <c r="AS59" s="18"/>
    </row>
    <row r="60" spans="1:45" s="10" customFormat="1" ht="16.5" hidden="1" thickBot="1">
      <c r="A60" s="886" t="s">
        <v>37</v>
      </c>
      <c r="B60" s="886"/>
      <c r="C60" s="886"/>
      <c r="D60" s="886"/>
      <c r="E60" s="886"/>
      <c r="F60" s="886"/>
      <c r="G60" s="886"/>
      <c r="H60" s="886"/>
      <c r="I60" s="886"/>
      <c r="J60" s="886"/>
      <c r="K60" s="886"/>
      <c r="L60" s="886"/>
      <c r="M60" s="886"/>
      <c r="N60" s="886"/>
      <c r="O60" s="1063"/>
      <c r="P60" s="1063"/>
      <c r="Q60" s="1092"/>
      <c r="R60" s="1214"/>
      <c r="S60" s="1093"/>
      <c r="T60" s="1093"/>
      <c r="U60" s="1093"/>
      <c r="V60" s="1093"/>
      <c r="W60" s="1093"/>
      <c r="AB60" s="22"/>
      <c r="AC60" s="22"/>
      <c r="AD60" s="22"/>
      <c r="AE60" s="22"/>
      <c r="AF60" s="22"/>
      <c r="AG60" s="22"/>
      <c r="AH60" s="22"/>
      <c r="AI60" s="22"/>
      <c r="AJ60" s="22"/>
      <c r="AK60" s="22"/>
      <c r="AL60" s="22"/>
      <c r="AM60" s="22"/>
      <c r="AN60" s="22"/>
      <c r="AO60" s="22"/>
      <c r="AP60" s="22"/>
      <c r="AQ60" s="22"/>
      <c r="AR60" s="22"/>
      <c r="AS60" s="22"/>
    </row>
    <row r="61" spans="1:45" s="851" customFormat="1" hidden="1">
      <c r="A61" s="134" t="s">
        <v>38</v>
      </c>
      <c r="B61" s="134"/>
      <c r="C61" s="134"/>
      <c r="D61" s="134"/>
      <c r="E61" s="134"/>
      <c r="F61" s="134"/>
      <c r="G61" s="134"/>
      <c r="H61" s="134"/>
      <c r="I61" s="134"/>
      <c r="J61" s="134"/>
      <c r="K61" s="134"/>
      <c r="L61" s="134"/>
      <c r="M61" s="134"/>
      <c r="N61" s="134"/>
      <c r="O61" s="1060">
        <f>SUMIFS(Model!90:90,Model!$2:$2,Annual!O$4,Model!$3:$3,O$3)</f>
        <v>23108</v>
      </c>
      <c r="P61" s="1060">
        <f>SUMIFS(Model!90:90,Model!$2:$2,Annual!P$4,Model!$3:$3,P$3)</f>
        <v>26009</v>
      </c>
      <c r="Q61" s="1087">
        <f>SUMIFS(Model!90:90,Model!$2:$2,Annual!Q$4,Model!$3:$3,Q$3)</f>
        <v>21054</v>
      </c>
      <c r="R61" s="1081">
        <f>SUMIFS(Model!90:90,Model!$2:$2,Annual!R$4,Model!$3:$3,R$3)</f>
        <v>22800</v>
      </c>
      <c r="S61" s="1082">
        <f>SUMIFS(Model!90:90,Model!$2:$2,Annual!S$4,Model!$3:$3,S$3)</f>
        <v>17497</v>
      </c>
      <c r="T61" s="1082">
        <f>SUMIFS(Model!90:90,Model!$2:$2,Annual!T$4,Model!$3:$3,T$3)</f>
        <v>17497</v>
      </c>
      <c r="U61" s="1082">
        <f>SUMIFS(Model!90:90,Model!$2:$2,Annual!U$4,Model!$3:$3,U$3)</f>
        <v>17497</v>
      </c>
      <c r="V61" s="1082">
        <f>SUMIFS(Model!90:90,Model!$2:$2,Annual!V$4,Model!$3:$3,V$3)</f>
        <v>17497</v>
      </c>
      <c r="W61" s="1082">
        <f>SUMIFS(Model!90:90,Model!$2:$2,Annual!W$4,Model!$3:$3,W$3)</f>
        <v>17497</v>
      </c>
      <c r="AB61" s="18"/>
      <c r="AC61" s="18"/>
      <c r="AD61" s="18"/>
      <c r="AE61" s="18"/>
      <c r="AF61" s="18"/>
      <c r="AG61" s="18"/>
      <c r="AH61" s="18"/>
      <c r="AI61" s="18"/>
      <c r="AJ61" s="18"/>
      <c r="AK61" s="18"/>
      <c r="AL61" s="18"/>
      <c r="AM61" s="18"/>
      <c r="AN61" s="18"/>
      <c r="AO61" s="18"/>
      <c r="AP61" s="18"/>
      <c r="AQ61" s="18"/>
      <c r="AR61" s="18"/>
      <c r="AS61" s="18"/>
    </row>
    <row r="62" spans="1:45" s="851" customFormat="1" hidden="1">
      <c r="A62" s="134" t="s">
        <v>39</v>
      </c>
      <c r="B62" s="134"/>
      <c r="C62" s="134"/>
      <c r="D62" s="134"/>
      <c r="E62" s="134"/>
      <c r="F62" s="134"/>
      <c r="G62" s="134"/>
      <c r="H62" s="134"/>
      <c r="I62" s="134"/>
      <c r="J62" s="134"/>
      <c r="K62" s="134"/>
      <c r="L62" s="134"/>
      <c r="M62" s="134"/>
      <c r="N62" s="134"/>
      <c r="O62" s="1060">
        <f>SUMIFS(Model!91:91,Model!$2:$2,Annual!O$4,Model!$3:$3,O$3)</f>
        <v>333089</v>
      </c>
      <c r="P62" s="1060">
        <f>SUMIFS(Model!91:91,Model!$2:$2,Annual!P$4,Model!$3:$3,P$3)</f>
        <v>369058</v>
      </c>
      <c r="Q62" s="1087">
        <f>SUMIFS(Model!91:91,Model!$2:$2,Annual!Q$4,Model!$3:$3,Q$3)</f>
        <v>342705</v>
      </c>
      <c r="R62" s="1081">
        <f>SUMIFS(Model!91:91,Model!$2:$2,Annual!R$4,Model!$3:$3,R$3)</f>
        <v>355833</v>
      </c>
      <c r="S62" s="1082">
        <f>SUMIFS(Model!91:91,Model!$2:$2,Annual!S$4,Model!$3:$3,S$3)</f>
        <v>361237.39037506492</v>
      </c>
      <c r="T62" s="1082">
        <f>SUMIFS(Model!91:91,Model!$2:$2,Annual!T$4,Model!$3:$3,T$3)</f>
        <v>390604.8092651703</v>
      </c>
      <c r="U62" s="1082">
        <f>SUMIFS(Model!91:91,Model!$2:$2,Annual!U$4,Model!$3:$3,U$3)</f>
        <v>424361.97896959749</v>
      </c>
      <c r="V62" s="1082">
        <f>SUMIFS(Model!91:91,Model!$2:$2,Annual!V$4,Model!$3:$3,V$3)</f>
        <v>463039.54432148882</v>
      </c>
      <c r="W62" s="1082">
        <f>SUMIFS(Model!91:91,Model!$2:$2,Annual!W$4,Model!$3:$3,W$3)</f>
        <v>507471.6146493284</v>
      </c>
      <c r="AB62" s="143"/>
      <c r="AC62" s="143"/>
      <c r="AD62" s="143"/>
      <c r="AE62" s="143"/>
      <c r="AF62" s="143"/>
      <c r="AG62" s="143"/>
      <c r="AH62" s="143"/>
      <c r="AI62" s="143"/>
      <c r="AJ62" s="143"/>
      <c r="AK62" s="143"/>
      <c r="AL62" s="143"/>
      <c r="AM62" s="143"/>
      <c r="AN62" s="143"/>
      <c r="AO62" s="143"/>
      <c r="AP62" s="143"/>
      <c r="AQ62" s="143"/>
      <c r="AR62" s="143"/>
      <c r="AS62" s="143"/>
    </row>
    <row r="63" spans="1:45" s="851" customFormat="1" hidden="1">
      <c r="A63" s="134" t="s">
        <v>40</v>
      </c>
      <c r="B63" s="134"/>
      <c r="C63" s="134"/>
      <c r="D63" s="134"/>
      <c r="E63" s="134"/>
      <c r="F63" s="134"/>
      <c r="G63" s="134"/>
      <c r="H63" s="134"/>
      <c r="I63" s="134"/>
      <c r="J63" s="134"/>
      <c r="K63" s="134"/>
      <c r="L63" s="134"/>
      <c r="M63" s="134"/>
      <c r="N63" s="134"/>
      <c r="O63" s="1060">
        <f>SUMIFS(Model!92:92,Model!$2:$2,Annual!O$4,Model!$3:$3,O$3)</f>
        <v>94032</v>
      </c>
      <c r="P63" s="1060">
        <f>SUMIFS(Model!92:92,Model!$2:$2,Annual!P$4,Model!$3:$3,P$3)</f>
        <v>70119</v>
      </c>
      <c r="Q63" s="1087">
        <f>SUMIFS(Model!92:92,Model!$2:$2,Annual!Q$4,Model!$3:$3,Q$3)</f>
        <v>46598</v>
      </c>
      <c r="R63" s="1081">
        <f>SUMIFS(Model!92:92,Model!$2:$2,Annual!R$4,Model!$3:$3,R$3)</f>
        <v>33016</v>
      </c>
      <c r="S63" s="1082">
        <f>SUMIFS(Model!92:92,Model!$2:$2,Annual!S$4,Model!$3:$3,S$3)</f>
        <v>46520.863363158656</v>
      </c>
      <c r="T63" s="1082">
        <f>SUMIFS(Model!92:92,Model!$2:$2,Annual!T$4,Model!$3:$3,T$3)</f>
        <v>46520.863363158656</v>
      </c>
      <c r="U63" s="1082">
        <f>SUMIFS(Model!92:92,Model!$2:$2,Annual!U$4,Model!$3:$3,U$3)</f>
        <v>46520.863363158656</v>
      </c>
      <c r="V63" s="1082">
        <f>SUMIFS(Model!92:92,Model!$2:$2,Annual!V$4,Model!$3:$3,V$3)</f>
        <v>46520.863363158656</v>
      </c>
      <c r="W63" s="1082">
        <f>SUMIFS(Model!92:92,Model!$2:$2,Annual!W$4,Model!$3:$3,W$3)</f>
        <v>46520.863363158656</v>
      </c>
      <c r="AB63" s="143"/>
      <c r="AC63" s="143"/>
      <c r="AD63" s="143"/>
      <c r="AE63" s="143"/>
      <c r="AF63" s="143"/>
      <c r="AG63" s="143"/>
      <c r="AH63" s="143"/>
      <c r="AI63" s="143"/>
      <c r="AJ63" s="143"/>
      <c r="AK63" s="143"/>
      <c r="AL63" s="143"/>
      <c r="AM63" s="143"/>
      <c r="AN63" s="143"/>
      <c r="AO63" s="143"/>
      <c r="AP63" s="143"/>
      <c r="AQ63" s="143"/>
      <c r="AR63" s="143"/>
      <c r="AS63" s="143"/>
    </row>
    <row r="64" spans="1:45" s="851" customFormat="1" hidden="1">
      <c r="A64" s="134" t="s">
        <v>41</v>
      </c>
      <c r="B64" s="134"/>
      <c r="C64" s="134"/>
      <c r="D64" s="134"/>
      <c r="E64" s="134"/>
      <c r="F64" s="134"/>
      <c r="G64" s="134"/>
      <c r="H64" s="134"/>
      <c r="I64" s="134"/>
      <c r="J64" s="134"/>
      <c r="K64" s="134"/>
      <c r="L64" s="134"/>
      <c r="M64" s="134"/>
      <c r="N64" s="134"/>
      <c r="O64" s="1060">
        <f>SUMIFS(Model!93:93,Model!$2:$2,Annual!O$4,Model!$3:$3,O$3)</f>
        <v>22800</v>
      </c>
      <c r="P64" s="1060">
        <f>SUMIFS(Model!93:93,Model!$2:$2,Annual!P$4,Model!$3:$3,P$3)</f>
        <v>26854</v>
      </c>
      <c r="Q64" s="1087">
        <f>SUMIFS(Model!93:93,Model!$2:$2,Annual!Q$4,Model!$3:$3,Q$3)</f>
        <v>28511</v>
      </c>
      <c r="R64" s="1081">
        <f>SUMIFS(Model!93:93,Model!$2:$2,Annual!R$4,Model!$3:$3,R$3)</f>
        <v>32564</v>
      </c>
      <c r="S64" s="1082">
        <f>SUMIFS(Model!93:93,Model!$2:$2,Annual!S$4,Model!$3:$3,S$3)</f>
        <v>35901</v>
      </c>
      <c r="T64" s="1082">
        <f>SUMIFS(Model!93:93,Model!$2:$2,Annual!T$4,Model!$3:$3,T$3)</f>
        <v>35901</v>
      </c>
      <c r="U64" s="1082">
        <f>SUMIFS(Model!93:93,Model!$2:$2,Annual!U$4,Model!$3:$3,U$3)</f>
        <v>35901</v>
      </c>
      <c r="V64" s="1082">
        <f>SUMIFS(Model!93:93,Model!$2:$2,Annual!V$4,Model!$3:$3,V$3)</f>
        <v>35901</v>
      </c>
      <c r="W64" s="1082">
        <f>SUMIFS(Model!93:93,Model!$2:$2,Annual!W$4,Model!$3:$3,W$3)</f>
        <v>35901</v>
      </c>
      <c r="AB64" s="18"/>
      <c r="AC64" s="18"/>
      <c r="AD64" s="18"/>
      <c r="AE64" s="18"/>
      <c r="AF64" s="18"/>
      <c r="AG64" s="18"/>
      <c r="AH64" s="18"/>
      <c r="AI64" s="18"/>
      <c r="AJ64" s="18"/>
      <c r="AK64" s="18"/>
      <c r="AL64" s="18"/>
      <c r="AM64" s="18"/>
      <c r="AN64" s="18"/>
      <c r="AO64" s="18"/>
      <c r="AP64" s="18"/>
      <c r="AQ64" s="18"/>
      <c r="AR64" s="18"/>
      <c r="AS64" s="18"/>
    </row>
    <row r="65" spans="1:45" s="851" customFormat="1" hidden="1">
      <c r="A65" s="134" t="s">
        <v>42</v>
      </c>
      <c r="B65" s="134"/>
      <c r="C65" s="134"/>
      <c r="D65" s="134"/>
      <c r="E65" s="134"/>
      <c r="F65" s="134"/>
      <c r="G65" s="134"/>
      <c r="H65" s="134"/>
      <c r="I65" s="134"/>
      <c r="J65" s="134"/>
      <c r="K65" s="134"/>
      <c r="L65" s="134"/>
      <c r="M65" s="134"/>
      <c r="N65" s="134"/>
      <c r="O65" s="1060">
        <f>SUMIFS(Model!94:94,Model!$2:$2,Annual!O$4,Model!$3:$3,O$3)</f>
        <v>76635</v>
      </c>
      <c r="P65" s="1060">
        <f>SUMIFS(Model!94:94,Model!$2:$2,Annual!P$4,Model!$3:$3,P$3)</f>
        <v>72655</v>
      </c>
      <c r="Q65" s="1087">
        <f>SUMIFS(Model!94:94,Model!$2:$2,Annual!Q$4,Model!$3:$3,Q$3)</f>
        <v>48971</v>
      </c>
      <c r="R65" s="1081">
        <f>SUMIFS(Model!94:94,Model!$2:$2,Annual!R$4,Model!$3:$3,R$3)</f>
        <v>44930</v>
      </c>
      <c r="S65" s="1082">
        <f>SUMIFS(Model!94:94,Model!$2:$2,Annual!S$4,Model!$3:$3,S$3)</f>
        <v>42735.626363611678</v>
      </c>
      <c r="T65" s="1082">
        <f>SUMIFS(Model!94:94,Model!$2:$2,Annual!T$4,Model!$3:$3,T$3)</f>
        <v>32743.844313176243</v>
      </c>
      <c r="U65" s="1082">
        <f>SUMIFS(Model!94:94,Model!$2:$2,Annual!U$4,Model!$3:$3,U$3)</f>
        <v>25088.185938429149</v>
      </c>
      <c r="V65" s="1082">
        <f>SUMIFS(Model!94:94,Model!$2:$2,Annual!V$4,Model!$3:$3,V$3)</f>
        <v>19222.454995240565</v>
      </c>
      <c r="W65" s="1082">
        <f>SUMIFS(Model!94:94,Model!$2:$2,Annual!W$4,Model!$3:$3,W$3)</f>
        <v>14728.158383028336</v>
      </c>
      <c r="AB65" s="143"/>
      <c r="AC65" s="143"/>
      <c r="AD65" s="143"/>
      <c r="AE65" s="143"/>
      <c r="AF65" s="143"/>
      <c r="AG65" s="143"/>
      <c r="AH65" s="143"/>
      <c r="AI65" s="143"/>
      <c r="AJ65" s="143"/>
      <c r="AK65" s="143"/>
      <c r="AL65" s="143"/>
      <c r="AM65" s="143"/>
      <c r="AN65" s="143"/>
      <c r="AO65" s="143"/>
      <c r="AP65" s="143"/>
      <c r="AQ65" s="143"/>
      <c r="AR65" s="143"/>
      <c r="AS65" s="143"/>
    </row>
    <row r="66" spans="1:45" s="851" customFormat="1" hidden="1">
      <c r="A66" s="134" t="s">
        <v>43</v>
      </c>
      <c r="B66" s="134"/>
      <c r="C66" s="134"/>
      <c r="D66" s="134"/>
      <c r="E66" s="134"/>
      <c r="F66" s="134"/>
      <c r="G66" s="134"/>
      <c r="H66" s="134"/>
      <c r="I66" s="134"/>
      <c r="J66" s="134"/>
      <c r="K66" s="134"/>
      <c r="L66" s="134"/>
      <c r="M66" s="134"/>
      <c r="N66" s="134"/>
      <c r="O66" s="1060">
        <f>SUMIFS(Model!95:95,Model!$2:$2,Annual!O$4,Model!$3:$3,O$3)</f>
        <v>20193</v>
      </c>
      <c r="P66" s="1060">
        <f>SUMIFS(Model!95:95,Model!$2:$2,Annual!P$4,Model!$3:$3,P$3)</f>
        <v>25921</v>
      </c>
      <c r="Q66" s="1087">
        <f>SUMIFS(Model!95:95,Model!$2:$2,Annual!Q$4,Model!$3:$3,Q$3)</f>
        <v>8657</v>
      </c>
      <c r="R66" s="1081">
        <f>SUMIFS(Model!95:95,Model!$2:$2,Annual!R$4,Model!$3:$3,R$3)</f>
        <v>15385</v>
      </c>
      <c r="S66" s="1082">
        <f>SUMIFS(Model!95:95,Model!$2:$2,Annual!S$4,Model!$3:$3,S$3)</f>
        <v>16227</v>
      </c>
      <c r="T66" s="1082">
        <f>SUMIFS(Model!95:95,Model!$2:$2,Annual!T$4,Model!$3:$3,T$3)</f>
        <v>16227</v>
      </c>
      <c r="U66" s="1082">
        <f>SUMIFS(Model!95:95,Model!$2:$2,Annual!U$4,Model!$3:$3,U$3)</f>
        <v>16227</v>
      </c>
      <c r="V66" s="1082">
        <f>SUMIFS(Model!95:95,Model!$2:$2,Annual!V$4,Model!$3:$3,V$3)</f>
        <v>16227</v>
      </c>
      <c r="W66" s="1082">
        <f>SUMIFS(Model!95:95,Model!$2:$2,Annual!W$4,Model!$3:$3,W$3)</f>
        <v>16227</v>
      </c>
      <c r="AB66" s="18"/>
      <c r="AC66" s="18"/>
      <c r="AD66" s="18"/>
      <c r="AE66" s="18"/>
      <c r="AF66" s="18"/>
      <c r="AG66" s="18"/>
      <c r="AH66" s="18"/>
      <c r="AI66" s="18"/>
      <c r="AJ66" s="18"/>
      <c r="AK66" s="18"/>
      <c r="AL66" s="18"/>
      <c r="AM66" s="18"/>
      <c r="AN66" s="18"/>
      <c r="AO66" s="18"/>
      <c r="AP66" s="18"/>
      <c r="AQ66" s="18"/>
      <c r="AR66" s="18"/>
      <c r="AS66" s="18"/>
    </row>
    <row r="67" spans="1:45" s="851" customFormat="1" hidden="1">
      <c r="A67" s="134" t="s">
        <v>44</v>
      </c>
      <c r="B67" s="134"/>
      <c r="C67" s="134"/>
      <c r="D67" s="134"/>
      <c r="E67" s="134"/>
      <c r="F67" s="134"/>
      <c r="G67" s="134"/>
      <c r="H67" s="134"/>
      <c r="I67" s="134"/>
      <c r="J67" s="134"/>
      <c r="K67" s="134"/>
      <c r="L67" s="134"/>
      <c r="M67" s="134"/>
      <c r="N67" s="134"/>
      <c r="O67" s="1060">
        <f>SUMIFS(Model!96:96,Model!$2:$2,Annual!O$4,Model!$3:$3,O$3)</f>
        <v>130042</v>
      </c>
      <c r="P67" s="1060">
        <f>SUMIFS(Model!96:96,Model!$2:$2,Annual!P$4,Model!$3:$3,P$3)</f>
        <v>177898</v>
      </c>
      <c r="Q67" s="1087">
        <f>SUMIFS(Model!96:96,Model!$2:$2,Annual!Q$4,Model!$3:$3,Q$3)</f>
        <v>197608</v>
      </c>
      <c r="R67" s="1081">
        <f>SUMIFS(Model!96:96,Model!$2:$2,Annual!R$4,Model!$3:$3,R$3)</f>
        <v>193315</v>
      </c>
      <c r="S67" s="1082">
        <f>SUMIFS(Model!96:96,Model!$2:$2,Annual!S$4,Model!$3:$3,S$3)</f>
        <v>180294</v>
      </c>
      <c r="T67" s="1082">
        <f>SUMIFS(Model!96:96,Model!$2:$2,Annual!T$4,Model!$3:$3,T$3)</f>
        <v>180294</v>
      </c>
      <c r="U67" s="1082">
        <f>SUMIFS(Model!96:96,Model!$2:$2,Annual!U$4,Model!$3:$3,U$3)</f>
        <v>180294</v>
      </c>
      <c r="V67" s="1082">
        <f>SUMIFS(Model!96:96,Model!$2:$2,Annual!V$4,Model!$3:$3,V$3)</f>
        <v>180294</v>
      </c>
      <c r="W67" s="1082">
        <f>SUMIFS(Model!96:96,Model!$2:$2,Annual!W$4,Model!$3:$3,W$3)</f>
        <v>180294</v>
      </c>
      <c r="AB67" s="18"/>
      <c r="AC67" s="18"/>
      <c r="AD67" s="18"/>
      <c r="AE67" s="18"/>
      <c r="AF67" s="18"/>
      <c r="AG67" s="18"/>
      <c r="AH67" s="18"/>
      <c r="AI67" s="18"/>
      <c r="AJ67" s="18"/>
      <c r="AK67" s="18"/>
      <c r="AL67" s="18"/>
      <c r="AM67" s="18"/>
      <c r="AN67" s="18"/>
      <c r="AO67" s="18"/>
      <c r="AP67" s="18"/>
      <c r="AQ67" s="18"/>
      <c r="AR67" s="18"/>
      <c r="AS67" s="18"/>
    </row>
    <row r="68" spans="1:45" s="851" customFormat="1" hidden="1">
      <c r="A68" s="134" t="s">
        <v>45</v>
      </c>
      <c r="B68" s="134"/>
      <c r="C68" s="134"/>
      <c r="D68" s="134"/>
      <c r="E68" s="134"/>
      <c r="F68" s="134"/>
      <c r="G68" s="134"/>
      <c r="H68" s="134"/>
      <c r="I68" s="134"/>
      <c r="J68" s="134"/>
      <c r="K68" s="134"/>
      <c r="L68" s="134"/>
      <c r="M68" s="134"/>
      <c r="N68" s="134"/>
      <c r="O68" s="1060">
        <f>SUMIFS(Model!97:97,Model!$2:$2,Annual!O$4,Model!$3:$3,O$3)</f>
        <v>73154</v>
      </c>
      <c r="P68" s="1060">
        <f>SUMIFS(Model!97:97,Model!$2:$2,Annual!P$4,Model!$3:$3,P$3)</f>
        <v>56977</v>
      </c>
      <c r="Q68" s="1087">
        <f>SUMIFS(Model!97:97,Model!$2:$2,Annual!Q$4,Model!$3:$3,Q$3)</f>
        <v>39452</v>
      </c>
      <c r="R68" s="1081">
        <f>SUMIFS(Model!97:97,Model!$2:$2,Annual!R$4,Model!$3:$3,R$3)</f>
        <v>39852</v>
      </c>
      <c r="S68" s="1082">
        <f>SUMIFS(Model!97:97,Model!$2:$2,Annual!S$4,Model!$3:$3,S$3)</f>
        <v>32416</v>
      </c>
      <c r="T68" s="1082">
        <f>SUMIFS(Model!97:97,Model!$2:$2,Annual!T$4,Model!$3:$3,T$3)</f>
        <v>32416</v>
      </c>
      <c r="U68" s="1082">
        <f>SUMIFS(Model!97:97,Model!$2:$2,Annual!U$4,Model!$3:$3,U$3)</f>
        <v>32416</v>
      </c>
      <c r="V68" s="1082">
        <f>SUMIFS(Model!97:97,Model!$2:$2,Annual!V$4,Model!$3:$3,V$3)</f>
        <v>32416</v>
      </c>
      <c r="W68" s="1082">
        <f>SUMIFS(Model!97:97,Model!$2:$2,Annual!W$4,Model!$3:$3,W$3)</f>
        <v>32416</v>
      </c>
      <c r="AB68" s="18"/>
      <c r="AC68" s="18"/>
      <c r="AD68" s="18"/>
      <c r="AE68" s="18"/>
      <c r="AF68" s="18"/>
      <c r="AG68" s="18"/>
      <c r="AH68" s="18"/>
      <c r="AI68" s="18"/>
      <c r="AJ68" s="18"/>
      <c r="AK68" s="18"/>
      <c r="AL68" s="18"/>
      <c r="AM68" s="18"/>
      <c r="AN68" s="18"/>
      <c r="AO68" s="18"/>
      <c r="AP68" s="18"/>
      <c r="AQ68" s="18"/>
      <c r="AR68" s="18"/>
      <c r="AS68" s="18"/>
    </row>
    <row r="69" spans="1:45" s="851" customFormat="1" hidden="1">
      <c r="A69" s="134" t="s">
        <v>46</v>
      </c>
      <c r="B69" s="134"/>
      <c r="C69" s="134"/>
      <c r="D69" s="134"/>
      <c r="E69" s="134"/>
      <c r="F69" s="134"/>
      <c r="G69" s="134"/>
      <c r="H69" s="134"/>
      <c r="I69" s="134"/>
      <c r="J69" s="134"/>
      <c r="K69" s="134"/>
      <c r="L69" s="134"/>
      <c r="M69" s="134"/>
      <c r="N69" s="134"/>
      <c r="O69" s="1060">
        <f>SUMIFS(Model!98:98,Model!$2:$2,Annual!O$4,Model!$3:$3,O$3)</f>
        <v>51447</v>
      </c>
      <c r="P69" s="1060">
        <f>SUMIFS(Model!98:98,Model!$2:$2,Annual!P$4,Model!$3:$3,P$3)</f>
        <v>50970</v>
      </c>
      <c r="Q69" s="1087">
        <f>SUMIFS(Model!98:98,Model!$2:$2,Annual!Q$4,Model!$3:$3,Q$3)</f>
        <v>42231</v>
      </c>
      <c r="R69" s="1081">
        <f>SUMIFS(Model!98:98,Model!$2:$2,Annual!R$4,Model!$3:$3,R$3)</f>
        <v>39855</v>
      </c>
      <c r="S69" s="1082">
        <f>SUMIFS(Model!98:98,Model!$2:$2,Annual!S$4,Model!$3:$3,S$3)</f>
        <v>30822</v>
      </c>
      <c r="T69" s="1082">
        <f>SUMIFS(Model!98:98,Model!$2:$2,Annual!T$4,Model!$3:$3,T$3)</f>
        <v>30822</v>
      </c>
      <c r="U69" s="1082">
        <f>SUMIFS(Model!98:98,Model!$2:$2,Annual!U$4,Model!$3:$3,U$3)</f>
        <v>30822</v>
      </c>
      <c r="V69" s="1082">
        <f>SUMIFS(Model!98:98,Model!$2:$2,Annual!V$4,Model!$3:$3,V$3)</f>
        <v>30822</v>
      </c>
      <c r="W69" s="1082">
        <f>SUMIFS(Model!98:98,Model!$2:$2,Annual!W$4,Model!$3:$3,W$3)</f>
        <v>30822</v>
      </c>
      <c r="AB69" s="18"/>
      <c r="AC69" s="18"/>
      <c r="AD69" s="18"/>
      <c r="AE69" s="18"/>
      <c r="AF69" s="18"/>
      <c r="AG69" s="18"/>
      <c r="AH69" s="18"/>
      <c r="AI69" s="18"/>
      <c r="AJ69" s="18"/>
      <c r="AK69" s="18"/>
      <c r="AL69" s="18"/>
      <c r="AM69" s="18"/>
      <c r="AN69" s="18"/>
      <c r="AO69" s="18"/>
      <c r="AP69" s="18"/>
      <c r="AQ69" s="18"/>
      <c r="AR69" s="18"/>
      <c r="AS69" s="18"/>
    </row>
    <row r="70" spans="1:45" s="851" customFormat="1" hidden="1">
      <c r="A70" s="134" t="s">
        <v>47</v>
      </c>
      <c r="B70" s="134"/>
      <c r="C70" s="134"/>
      <c r="D70" s="134"/>
      <c r="E70" s="134"/>
      <c r="F70" s="134"/>
      <c r="G70" s="134"/>
      <c r="H70" s="134"/>
      <c r="I70" s="134"/>
      <c r="J70" s="134"/>
      <c r="K70" s="134"/>
      <c r="L70" s="134"/>
      <c r="M70" s="134"/>
      <c r="N70" s="134"/>
      <c r="O70" s="1060">
        <f>SUMIFS(Model!99:99,Model!$2:$2,Annual!O$4,Model!$3:$3,O$3)</f>
        <v>1140</v>
      </c>
      <c r="P70" s="1060">
        <f>SUMIFS(Model!99:99,Model!$2:$2,Annual!P$4,Model!$3:$3,P$3)</f>
        <v>0</v>
      </c>
      <c r="Q70" s="1087">
        <f>SUMIFS(Model!99:99,Model!$2:$2,Annual!Q$4,Model!$3:$3,Q$3)</f>
        <v>0</v>
      </c>
      <c r="R70" s="1081">
        <f>SUMIFS(Model!99:99,Model!$2:$2,Annual!R$4,Model!$3:$3,R$3)</f>
        <v>0</v>
      </c>
      <c r="S70" s="1082">
        <f>SUMIFS(Model!99:99,Model!$2:$2,Annual!S$4,Model!$3:$3,S$3)</f>
        <v>0</v>
      </c>
      <c r="T70" s="1082">
        <f>SUMIFS(Model!99:99,Model!$2:$2,Annual!T$4,Model!$3:$3,T$3)</f>
        <v>0</v>
      </c>
      <c r="U70" s="1082">
        <f>SUMIFS(Model!99:99,Model!$2:$2,Annual!U$4,Model!$3:$3,U$3)</f>
        <v>0</v>
      </c>
      <c r="V70" s="1082">
        <f>SUMIFS(Model!99:99,Model!$2:$2,Annual!V$4,Model!$3:$3,V$3)</f>
        <v>0</v>
      </c>
      <c r="W70" s="1082">
        <f>SUMIFS(Model!99:99,Model!$2:$2,Annual!W$4,Model!$3:$3,W$3)</f>
        <v>0</v>
      </c>
      <c r="AB70" s="18"/>
      <c r="AC70" s="18"/>
      <c r="AD70" s="18"/>
      <c r="AE70" s="18"/>
      <c r="AF70" s="18"/>
      <c r="AG70" s="18"/>
      <c r="AH70" s="18"/>
      <c r="AI70" s="18"/>
      <c r="AJ70" s="18"/>
      <c r="AK70" s="18"/>
      <c r="AL70" s="18"/>
      <c r="AM70" s="18"/>
      <c r="AN70" s="18"/>
      <c r="AO70" s="18"/>
      <c r="AP70" s="18"/>
      <c r="AQ70" s="18"/>
      <c r="AR70" s="18"/>
      <c r="AS70" s="18"/>
    </row>
    <row r="71" spans="1:45" s="7" customFormat="1">
      <c r="A71" s="1475" t="s">
        <v>48</v>
      </c>
      <c r="B71" s="1475"/>
      <c r="C71" s="1475"/>
      <c r="D71" s="1475"/>
      <c r="E71" s="1475"/>
      <c r="F71" s="1475"/>
      <c r="G71" s="1475"/>
      <c r="H71" s="1475"/>
      <c r="I71" s="1475"/>
      <c r="J71" s="1475"/>
      <c r="K71" s="1475"/>
      <c r="L71" s="1475"/>
      <c r="M71" s="1475"/>
      <c r="N71" s="1475"/>
      <c r="O71" s="1476">
        <f>SUMIFS(Model!100:100,Model!$2:$2,Annual!O$4,Model!$3:$3,O$3)</f>
        <v>825640</v>
      </c>
      <c r="P71" s="1476">
        <f>SUMIFS(Model!100:100,Model!$2:$2,Annual!P$4,Model!$3:$3,P$3)</f>
        <v>876461</v>
      </c>
      <c r="Q71" s="1477">
        <f>SUMIFS(Model!100:100,Model!$2:$2,Annual!Q$4,Model!$3:$3,Q$3)</f>
        <v>775787</v>
      </c>
      <c r="R71" s="1478">
        <f>SUMIFS(Model!100:100,Model!$2:$2,Annual!R$4,Model!$3:$3,R$3)</f>
        <v>777550</v>
      </c>
      <c r="S71" s="1479">
        <f>SUMIFS(Model!100:100,Model!$2:$2,Annual!S$4,Model!$3:$3,S$3)</f>
        <v>763650.88010183524</v>
      </c>
      <c r="T71" s="1479">
        <f>SUMIFS(Model!100:100,Model!$2:$2,Annual!T$4,Model!$3:$3,T$3)</f>
        <v>783026.51694150525</v>
      </c>
      <c r="U71" s="1479">
        <f>SUMIFS(Model!100:100,Model!$2:$2,Annual!U$4,Model!$3:$3,U$3)</f>
        <v>809128.02827118535</v>
      </c>
      <c r="V71" s="1479">
        <f>SUMIFS(Model!100:100,Model!$2:$2,Annual!V$4,Model!$3:$3,V$3)</f>
        <v>841939.86267988803</v>
      </c>
      <c r="W71" s="1479">
        <f>SUMIFS(Model!100:100,Model!$2:$2,Annual!W$4,Model!$3:$3,W$3)</f>
        <v>881877.63639551541</v>
      </c>
      <c r="AB71" s="849"/>
      <c r="AC71" s="849"/>
      <c r="AD71" s="849"/>
      <c r="AE71" s="849"/>
      <c r="AF71" s="849"/>
      <c r="AG71" s="849"/>
      <c r="AH71" s="849"/>
      <c r="AI71" s="849"/>
      <c r="AJ71" s="849"/>
      <c r="AK71" s="849"/>
      <c r="AL71" s="849"/>
      <c r="AM71" s="849"/>
      <c r="AN71" s="849"/>
      <c r="AO71" s="849"/>
      <c r="AP71" s="849"/>
      <c r="AQ71" s="849"/>
      <c r="AR71" s="849"/>
      <c r="AS71" s="849"/>
    </row>
    <row r="72" spans="1:45" s="11" customFormat="1" hidden="1">
      <c r="A72" s="1064" t="s">
        <v>61</v>
      </c>
      <c r="B72" s="1065"/>
      <c r="C72" s="1065"/>
      <c r="D72" s="1065"/>
      <c r="E72" s="1065"/>
      <c r="F72" s="1065"/>
      <c r="G72" s="1065"/>
      <c r="H72" s="1065"/>
      <c r="I72" s="1065"/>
      <c r="J72" s="1065"/>
      <c r="K72" s="1065"/>
      <c r="L72" s="1065"/>
      <c r="M72" s="1065"/>
      <c r="N72" s="1065"/>
      <c r="O72" s="1066">
        <f>SUMIFS(Model!101:101,Model!$2:$2,Annual!O$4,Model!$3:$3,O$3)</f>
        <v>64</v>
      </c>
      <c r="P72" s="1066">
        <f>SUMIFS(Model!101:101,Model!$2:$2,Annual!P$4,Model!$3:$3,P$3)</f>
        <v>64</v>
      </c>
      <c r="Q72" s="1094">
        <f>SUMIFS(Model!101:101,Model!$2:$2,Annual!Q$4,Model!$3:$3,Q$3)</f>
        <v>78</v>
      </c>
      <c r="R72" s="1215"/>
      <c r="S72" s="1095"/>
      <c r="T72" s="1095"/>
      <c r="U72" s="1095"/>
      <c r="V72" s="1095"/>
      <c r="W72" s="1095"/>
      <c r="X72" s="13"/>
      <c r="Z72" s="13"/>
      <c r="AA72" s="13"/>
      <c r="AB72" s="23"/>
      <c r="AC72" s="23"/>
      <c r="AD72" s="23"/>
      <c r="AE72" s="23"/>
      <c r="AF72" s="23"/>
      <c r="AG72" s="23"/>
      <c r="AH72" s="23"/>
      <c r="AI72" s="23"/>
      <c r="AJ72" s="23"/>
      <c r="AK72" s="23"/>
      <c r="AL72" s="23"/>
      <c r="AM72" s="23"/>
      <c r="AN72" s="23"/>
      <c r="AO72" s="23"/>
      <c r="AP72" s="23"/>
      <c r="AQ72" s="23"/>
      <c r="AR72" s="23"/>
      <c r="AS72" s="23"/>
    </row>
    <row r="73" spans="1:45" s="11" customFormat="1" hidden="1">
      <c r="A73" s="1064" t="s">
        <v>62</v>
      </c>
      <c r="B73" s="1065"/>
      <c r="C73" s="1065"/>
      <c r="D73" s="1065"/>
      <c r="E73" s="1065"/>
      <c r="F73" s="1065"/>
      <c r="G73" s="1065"/>
      <c r="H73" s="1065"/>
      <c r="I73" s="1065"/>
      <c r="J73" s="1065"/>
      <c r="K73" s="1065"/>
      <c r="L73" s="1065"/>
      <c r="M73" s="1065"/>
      <c r="N73" s="1065"/>
      <c r="O73" s="1066">
        <f>SUMIFS(Model!102:102,Model!$2:$2,Annual!O$4,Model!$3:$3,O$3)</f>
        <v>27853</v>
      </c>
      <c r="P73" s="1066">
        <f>SUMIFS(Model!102:102,Model!$2:$2,Annual!P$4,Model!$3:$3,P$3)</f>
        <v>27007</v>
      </c>
      <c r="Q73" s="1094">
        <f>SUMIFS(Model!102:102,Model!$2:$2,Annual!Q$4,Model!$3:$3,Q$3)</f>
        <v>31925</v>
      </c>
      <c r="R73" s="1215"/>
      <c r="S73" s="1095"/>
      <c r="T73" s="1095"/>
      <c r="U73" s="1095"/>
      <c r="V73" s="1095"/>
      <c r="W73" s="1095"/>
      <c r="X73" s="13"/>
      <c r="Y73" s="13"/>
      <c r="Z73" s="13"/>
      <c r="AA73" s="13"/>
      <c r="AB73" s="23"/>
      <c r="AC73" s="23"/>
      <c r="AD73" s="23"/>
      <c r="AE73" s="23"/>
      <c r="AF73" s="23"/>
      <c r="AG73" s="23"/>
      <c r="AH73" s="23"/>
      <c r="AI73" s="23"/>
      <c r="AJ73" s="23"/>
      <c r="AK73" s="23"/>
      <c r="AL73" s="23"/>
      <c r="AM73" s="23"/>
      <c r="AN73" s="23"/>
      <c r="AO73" s="23"/>
      <c r="AP73" s="23"/>
      <c r="AQ73" s="23"/>
      <c r="AR73" s="23"/>
      <c r="AS73" s="23"/>
    </row>
    <row r="74" spans="1:45" s="11" customFormat="1" hidden="1">
      <c r="A74" s="1064" t="s">
        <v>63</v>
      </c>
      <c r="B74" s="1065"/>
      <c r="C74" s="1065"/>
      <c r="D74" s="1065"/>
      <c r="E74" s="1065"/>
      <c r="F74" s="1065"/>
      <c r="G74" s="1065"/>
      <c r="H74" s="1065"/>
      <c r="I74" s="1065"/>
      <c r="J74" s="1065"/>
      <c r="K74" s="1065"/>
      <c r="L74" s="1065"/>
      <c r="M74" s="1065"/>
      <c r="N74" s="1065"/>
      <c r="O74" s="1066">
        <f>SUMIFS(Model!103:103,Model!$2:$2,Annual!O$4,Model!$3:$3,O$3)</f>
        <v>30261</v>
      </c>
      <c r="P74" s="1066">
        <f>SUMIFS(Model!103:103,Model!$2:$2,Annual!P$4,Model!$3:$3,P$3)</f>
        <v>32083</v>
      </c>
      <c r="Q74" s="1094">
        <f>SUMIFS(Model!103:103,Model!$2:$2,Annual!Q$4,Model!$3:$3,Q$3)</f>
        <v>29139</v>
      </c>
      <c r="R74" s="1215"/>
      <c r="S74" s="1095"/>
      <c r="T74" s="1095"/>
      <c r="U74" s="1095"/>
      <c r="V74" s="1095"/>
      <c r="W74" s="1095"/>
      <c r="X74" s="13"/>
      <c r="Y74" s="13"/>
      <c r="Z74" s="13"/>
      <c r="AA74" s="13"/>
      <c r="AB74" s="23"/>
      <c r="AC74" s="23"/>
      <c r="AD74" s="23"/>
      <c r="AE74" s="23"/>
      <c r="AF74" s="23"/>
      <c r="AG74" s="23"/>
      <c r="AH74" s="23"/>
      <c r="AI74" s="23"/>
      <c r="AJ74" s="23"/>
      <c r="AK74" s="23"/>
      <c r="AL74" s="23"/>
      <c r="AM74" s="23"/>
      <c r="AN74" s="23"/>
      <c r="AO74" s="23"/>
      <c r="AP74" s="23"/>
      <c r="AQ74" s="23"/>
      <c r="AR74" s="23"/>
      <c r="AS74" s="23"/>
    </row>
    <row r="75" spans="1:45" s="11" customFormat="1" hidden="1">
      <c r="A75" s="1064" t="s">
        <v>64</v>
      </c>
      <c r="B75" s="1065"/>
      <c r="C75" s="1065"/>
      <c r="D75" s="1065"/>
      <c r="E75" s="1065"/>
      <c r="F75" s="1065"/>
      <c r="G75" s="1065"/>
      <c r="H75" s="1065"/>
      <c r="I75" s="1065"/>
      <c r="J75" s="1065"/>
      <c r="K75" s="1065"/>
      <c r="L75" s="1065"/>
      <c r="M75" s="1065"/>
      <c r="N75" s="1065"/>
      <c r="O75" s="1066">
        <f>SUMIFS(Model!104:104,Model!$2:$2,Annual!O$4,Model!$3:$3,O$3)</f>
        <v>-139</v>
      </c>
      <c r="P75" s="1066">
        <f>SUMIFS(Model!104:104,Model!$2:$2,Annual!P$4,Model!$3:$3,P$3)</f>
        <v>-192</v>
      </c>
      <c r="Q75" s="1094">
        <f>SUMIFS(Model!104:104,Model!$2:$2,Annual!Q$4,Model!$3:$3,Q$3)</f>
        <v>-125</v>
      </c>
      <c r="R75" s="1215"/>
      <c r="S75" s="1095"/>
      <c r="T75" s="1095"/>
      <c r="U75" s="1095"/>
      <c r="V75" s="1095"/>
      <c r="W75" s="1095"/>
      <c r="X75" s="13"/>
      <c r="Y75" s="13"/>
      <c r="Z75" s="13"/>
      <c r="AA75" s="13"/>
      <c r="AB75" s="23"/>
      <c r="AC75" s="23"/>
      <c r="AD75" s="23"/>
      <c r="AE75" s="23"/>
      <c r="AF75" s="23"/>
      <c r="AG75" s="23"/>
      <c r="AH75" s="23"/>
      <c r="AI75" s="23"/>
      <c r="AJ75" s="23"/>
      <c r="AK75" s="23"/>
      <c r="AL75" s="23"/>
      <c r="AM75" s="23"/>
      <c r="AN75" s="23"/>
      <c r="AO75" s="23"/>
      <c r="AP75" s="23"/>
      <c r="AQ75" s="23"/>
      <c r="AR75" s="23"/>
      <c r="AS75" s="23"/>
    </row>
    <row r="76" spans="1:45" s="11" customFormat="1" hidden="1">
      <c r="A76" s="1064" t="s">
        <v>65</v>
      </c>
      <c r="B76" s="1065"/>
      <c r="C76" s="1065"/>
      <c r="D76" s="1065"/>
      <c r="E76" s="1065"/>
      <c r="F76" s="1065"/>
      <c r="G76" s="1065"/>
      <c r="H76" s="1065"/>
      <c r="I76" s="1065"/>
      <c r="J76" s="1065"/>
      <c r="K76" s="1065"/>
      <c r="L76" s="1065"/>
      <c r="M76" s="1065"/>
      <c r="N76" s="1065"/>
      <c r="O76" s="1066">
        <f>SUMIFS(Model!105:105,Model!$2:$2,Annual!O$4,Model!$3:$3,O$3)</f>
        <v>-15875</v>
      </c>
      <c r="P76" s="1066">
        <f>SUMIFS(Model!105:105,Model!$2:$2,Annual!P$4,Model!$3:$3,P$3)</f>
        <v>-15003</v>
      </c>
      <c r="Q76" s="1094">
        <f>SUMIFS(Model!105:105,Model!$2:$2,Annual!Q$4,Model!$3:$3,Q$3)</f>
        <v>-16635</v>
      </c>
      <c r="R76" s="1215"/>
      <c r="S76" s="1095"/>
      <c r="T76" s="1095"/>
      <c r="U76" s="1095"/>
      <c r="V76" s="1095"/>
      <c r="W76" s="1095"/>
      <c r="X76" s="13"/>
      <c r="Y76" s="13"/>
      <c r="Z76" s="13"/>
      <c r="AA76" s="13"/>
      <c r="AB76" s="23"/>
      <c r="AC76" s="23"/>
      <c r="AD76" s="23"/>
      <c r="AE76" s="23"/>
      <c r="AF76" s="23"/>
      <c r="AG76" s="23"/>
      <c r="AH76" s="23"/>
      <c r="AI76" s="23"/>
      <c r="AJ76" s="23"/>
      <c r="AK76" s="23"/>
      <c r="AL76" s="23"/>
      <c r="AM76" s="23"/>
      <c r="AN76" s="23"/>
      <c r="AO76" s="23"/>
      <c r="AP76" s="23"/>
      <c r="AQ76" s="23"/>
      <c r="AR76" s="23"/>
      <c r="AS76" s="23"/>
    </row>
    <row r="77" spans="1:45" s="2" customFormat="1">
      <c r="A77" s="1045" t="s">
        <v>49</v>
      </c>
      <c r="B77" s="1045"/>
      <c r="C77" s="1045"/>
      <c r="D77" s="1045"/>
      <c r="E77" s="1045"/>
      <c r="F77" s="1045"/>
      <c r="G77" s="1045">
        <v>42118</v>
      </c>
      <c r="H77" s="1045">
        <v>43586</v>
      </c>
      <c r="I77" s="1045">
        <v>43199</v>
      </c>
      <c r="J77" s="1045">
        <v>32302</v>
      </c>
      <c r="K77" s="1045">
        <v>37517</v>
      </c>
      <c r="L77" s="1045">
        <v>33282</v>
      </c>
      <c r="M77" s="1045">
        <v>33674</v>
      </c>
      <c r="N77" s="1045">
        <v>35498</v>
      </c>
      <c r="O77" s="1067">
        <f>SUMIFS(Model!106:106,Model!$2:$2,Annual!O$4,Model!$3:$3,O$3)</f>
        <v>42164</v>
      </c>
      <c r="P77" s="1067">
        <f>SUMIFS(Model!106:106,Model!$2:$2,Annual!P$4,Model!$3:$3,P$3)</f>
        <v>43959</v>
      </c>
      <c r="Q77" s="1083">
        <f>SUMIFS(Model!106:106,Model!$2:$2,Annual!Q$4,Model!$3:$3,Q$3)</f>
        <v>44382</v>
      </c>
      <c r="R77" s="1204">
        <f>SUMIFS(Model!106:106,Model!$2:$2,Annual!R$4,Model!$3:$3,R$3)</f>
        <v>41897</v>
      </c>
      <c r="S77" s="1084">
        <f>SUMIFS(Model!106:106,Model!$2:$2,Annual!S$4,Model!$3:$3,S$3)</f>
        <v>41980.103483041232</v>
      </c>
      <c r="T77" s="1084">
        <f>SUMIFS(Model!106:106,Model!$2:$2,Annual!T$4,Model!$3:$3,T$3)</f>
        <v>42843.056010920423</v>
      </c>
      <c r="U77" s="1084">
        <f>SUMIFS(Model!106:106,Model!$2:$2,Annual!U$4,Model!$3:$3,U$3)</f>
        <v>44099.76715964808</v>
      </c>
      <c r="V77" s="1084">
        <f>SUMIFS(Model!106:106,Model!$2:$2,Annual!V$4,Model!$3:$3,V$3)</f>
        <v>45956.875939804297</v>
      </c>
      <c r="W77" s="1084">
        <f>SUMIFS(Model!106:106,Model!$2:$2,Annual!W$4,Model!$3:$3,W$3)</f>
        <v>47421.324707509179</v>
      </c>
      <c r="AB77" s="848"/>
      <c r="AC77" s="848"/>
      <c r="AD77" s="848"/>
      <c r="AE77" s="848"/>
      <c r="AF77" s="848"/>
      <c r="AG77" s="848"/>
      <c r="AH77" s="848"/>
      <c r="AI77" s="848"/>
      <c r="AJ77" s="848"/>
      <c r="AK77" s="848"/>
      <c r="AL77" s="848"/>
      <c r="AM77" s="848"/>
      <c r="AN77" s="848"/>
      <c r="AO77" s="848"/>
      <c r="AP77" s="848"/>
      <c r="AQ77" s="848"/>
      <c r="AR77" s="848"/>
      <c r="AS77" s="848"/>
    </row>
    <row r="78" spans="1:45" s="851" customFormat="1" hidden="1">
      <c r="A78" s="851" t="s">
        <v>50</v>
      </c>
      <c r="N78" s="13"/>
      <c r="O78" s="946">
        <f>SUMIFS(Model!107:107,Model!$2:$2,Annual!O$4,Model!$3:$3,O$3)</f>
        <v>5002</v>
      </c>
      <c r="P78" s="946">
        <f>SUMIFS(Model!107:107,Model!$2:$2,Annual!P$4,Model!$3:$3,P$3)</f>
        <v>1042</v>
      </c>
      <c r="Q78" s="1303">
        <f>SUMIFS(Model!107:107,Model!$2:$2,Annual!Q$4,Model!$3:$3,Q$3)</f>
        <v>636</v>
      </c>
      <c r="R78" s="1198">
        <f>SUMIFS(Model!107:107,Model!$2:$2,Annual!R$4,Model!$3:$3,R$3)</f>
        <v>414</v>
      </c>
      <c r="S78" s="1186">
        <f>SUMIFS(Model!107:107,Model!$2:$2,Annual!S$4,Model!$3:$3,S$3)</f>
        <v>223</v>
      </c>
      <c r="T78" s="1186">
        <f>SUMIFS(Model!107:107,Model!$2:$2,Annual!T$4,Model!$3:$3,T$3)</f>
        <v>223</v>
      </c>
      <c r="U78" s="1186">
        <f>SUMIFS(Model!107:107,Model!$2:$2,Annual!U$4,Model!$3:$3,U$3)</f>
        <v>223</v>
      </c>
      <c r="V78" s="1186">
        <f>SUMIFS(Model!107:107,Model!$2:$2,Annual!V$4,Model!$3:$3,V$3)</f>
        <v>223</v>
      </c>
      <c r="W78" s="1186">
        <f>SUMIFS(Model!107:107,Model!$2:$2,Annual!W$4,Model!$3:$3,W$3)</f>
        <v>223</v>
      </c>
      <c r="AB78" s="18"/>
      <c r="AC78" s="18"/>
      <c r="AD78" s="18"/>
      <c r="AE78" s="18"/>
      <c r="AF78" s="18"/>
      <c r="AG78" s="18"/>
      <c r="AH78" s="18"/>
      <c r="AI78" s="18"/>
      <c r="AJ78" s="18"/>
      <c r="AK78" s="18"/>
      <c r="AL78" s="18"/>
      <c r="AM78" s="18"/>
      <c r="AN78" s="18"/>
      <c r="AO78" s="18"/>
      <c r="AP78" s="18"/>
      <c r="AQ78" s="18"/>
      <c r="AR78" s="18"/>
      <c r="AS78" s="18"/>
    </row>
    <row r="79" spans="1:45" s="8" customFormat="1" hidden="1">
      <c r="A79" s="8" t="s">
        <v>51</v>
      </c>
      <c r="O79" s="945">
        <f>SUMIFS(Model!108:108,Model!$2:$2,Annual!O$4,Model!$3:$3,O$3)</f>
        <v>47166</v>
      </c>
      <c r="P79" s="945">
        <f>SUMIFS(Model!108:108,Model!$2:$2,Annual!P$4,Model!$3:$3,P$3)</f>
        <v>45001</v>
      </c>
      <c r="Q79" s="1292">
        <f>SUMIFS(Model!108:108,Model!$2:$2,Annual!Q$4,Model!$3:$3,Q$3)</f>
        <v>45018</v>
      </c>
      <c r="R79" s="1293">
        <f>SUMIFS(Model!108:108,Model!$2:$2,Annual!R$4,Model!$3:$3,R$3)</f>
        <v>42311</v>
      </c>
      <c r="S79" s="1294">
        <f>SUMIFS(Model!108:108,Model!$2:$2,Annual!S$4,Model!$3:$3,S$3)</f>
        <v>42203.103483041232</v>
      </c>
      <c r="T79" s="1294">
        <f>SUMIFS(Model!108:108,Model!$2:$2,Annual!T$4,Model!$3:$3,T$3)</f>
        <v>43066.056010920423</v>
      </c>
      <c r="U79" s="1294">
        <f>SUMIFS(Model!108:108,Model!$2:$2,Annual!U$4,Model!$3:$3,U$3)</f>
        <v>44322.76715964808</v>
      </c>
      <c r="V79" s="1294">
        <f>SUMIFS(Model!108:108,Model!$2:$2,Annual!V$4,Model!$3:$3,V$3)</f>
        <v>46179.875939804297</v>
      </c>
      <c r="W79" s="1294">
        <f>SUMIFS(Model!108:108,Model!$2:$2,Annual!W$4,Model!$3:$3,W$3)</f>
        <v>47644.324707509179</v>
      </c>
      <c r="AB79" s="846"/>
      <c r="AC79" s="846"/>
      <c r="AD79" s="846"/>
      <c r="AE79" s="846"/>
      <c r="AF79" s="846"/>
      <c r="AG79" s="846"/>
      <c r="AH79" s="846"/>
      <c r="AI79" s="846"/>
      <c r="AJ79" s="846"/>
      <c r="AK79" s="846"/>
      <c r="AL79" s="846"/>
      <c r="AM79" s="846"/>
      <c r="AN79" s="846"/>
      <c r="AO79" s="846"/>
      <c r="AP79" s="846"/>
      <c r="AQ79" s="846"/>
      <c r="AR79" s="846"/>
      <c r="AS79" s="846"/>
    </row>
    <row r="80" spans="1:45" s="842" customFormat="1" ht="16.5" thickBot="1">
      <c r="A80" s="842" t="s">
        <v>52</v>
      </c>
      <c r="O80" s="947">
        <f>SUMIFS(Model!109:109,Model!$2:$2,Annual!O$4,Model!$3:$3,O$3)</f>
        <v>872806</v>
      </c>
      <c r="P80" s="947">
        <f>SUMIFS(Model!109:109,Model!$2:$2,Annual!P$4,Model!$3:$3,P$3)</f>
        <v>921462</v>
      </c>
      <c r="Q80" s="1304">
        <f>SUMIFS(Model!109:109,Model!$2:$2,Annual!Q$4,Model!$3:$3,Q$3)</f>
        <v>820805</v>
      </c>
      <c r="R80" s="1305">
        <f>SUMIFS(Model!109:109,Model!$2:$2,Annual!R$4,Model!$3:$3,R$3)</f>
        <v>819861</v>
      </c>
      <c r="S80" s="1306">
        <f>SUMIFS(Model!109:109,Model!$2:$2,Annual!S$4,Model!$3:$3,S$3)</f>
        <v>805853.98358487652</v>
      </c>
      <c r="T80" s="1306">
        <f>SUMIFS(Model!109:109,Model!$2:$2,Annual!T$4,Model!$3:$3,T$3)</f>
        <v>826092.57295242569</v>
      </c>
      <c r="U80" s="1306">
        <f>SUMIFS(Model!109:109,Model!$2:$2,Annual!U$4,Model!$3:$3,U$3)</f>
        <v>853450.79543083347</v>
      </c>
      <c r="V80" s="1306">
        <f>SUMIFS(Model!109:109,Model!$2:$2,Annual!V$4,Model!$3:$3,V$3)</f>
        <v>888119.73861969227</v>
      </c>
      <c r="W80" s="1306">
        <f>SUMIFS(Model!109:109,Model!$2:$2,Annual!W$4,Model!$3:$3,W$3)</f>
        <v>929521.96110302454</v>
      </c>
      <c r="AB80" s="847"/>
      <c r="AC80" s="847"/>
      <c r="AD80" s="847"/>
      <c r="AE80" s="847"/>
      <c r="AF80" s="847"/>
      <c r="AG80" s="847"/>
      <c r="AH80" s="847"/>
      <c r="AI80" s="847"/>
      <c r="AJ80" s="847"/>
      <c r="AK80" s="847"/>
      <c r="AL80" s="847"/>
      <c r="AM80" s="847"/>
      <c r="AN80" s="847"/>
      <c r="AO80" s="847"/>
      <c r="AP80" s="847"/>
      <c r="AQ80" s="847"/>
      <c r="AR80" s="847"/>
      <c r="AS80" s="847"/>
    </row>
    <row r="81" spans="1:45" s="914" customFormat="1" ht="16.5" thickTop="1">
      <c r="O81" s="1290"/>
      <c r="P81" s="1290"/>
      <c r="Q81" s="1192"/>
      <c r="R81" s="1298"/>
      <c r="S81" s="1299"/>
      <c r="T81" s="1299"/>
      <c r="U81" s="1299"/>
      <c r="V81" s="1299"/>
      <c r="W81" s="1299"/>
      <c r="AB81" s="1291"/>
      <c r="AC81" s="1291"/>
      <c r="AD81" s="1291"/>
      <c r="AE81" s="1291"/>
      <c r="AF81" s="1291"/>
      <c r="AG81" s="1291"/>
      <c r="AH81" s="1291"/>
      <c r="AI81" s="1291"/>
      <c r="AJ81" s="1291"/>
      <c r="AK81" s="1291"/>
      <c r="AL81" s="1291"/>
      <c r="AM81" s="1291"/>
      <c r="AN81" s="1291"/>
      <c r="AO81" s="1291"/>
      <c r="AP81" s="1291"/>
      <c r="AQ81" s="1291"/>
      <c r="AR81" s="1291"/>
      <c r="AS81" s="1291"/>
    </row>
    <row r="82" spans="1:45" s="914" customFormat="1">
      <c r="O82" s="1290"/>
      <c r="P82" s="1290"/>
      <c r="Q82" s="1192"/>
      <c r="R82" s="1298"/>
      <c r="S82" s="1299"/>
      <c r="T82" s="1299"/>
      <c r="U82" s="1299"/>
      <c r="V82" s="1299"/>
      <c r="W82" s="1299"/>
      <c r="AB82" s="1291"/>
      <c r="AC82" s="1291"/>
      <c r="AD82" s="1291"/>
      <c r="AE82" s="1291"/>
      <c r="AF82" s="1291"/>
      <c r="AG82" s="1291"/>
      <c r="AH82" s="1291"/>
      <c r="AI82" s="1291"/>
      <c r="AJ82" s="1291"/>
      <c r="AK82" s="1291"/>
      <c r="AL82" s="1291"/>
      <c r="AM82" s="1291"/>
      <c r="AN82" s="1291"/>
      <c r="AO82" s="1291"/>
      <c r="AP82" s="1291"/>
      <c r="AQ82" s="1291"/>
      <c r="AR82" s="1291"/>
      <c r="AS82" s="1291"/>
    </row>
    <row r="83" spans="1:45">
      <c r="A83" s="14"/>
      <c r="W83" s="18"/>
    </row>
    <row r="84" spans="1:45" ht="19.5" thickBot="1">
      <c r="A84" s="1280" t="s">
        <v>891</v>
      </c>
      <c r="B84" s="1281"/>
      <c r="C84" s="1281"/>
      <c r="D84" s="1281"/>
      <c r="E84" s="1281"/>
      <c r="F84" s="1281"/>
      <c r="G84" s="1281"/>
      <c r="H84" s="1281"/>
      <c r="I84" s="1282"/>
      <c r="J84" s="1282"/>
      <c r="K84" s="1282"/>
      <c r="L84" s="1282"/>
      <c r="M84" s="1282"/>
      <c r="N84" s="1281"/>
      <c r="O84" s="1281"/>
      <c r="P84" s="1281"/>
      <c r="Q84" s="1281">
        <f>Q6</f>
        <v>2015</v>
      </c>
      <c r="R84" s="1282">
        <f>R6</f>
        <v>2016</v>
      </c>
      <c r="S84" s="1283" t="s">
        <v>586</v>
      </c>
      <c r="T84" s="1283" t="s">
        <v>587</v>
      </c>
      <c r="U84" s="1283" t="s">
        <v>588</v>
      </c>
      <c r="V84" s="1283" t="s">
        <v>589</v>
      </c>
      <c r="W84" s="1283" t="s">
        <v>833</v>
      </c>
    </row>
    <row r="85" spans="1:45" s="152" customFormat="1">
      <c r="A85" s="871" t="s">
        <v>415</v>
      </c>
      <c r="B85" s="871"/>
      <c r="C85" s="871"/>
      <c r="D85" s="871"/>
      <c r="E85" s="871"/>
      <c r="F85" s="871"/>
      <c r="G85" s="871"/>
      <c r="H85" s="871"/>
      <c r="I85" s="871"/>
      <c r="J85" s="871"/>
      <c r="K85" s="871"/>
      <c r="L85" s="871"/>
      <c r="M85" s="871"/>
      <c r="N85" s="871"/>
      <c r="O85" s="871"/>
      <c r="P85" s="871"/>
      <c r="Q85" s="1068" t="s">
        <v>449</v>
      </c>
      <c r="R85" s="1310" t="s">
        <v>449</v>
      </c>
      <c r="S85" s="1069">
        <f>SUMIFS(Model!182:182,Model!$2:$2,Annual!S$4,Model!$3:$3,S$3)</f>
        <v>0.09</v>
      </c>
      <c r="T85" s="1069">
        <f>SUMIFS(Model!182:182,Model!$2:$2,Annual!T$4,Model!$3:$3,T$3)</f>
        <v>9.4600000000000004E-2</v>
      </c>
      <c r="U85" s="1069">
        <f>SUMIFS(Model!182:182,Model!$2:$2,Annual!U$4,Model!$3:$3,U$3)</f>
        <v>9.6799999999999997E-2</v>
      </c>
      <c r="V85" s="1069">
        <f>SUMIFS(Model!182:182,Model!$2:$2,Annual!V$4,Model!$3:$3,V$3)</f>
        <v>0.1</v>
      </c>
      <c r="W85" s="1069">
        <f>SUMIFS(Model!182:182,Model!$2:$2,Annual!W$4,Model!$3:$3,W$3)</f>
        <v>0.1</v>
      </c>
    </row>
    <row r="86" spans="1:45" s="868" customFormat="1">
      <c r="A86" s="873" t="s">
        <v>582</v>
      </c>
      <c r="B86" s="873"/>
      <c r="C86" s="873"/>
      <c r="D86" s="873"/>
      <c r="E86" s="873"/>
      <c r="F86" s="873"/>
      <c r="G86" s="873"/>
      <c r="H86" s="873"/>
      <c r="I86" s="873"/>
      <c r="J86" s="873"/>
      <c r="K86" s="873"/>
      <c r="L86" s="873"/>
      <c r="M86" s="873"/>
      <c r="N86" s="873"/>
      <c r="O86" s="873"/>
      <c r="P86" s="873"/>
      <c r="Q86" s="874">
        <f>SUMIFS(Model!183:183,Model!$2:$2,Annual!Q$4,Model!$3:$3,Q$3)</f>
        <v>0.11053092644837315</v>
      </c>
      <c r="R86" s="1209">
        <f>SUMIFS(Model!183:183,Model!$2:$2,Annual!R$4,Model!$3:$3,R$3)</f>
        <v>0.11484265701654572</v>
      </c>
      <c r="S86" s="1070">
        <f>SUMIFS(Model!183:183,Model!$2:$2,Annual!S$4,Model!$3:$3,S$3)</f>
        <v>0.125</v>
      </c>
      <c r="T86" s="1070">
        <f>SUMIFS(Model!183:183,Model!$2:$2,Annual!T$4,Model!$3:$3,T$3)</f>
        <v>0.125</v>
      </c>
      <c r="U86" s="1070">
        <f>SUMIFS(Model!183:183,Model!$2:$2,Annual!U$4,Model!$3:$3,U$3)</f>
        <v>0.125</v>
      </c>
      <c r="V86" s="1070">
        <f>SUMIFS(Model!183:183,Model!$2:$2,Annual!V$4,Model!$3:$3,V$3)</f>
        <v>0.125</v>
      </c>
      <c r="W86" s="1070">
        <f>SUMIFS(Model!183:183,Model!$2:$2,Annual!W$4,Model!$3:$3,W$3)</f>
        <v>0.125</v>
      </c>
    </row>
    <row r="87" spans="1:45" s="9" customFormat="1">
      <c r="A87" s="875" t="s">
        <v>581</v>
      </c>
      <c r="B87" s="875"/>
      <c r="C87" s="875"/>
      <c r="D87" s="875"/>
      <c r="E87" s="875"/>
      <c r="F87" s="875"/>
      <c r="G87" s="875"/>
      <c r="H87" s="875"/>
      <c r="I87" s="875"/>
      <c r="J87" s="875"/>
      <c r="K87" s="875"/>
      <c r="L87" s="875"/>
      <c r="M87" s="875"/>
      <c r="N87" s="875"/>
      <c r="O87" s="875"/>
      <c r="P87" s="875"/>
      <c r="Q87" s="876">
        <f>SUMIFS(Model!184:184,Model!$2:$2,Annual!Q$4,Model!$3:$3,Q$3)</f>
        <v>0.11053092644837315</v>
      </c>
      <c r="R87" s="1210">
        <f>SUMIFS(Model!184:184,Model!$2:$2,Annual!R$4,Model!$3:$3,R$3)</f>
        <v>0.11484265701654572</v>
      </c>
      <c r="S87" s="1071">
        <f>SUMIFS(Model!184:184,Model!$2:$2,Annual!S$4,Model!$3:$3,S$3)</f>
        <v>0.13616686252955743</v>
      </c>
      <c r="T87" s="1071">
        <f>SUMIFS(Model!184:184,Model!$2:$2,Annual!T$4,Model!$3:$3,T$3)</f>
        <v>0.13540085769577759</v>
      </c>
      <c r="U87" s="1071">
        <f>SUMIFS(Model!184:184,Model!$2:$2,Annual!U$4,Model!$3:$3,U$3)</f>
        <v>0.13910285848524975</v>
      </c>
      <c r="V87" s="1071">
        <f>SUMIFS(Model!184:184,Model!$2:$2,Annual!V$4,Model!$3:$3,V$3)</f>
        <v>0.14220152483840545</v>
      </c>
      <c r="W87" s="1071">
        <f>SUMIFS(Model!184:184,Model!$2:$2,Annual!W$4,Model!$3:$3,W$3)</f>
        <v>0.14180207095723232</v>
      </c>
    </row>
    <row r="88" spans="1:45" s="851" customFormat="1">
      <c r="A88" s="134"/>
      <c r="B88" s="134"/>
      <c r="C88" s="134"/>
      <c r="D88" s="134"/>
      <c r="E88" s="134"/>
      <c r="F88" s="134"/>
      <c r="G88" s="134"/>
      <c r="H88" s="134"/>
      <c r="I88" s="134"/>
      <c r="J88" s="134"/>
      <c r="K88" s="134"/>
      <c r="L88" s="134"/>
      <c r="M88" s="134"/>
      <c r="N88" s="870"/>
      <c r="O88" s="870"/>
      <c r="P88" s="870"/>
      <c r="Q88" s="870"/>
      <c r="R88" s="1211"/>
      <c r="S88" s="1074"/>
      <c r="T88" s="1074"/>
      <c r="U88" s="1074"/>
      <c r="V88" s="1074"/>
      <c r="W88" s="1074"/>
      <c r="X88" s="133"/>
      <c r="Y88" s="133"/>
      <c r="Z88" s="133"/>
      <c r="AA88" s="133"/>
      <c r="AB88" s="18"/>
      <c r="AC88" s="18"/>
      <c r="AD88" s="18"/>
      <c r="AE88" s="18"/>
      <c r="AF88" s="18"/>
      <c r="AG88" s="18"/>
      <c r="AH88" s="18"/>
      <c r="AI88" s="18"/>
      <c r="AJ88" s="18"/>
      <c r="AK88" s="18"/>
      <c r="AL88" s="18"/>
      <c r="AM88" s="18"/>
      <c r="AN88" s="18"/>
      <c r="AO88" s="18"/>
      <c r="AP88" s="18"/>
      <c r="AQ88" s="18"/>
      <c r="AR88" s="18"/>
      <c r="AS88" s="18"/>
    </row>
    <row r="89" spans="1:45" s="851" customFormat="1" ht="19.5" thickBot="1">
      <c r="A89" s="1280" t="s">
        <v>899</v>
      </c>
      <c r="B89" s="1281"/>
      <c r="C89" s="1281"/>
      <c r="D89" s="1281"/>
      <c r="E89" s="1281"/>
      <c r="F89" s="1281"/>
      <c r="G89" s="1281"/>
      <c r="H89" s="1281"/>
      <c r="I89" s="1282"/>
      <c r="J89" s="1282"/>
      <c r="K89" s="1282"/>
      <c r="L89" s="1282"/>
      <c r="M89" s="1282"/>
      <c r="N89" s="1281"/>
      <c r="O89" s="1281"/>
      <c r="P89" s="1281"/>
      <c r="Q89" s="1281"/>
      <c r="R89" s="1282"/>
      <c r="S89" s="1283"/>
      <c r="T89" s="1283"/>
      <c r="U89" s="1283"/>
      <c r="V89" s="1283"/>
      <c r="W89" s="1283"/>
    </row>
    <row r="90" spans="1:45" s="851" customFormat="1">
      <c r="A90" s="871" t="s">
        <v>897</v>
      </c>
      <c r="B90" s="871"/>
      <c r="C90" s="871"/>
      <c r="D90" s="871"/>
      <c r="E90" s="871"/>
      <c r="F90" s="871"/>
      <c r="G90" s="871"/>
      <c r="H90" s="871"/>
      <c r="I90" s="871" t="e">
        <f t="shared" ref="I90:W90" si="5">I29/AVERAGE(H58:I58)</f>
        <v>#DIV/0!</v>
      </c>
      <c r="J90" s="871" t="e">
        <f t="shared" si="5"/>
        <v>#DIV/0!</v>
      </c>
      <c r="K90" s="871" t="e">
        <f t="shared" si="5"/>
        <v>#DIV/0!</v>
      </c>
      <c r="L90" s="871" t="e">
        <f t="shared" si="5"/>
        <v>#DIV/0!</v>
      </c>
      <c r="M90" s="871" t="e">
        <f t="shared" si="5"/>
        <v>#DIV/0!</v>
      </c>
      <c r="N90" s="871" t="e">
        <f t="shared" si="5"/>
        <v>#DIV/0!</v>
      </c>
      <c r="O90" s="871">
        <f t="shared" si="5"/>
        <v>3.3970893875614971E-3</v>
      </c>
      <c r="P90" s="871">
        <f t="shared" si="5"/>
        <v>2.5904714345905962E-3</v>
      </c>
      <c r="Q90" s="1068">
        <f t="shared" si="5"/>
        <v>-3.380652907964164E-3</v>
      </c>
      <c r="R90" s="1099">
        <f t="shared" si="5"/>
        <v>-3.2998794392033481E-3</v>
      </c>
      <c r="S90" s="1069">
        <f t="shared" si="5"/>
        <v>1.9278944942558165E-3</v>
      </c>
      <c r="T90" s="1069">
        <f t="shared" si="5"/>
        <v>3.2495212753844652E-3</v>
      </c>
      <c r="U90" s="1069">
        <f t="shared" si="5"/>
        <v>4.5391041642430891E-3</v>
      </c>
      <c r="V90" s="1069">
        <f t="shared" si="5"/>
        <v>5.066930903905865E-3</v>
      </c>
      <c r="W90" s="1069">
        <f t="shared" si="5"/>
        <v>5.2662510641508804E-3</v>
      </c>
    </row>
    <row r="91" spans="1:45">
      <c r="A91" s="873" t="s">
        <v>567</v>
      </c>
      <c r="B91" s="873"/>
      <c r="C91" s="873"/>
      <c r="D91" s="873"/>
      <c r="E91" s="873"/>
      <c r="F91" s="873"/>
      <c r="G91" s="873">
        <f>G29/G77</f>
        <v>0.15371100242176741</v>
      </c>
      <c r="H91" s="873">
        <f t="shared" ref="H91:W91" si="6">H29/AVERAGE(G77:H77)</f>
        <v>0.27828339400728086</v>
      </c>
      <c r="I91" s="873">
        <f t="shared" si="6"/>
        <v>0.28788385089589213</v>
      </c>
      <c r="J91" s="873">
        <f t="shared" si="6"/>
        <v>-0.28706904544310674</v>
      </c>
      <c r="K91" s="873">
        <f t="shared" si="6"/>
        <v>0.18364628539509303</v>
      </c>
      <c r="L91" s="873">
        <f t="shared" si="6"/>
        <v>0.14782694670828683</v>
      </c>
      <c r="M91" s="873">
        <f t="shared" si="6"/>
        <v>8.3338311727104361E-2</v>
      </c>
      <c r="N91" s="873">
        <f t="shared" si="6"/>
        <v>4.8719134910079225E-2</v>
      </c>
      <c r="O91" s="873">
        <f t="shared" si="6"/>
        <v>7.635651927583631E-2</v>
      </c>
      <c r="P91" s="873">
        <f t="shared" si="6"/>
        <v>5.3969322945090159E-2</v>
      </c>
      <c r="Q91" s="874">
        <f t="shared" si="6"/>
        <v>-6.6673458530014371E-2</v>
      </c>
      <c r="R91" s="1308">
        <f t="shared" si="6"/>
        <v>-6.2749915970282455E-2</v>
      </c>
      <c r="S91" s="1309">
        <f t="shared" si="6"/>
        <v>3.7366657120153912E-2</v>
      </c>
      <c r="T91" s="1070">
        <f t="shared" si="6"/>
        <v>6.2518834330096973E-2</v>
      </c>
      <c r="U91" s="1070">
        <f t="shared" si="6"/>
        <v>8.7685469823069087E-2</v>
      </c>
      <c r="V91" s="1070">
        <f t="shared" si="6"/>
        <v>9.7987413883142069E-2</v>
      </c>
      <c r="W91" s="1070">
        <f t="shared" si="6"/>
        <v>0.1025095522194041</v>
      </c>
    </row>
    <row r="92" spans="1:45" s="851" customFormat="1">
      <c r="A92" s="875" t="s">
        <v>898</v>
      </c>
      <c r="B92" s="875"/>
      <c r="C92" s="875"/>
      <c r="D92" s="875"/>
      <c r="E92" s="875"/>
      <c r="F92" s="875"/>
      <c r="G92" s="875"/>
      <c r="H92" s="875"/>
      <c r="I92" s="875"/>
      <c r="J92" s="875"/>
      <c r="K92" s="875"/>
      <c r="L92" s="875"/>
      <c r="M92" s="875"/>
      <c r="N92" s="875"/>
      <c r="O92" s="875"/>
      <c r="P92" s="875"/>
      <c r="Q92" s="876">
        <f>Q29/(AVERAGE(Q77-Q53-Q54,P77-P53-P54))</f>
        <v>-7.9119875342539364E-2</v>
      </c>
      <c r="R92" s="1210">
        <f>R29/(AVERAGE(R77-R53-R54,Q77-Q53-Q54))</f>
        <v>-7.1097453676345054E-2</v>
      </c>
      <c r="S92" s="1071">
        <f t="shared" ref="S92:W92" si="7">S29/(AVERAGE(S77-S53-S54,R77-R53-R54))</f>
        <v>4.2459088994226422E-2</v>
      </c>
      <c r="T92" s="1071">
        <f t="shared" si="7"/>
        <v>7.0749566695079757E-2</v>
      </c>
      <c r="U92" s="1071">
        <f t="shared" si="7"/>
        <v>9.8911966110957525E-2</v>
      </c>
      <c r="V92" s="1071">
        <f t="shared" si="7"/>
        <v>0.11004572741514208</v>
      </c>
      <c r="W92" s="1071">
        <f t="shared" si="7"/>
        <v>0.11462261449754654</v>
      </c>
    </row>
    <row r="93" spans="1:45" s="851" customFormat="1">
      <c r="G93" s="133"/>
      <c r="H93" s="133"/>
      <c r="I93" s="133"/>
      <c r="J93" s="133"/>
      <c r="K93" s="133"/>
      <c r="L93" s="133"/>
      <c r="M93" s="133"/>
      <c r="N93" s="133"/>
      <c r="O93" s="133"/>
      <c r="P93" s="133"/>
      <c r="Q93" s="133"/>
      <c r="R93" s="1104"/>
      <c r="S93" s="120"/>
      <c r="T93" s="120"/>
      <c r="U93" s="120"/>
      <c r="V93" s="120"/>
      <c r="W93" s="120"/>
    </row>
    <row r="94" spans="1:45" s="851" customFormat="1" ht="19.5" thickBot="1">
      <c r="A94" s="1280" t="s">
        <v>867</v>
      </c>
      <c r="B94" s="1281"/>
      <c r="C94" s="1281"/>
      <c r="D94" s="1281"/>
      <c r="E94" s="1281"/>
      <c r="F94" s="1281"/>
      <c r="G94" s="1281"/>
      <c r="H94" s="1281"/>
      <c r="I94" s="1282"/>
      <c r="J94" s="1282"/>
      <c r="K94" s="1282"/>
      <c r="L94" s="1282"/>
      <c r="M94" s="1282"/>
      <c r="N94" s="1281"/>
      <c r="O94" s="1281"/>
      <c r="P94" s="1281"/>
      <c r="Q94" s="1281"/>
      <c r="R94" s="1282"/>
      <c r="S94" s="1283"/>
      <c r="T94" s="1283"/>
      <c r="U94" s="1283"/>
      <c r="V94" s="1283"/>
      <c r="W94" s="1283"/>
    </row>
    <row r="95" spans="1:45" s="152" customFormat="1">
      <c r="A95" s="871" t="s">
        <v>597</v>
      </c>
      <c r="B95" s="871"/>
      <c r="C95" s="871"/>
      <c r="D95" s="871"/>
      <c r="E95" s="871"/>
      <c r="F95" s="871"/>
      <c r="G95" s="871"/>
      <c r="H95" s="871"/>
      <c r="I95" s="871"/>
      <c r="J95" s="871"/>
      <c r="K95" s="871"/>
      <c r="L95" s="871"/>
      <c r="M95" s="871"/>
      <c r="N95" s="871"/>
      <c r="O95" s="871"/>
      <c r="P95" s="871"/>
      <c r="Q95" s="1068"/>
      <c r="R95" s="1099">
        <f t="shared" ref="R95:W95" si="8">R13/Q13-1</f>
        <v>-0.14598478799848724</v>
      </c>
      <c r="S95" s="1069">
        <f t="shared" si="8"/>
        <v>4.1204619445479151E-2</v>
      </c>
      <c r="T95" s="1069">
        <f t="shared" si="8"/>
        <v>4.3924594856812327E-2</v>
      </c>
      <c r="U95" s="1069">
        <f t="shared" si="8"/>
        <v>4.3950630019806036E-2</v>
      </c>
      <c r="V95" s="1069">
        <f t="shared" si="8"/>
        <v>3.1737932445756956E-2</v>
      </c>
      <c r="W95" s="1069">
        <f t="shared" si="8"/>
        <v>2.9356423812578081E-2</v>
      </c>
    </row>
    <row r="96" spans="1:45" s="868" customFormat="1">
      <c r="A96" s="873" t="s">
        <v>766</v>
      </c>
      <c r="B96" s="873"/>
      <c r="C96" s="873"/>
      <c r="D96" s="873"/>
      <c r="E96" s="873"/>
      <c r="F96" s="873"/>
      <c r="G96" s="873"/>
      <c r="H96" s="873"/>
      <c r="I96" s="873"/>
      <c r="J96" s="873"/>
      <c r="K96" s="873"/>
      <c r="L96" s="873"/>
      <c r="M96" s="873"/>
      <c r="N96" s="873"/>
      <c r="O96" s="873"/>
      <c r="P96" s="873"/>
      <c r="Q96" s="874"/>
      <c r="R96" s="1308" t="s">
        <v>449</v>
      </c>
      <c r="S96" s="1309" t="s">
        <v>449</v>
      </c>
      <c r="T96" s="1070">
        <f t="shared" ref="T96:V96" si="9">T37/S37-1</f>
        <v>0.69198942927078066</v>
      </c>
      <c r="U96" s="1070">
        <f t="shared" si="9"/>
        <v>0.43759334821738038</v>
      </c>
      <c r="V96" s="1070">
        <f t="shared" si="9"/>
        <v>0.15750980518249791</v>
      </c>
      <c r="W96" s="1070">
        <f>W37/V37-1</f>
        <v>8.4735334653729621E-2</v>
      </c>
    </row>
    <row r="97" spans="1:45" s="9" customFormat="1">
      <c r="A97" s="875" t="s">
        <v>896</v>
      </c>
      <c r="B97" s="875"/>
      <c r="C97" s="875"/>
      <c r="D97" s="875"/>
      <c r="E97" s="875"/>
      <c r="F97" s="875"/>
      <c r="G97" s="875"/>
      <c r="H97" s="875"/>
      <c r="I97" s="875"/>
      <c r="J97" s="875"/>
      <c r="K97" s="875"/>
      <c r="L97" s="875"/>
      <c r="M97" s="875"/>
      <c r="N97" s="875"/>
      <c r="O97" s="875"/>
      <c r="P97" s="875"/>
      <c r="Q97" s="876"/>
      <c r="R97" s="1210">
        <f t="shared" ref="R97:W97" si="10">R100/Q100-1</f>
        <v>3.047524915575317E-2</v>
      </c>
      <c r="S97" s="1071">
        <f t="shared" si="10"/>
        <v>8.9709228791279738E-2</v>
      </c>
      <c r="T97" s="1071">
        <f t="shared" si="10"/>
        <v>4.3053860518891485E-2</v>
      </c>
      <c r="U97" s="1071">
        <f t="shared" si="10"/>
        <v>4.3498227453893312E-2</v>
      </c>
      <c r="V97" s="1071">
        <f t="shared" si="10"/>
        <v>4.394414428010629E-2</v>
      </c>
      <c r="W97" s="1071">
        <f t="shared" si="10"/>
        <v>4.4391431211892929E-2</v>
      </c>
    </row>
    <row r="98" spans="1:45" s="851" customFormat="1">
      <c r="G98" s="133"/>
      <c r="H98" s="133"/>
      <c r="I98" s="133"/>
      <c r="J98" s="133"/>
      <c r="K98" s="133"/>
      <c r="L98" s="133"/>
      <c r="M98" s="133"/>
      <c r="N98" s="133"/>
      <c r="O98" s="133"/>
      <c r="R98" s="563"/>
      <c r="S98" s="18"/>
      <c r="T98" s="18"/>
      <c r="U98" s="18"/>
      <c r="V98" s="18"/>
    </row>
    <row r="99" spans="1:45" s="851" customFormat="1" ht="19.5" thickBot="1">
      <c r="A99" s="1280" t="s">
        <v>926</v>
      </c>
      <c r="B99" s="1281"/>
      <c r="C99" s="1281"/>
      <c r="D99" s="1281"/>
      <c r="E99" s="1281"/>
      <c r="F99" s="1281"/>
      <c r="G99" s="1281"/>
      <c r="H99" s="1281"/>
      <c r="I99" s="1282"/>
      <c r="J99" s="1282"/>
      <c r="K99" s="1282"/>
      <c r="L99" s="1282"/>
      <c r="M99" s="1282"/>
      <c r="N99" s="1281"/>
      <c r="O99" s="1281"/>
      <c r="P99" s="1281"/>
      <c r="Q99" s="1281"/>
      <c r="R99" s="1280"/>
      <c r="S99" s="1283"/>
      <c r="T99" s="1283"/>
      <c r="U99" s="1283"/>
      <c r="V99" s="1283"/>
      <c r="W99" s="1283"/>
    </row>
    <row r="100" spans="1:45" s="1300" customFormat="1">
      <c r="A100" s="1300" t="s">
        <v>895</v>
      </c>
      <c r="O100" s="1301"/>
      <c r="P100" s="1301"/>
      <c r="Q100" s="1307">
        <f>SUMIFS(Model!116:116,Model!$2:$2,Annual!Q$4,Model!$3:$3,Q$3)</f>
        <v>1214.1000000000001</v>
      </c>
      <c r="R100" s="1307">
        <f>SUMIFS(Model!116:116,Model!$2:$2,Annual!R$4,Model!$3:$3,R$3)</f>
        <v>1251.1000000000001</v>
      </c>
      <c r="S100" s="1084">
        <f>SUMIFS(Model!116:116,Model!$2:$2,Annual!S$4,Model!$3:$3,S$3)</f>
        <v>1363.3352161407702</v>
      </c>
      <c r="T100" s="1084">
        <f>SUMIFS(Model!116:116,Model!$2:$2,Annual!T$4,Model!$3:$3,T$3)</f>
        <v>1422.0320603769876</v>
      </c>
      <c r="U100" s="1084">
        <f>SUMIFS(Model!116:116,Model!$2:$2,Annual!U$4,Model!$3:$3,U$3)</f>
        <v>1483.8879343859944</v>
      </c>
      <c r="V100" s="1084">
        <f>SUMIFS(Model!116:116,Model!$2:$2,Annual!V$4,Model!$3:$3,V$3)</f>
        <v>1549.0961198701614</v>
      </c>
      <c r="W100" s="1084">
        <f>SUMIFS(Model!116:116,Model!$2:$2,Annual!W$4,Model!$3:$3,W$3)</f>
        <v>1617.8627137159879</v>
      </c>
      <c r="AB100" s="1302"/>
      <c r="AC100" s="1302"/>
      <c r="AD100" s="1302"/>
      <c r="AE100" s="1302"/>
      <c r="AF100" s="1302"/>
      <c r="AG100" s="1302"/>
      <c r="AH100" s="1302"/>
      <c r="AI100" s="1302"/>
      <c r="AJ100" s="1302"/>
      <c r="AK100" s="1302"/>
      <c r="AL100" s="1302"/>
      <c r="AM100" s="1302"/>
      <c r="AN100" s="1302"/>
      <c r="AO100" s="1302"/>
      <c r="AP100" s="1302"/>
      <c r="AQ100" s="1302"/>
      <c r="AR100" s="1302"/>
      <c r="AS100" s="1302"/>
    </row>
    <row r="101" spans="1:45" s="851" customFormat="1">
      <c r="A101" s="1217" t="s">
        <v>923</v>
      </c>
      <c r="B101" s="1217"/>
      <c r="C101" s="1217"/>
      <c r="D101" s="1217"/>
      <c r="E101" s="1217"/>
      <c r="F101" s="1217"/>
      <c r="G101" s="1217"/>
      <c r="H101" s="1217"/>
      <c r="I101" s="1217"/>
      <c r="J101" s="1217"/>
      <c r="K101" s="1217"/>
      <c r="L101" s="1217"/>
      <c r="M101" s="1217"/>
      <c r="N101" s="1217"/>
      <c r="O101" s="1217"/>
      <c r="P101" s="1217"/>
      <c r="Q101" s="1217"/>
      <c r="R101" s="1217">
        <f>SUMIFS(Model!137:137,Model!$2:$2,Annual!R$4,Model!$3:$3,R$3)</f>
        <v>2089.9</v>
      </c>
      <c r="S101" s="1218">
        <f>SUMIFS(Model!137:137,Model!$2:$2,Annual!S$4,Model!$3:$3,S$3)</f>
        <v>2555.1</v>
      </c>
      <c r="T101" s="1218">
        <f>SUMIFS(Model!137:137,Model!$2:$2,Annual!T$4,Model!$3:$3,T$3)</f>
        <v>2555.1</v>
      </c>
      <c r="U101" s="1218">
        <f>SUMIFS(Model!137:137,Model!$2:$2,Annual!U$4,Model!$3:$3,U$3)</f>
        <v>2555.1</v>
      </c>
      <c r="V101" s="1218">
        <f>SUMIFS(Model!137:137,Model!$2:$2,Annual!V$4,Model!$3:$3,V$3)</f>
        <v>2555.1</v>
      </c>
      <c r="W101" s="1218">
        <f>SUMIFS(Model!137:137,Model!$2:$2,Annual!W$4,Model!$3:$3,W$3)</f>
        <v>2555.1</v>
      </c>
    </row>
    <row r="102" spans="1:45" s="851" customFormat="1">
      <c r="A102" s="1447" t="s">
        <v>425</v>
      </c>
      <c r="B102" s="1215"/>
      <c r="C102" s="1215"/>
      <c r="D102" s="1215"/>
      <c r="E102" s="1215"/>
      <c r="F102" s="1215"/>
      <c r="G102" s="1215"/>
      <c r="H102" s="1215"/>
      <c r="I102" s="1215"/>
      <c r="J102" s="1215"/>
      <c r="K102" s="1215"/>
      <c r="L102" s="1215"/>
      <c r="M102" s="1215"/>
      <c r="N102" s="1215"/>
      <c r="O102" s="1215"/>
      <c r="P102" s="1215"/>
      <c r="Q102" s="1215"/>
      <c r="R102" s="1219">
        <f>SUMIF(Model!$2:$2,Annual!S$4,Model!153:153)</f>
        <v>0.7</v>
      </c>
      <c r="S102" s="1220">
        <f>SUMIF(Model!$2:$2,Annual!T$4,Model!153:153)</f>
        <v>0.7</v>
      </c>
      <c r="T102" s="1220">
        <f>SUMIF(Model!$2:$2,Annual!U$4,Model!153:153)</f>
        <v>1</v>
      </c>
      <c r="U102" s="1220">
        <f>SUMIF(Model!$2:$2,Annual!V$4,Model!153:153)</f>
        <v>1</v>
      </c>
      <c r="V102" s="1220">
        <f>SUMIF(Model!$2:$2,Annual!W$4,Model!153:153)</f>
        <v>1.3</v>
      </c>
      <c r="W102" s="1220">
        <f>SUMIF(Model!$2:$2,Annual!X$4,Model!153:153)</f>
        <v>1.5</v>
      </c>
    </row>
    <row r="103" spans="1:45">
      <c r="A103" s="1217" t="s">
        <v>917</v>
      </c>
      <c r="R103" s="1204">
        <f>SUMIF(Model!$2:$2,Annual!R$4,Model!154:154)</f>
        <v>1456.98</v>
      </c>
      <c r="S103" s="1084">
        <f>SUMIF(Model!$2:$2,Annual!S$4,Model!154:154)</f>
        <v>1787.31</v>
      </c>
      <c r="T103" s="1084">
        <f>SUMIF(Model!$2:$2,Annual!T$4,Model!154:154)</f>
        <v>1788.57</v>
      </c>
      <c r="U103" s="1084">
        <f>SUMIF(Model!$2:$2,Annual!U$4,Model!154:154)</f>
        <v>2555.1</v>
      </c>
      <c r="V103" s="1084">
        <f>SUMIF(Model!$2:$2,Annual!V$4,Model!154:154)</f>
        <v>2555.1</v>
      </c>
      <c r="W103" s="1084">
        <f>SUMIF(Model!$2:$2,Annual!W$4,Model!154:154)</f>
        <v>3321.63</v>
      </c>
    </row>
    <row r="104" spans="1:45">
      <c r="S104" s="120"/>
    </row>
    <row r="108" spans="1:45" s="851" customFormat="1">
      <c r="R108" s="563"/>
      <c r="S108" s="18"/>
      <c r="T108" s="18"/>
      <c r="U108" s="18"/>
      <c r="V108" s="18"/>
    </row>
    <row r="110" spans="1:45" s="851" customFormat="1">
      <c r="R110" s="563"/>
      <c r="S110" s="18"/>
      <c r="T110" s="18"/>
      <c r="U110" s="18"/>
      <c r="V110" s="18"/>
    </row>
    <row r="113" spans="18:22" s="851" customFormat="1">
      <c r="R113" s="563"/>
      <c r="S113" s="18"/>
      <c r="T113" s="18"/>
      <c r="U113" s="18"/>
      <c r="V113" s="18"/>
    </row>
    <row r="115" spans="18:22" s="851" customFormat="1">
      <c r="R115" s="563"/>
      <c r="S115" s="18"/>
      <c r="T115" s="18"/>
      <c r="U115" s="18"/>
      <c r="V115" s="18"/>
    </row>
  </sheetData>
  <conditionalFormatting sqref="AB44:AS44">
    <cfRule type="expression" dxfId="8" priority="1">
      <formula>"&lt;0"</formula>
    </cfRule>
  </conditionalFormatting>
  <pageMargins left="0.7" right="0.7" top="0.75" bottom="0.75" header="0.3" footer="0.3"/>
  <pageSetup paperSize="9" orientation="portrait" horizontalDpi="300" verticalDpi="0"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2"/>
  <sheetViews>
    <sheetView tabSelected="1" zoomScale="70" zoomScaleNormal="70" workbookViewId="0">
      <selection activeCell="N22" sqref="N22"/>
    </sheetView>
  </sheetViews>
  <sheetFormatPr defaultRowHeight="15.75"/>
  <cols>
    <col min="1" max="1" width="9" style="851"/>
    <col min="2" max="2" width="22.75" bestFit="1" customWidth="1"/>
    <col min="3" max="3" width="7.875" customWidth="1"/>
    <col min="4" max="4" width="3.25" style="851" customWidth="1"/>
    <col min="5" max="5" width="8.5" customWidth="1"/>
    <col min="7" max="7" width="9" customWidth="1"/>
    <col min="9" max="9" width="3.25" customWidth="1"/>
    <col min="11" max="11" width="6.625" bestFit="1" customWidth="1"/>
    <col min="12" max="12" width="6" bestFit="1" customWidth="1"/>
    <col min="13" max="13" width="5.5" bestFit="1" customWidth="1"/>
    <col min="14" max="14" width="3.25" customWidth="1"/>
    <col min="17" max="17" width="1.625" style="851" customWidth="1"/>
    <col min="18" max="18" width="9" customWidth="1"/>
    <col min="22" max="22" width="22.5" bestFit="1" customWidth="1"/>
    <col min="23" max="23" width="2.875" customWidth="1"/>
    <col min="25" max="25" width="2.625" customWidth="1"/>
    <col min="26" max="26" width="12.375" customWidth="1"/>
  </cols>
  <sheetData>
    <row r="1" spans="2:24" s="851" customFormat="1"/>
    <row r="2" spans="2:24" s="851" customFormat="1">
      <c r="B2" s="1465"/>
      <c r="C2" s="1465"/>
      <c r="D2" s="1465"/>
      <c r="E2" s="1474" t="s">
        <v>842</v>
      </c>
      <c r="F2" s="1474"/>
      <c r="G2" s="1474" t="s">
        <v>949</v>
      </c>
      <c r="H2" s="1474"/>
      <c r="I2" s="1465"/>
      <c r="J2" s="1480" t="s">
        <v>931</v>
      </c>
      <c r="K2" s="1480"/>
      <c r="L2" s="1480"/>
      <c r="M2" s="1480"/>
      <c r="N2" s="1465"/>
      <c r="O2" s="1465" t="s">
        <v>848</v>
      </c>
      <c r="P2" s="1465"/>
      <c r="Q2" s="1465"/>
      <c r="R2" s="1480" t="s">
        <v>930</v>
      </c>
      <c r="S2" s="1480"/>
      <c r="T2" s="1465"/>
      <c r="V2" s="851" t="s">
        <v>927</v>
      </c>
    </row>
    <row r="3" spans="2:24" ht="32.25" thickBot="1">
      <c r="B3" s="1466"/>
      <c r="C3" s="1466" t="s">
        <v>948</v>
      </c>
      <c r="D3" s="1466"/>
      <c r="E3" s="1467" t="s">
        <v>946</v>
      </c>
      <c r="F3" s="1467" t="s">
        <v>843</v>
      </c>
      <c r="G3" s="1467" t="s">
        <v>946</v>
      </c>
      <c r="H3" s="1467" t="s">
        <v>843</v>
      </c>
      <c r="I3" s="1466"/>
      <c r="J3" s="1467" t="s">
        <v>945</v>
      </c>
      <c r="K3" s="1467" t="s">
        <v>944</v>
      </c>
      <c r="L3" s="1467">
        <v>2017</v>
      </c>
      <c r="M3" s="1467">
        <v>2018</v>
      </c>
      <c r="N3" s="1466"/>
      <c r="O3" s="1466" t="s">
        <v>850</v>
      </c>
      <c r="P3" s="1466"/>
      <c r="Q3" s="1466"/>
      <c r="R3" s="1466" t="s">
        <v>826</v>
      </c>
      <c r="S3" s="1466"/>
      <c r="T3" s="1466" t="s">
        <v>860</v>
      </c>
      <c r="V3" s="1463" t="s">
        <v>849</v>
      </c>
      <c r="X3" s="1463" t="s">
        <v>928</v>
      </c>
    </row>
    <row r="4" spans="2:24" s="851" customFormat="1">
      <c r="B4" s="1235"/>
      <c r="C4" s="1235"/>
      <c r="D4" s="1235"/>
      <c r="E4" s="1237"/>
      <c r="F4" s="1237"/>
      <c r="G4" s="1237"/>
      <c r="H4" s="1237"/>
      <c r="I4" s="1235"/>
      <c r="J4" s="1237"/>
      <c r="K4" s="1237"/>
      <c r="L4" s="1237"/>
      <c r="M4" s="1237"/>
      <c r="N4" s="1235"/>
      <c r="O4" s="1235"/>
      <c r="P4" s="1235"/>
      <c r="Q4" s="1235"/>
      <c r="R4" s="1238"/>
      <c r="S4" s="1238"/>
      <c r="T4" s="1235"/>
    </row>
    <row r="5" spans="2:24">
      <c r="B5" s="1468" t="s">
        <v>752</v>
      </c>
      <c r="C5" s="1469">
        <f>'RIV model'!B32</f>
        <v>17.64</v>
      </c>
      <c r="D5" s="1469"/>
      <c r="E5" s="1470">
        <f>C5/Model!AF131</f>
        <v>1.0273733255678508</v>
      </c>
      <c r="F5" s="1470">
        <f>C5/Model!AK131</f>
        <v>1.0520249533205905</v>
      </c>
      <c r="G5" s="1470">
        <f>C5/Model!AF132</f>
        <v>1.1582403151674328</v>
      </c>
      <c r="H5" s="1470">
        <f>C5/Model!AK132</f>
        <v>1.1889497851652167</v>
      </c>
      <c r="I5" s="1469"/>
      <c r="J5" s="1470">
        <f>C5/SUM(Model!AG140:AJ140)</f>
        <v>20.492430429992059</v>
      </c>
      <c r="K5" s="1470">
        <f>C5/SUM(Model!AC142:AF142)</f>
        <v>39.480085129340416</v>
      </c>
      <c r="L5" s="1470">
        <f>C5/SUM(Model!AD142:AG142)</f>
        <v>21.982742204530535</v>
      </c>
      <c r="M5" s="1470">
        <f>C5/SUM(Model!AH142:AK142)</f>
        <v>16.998521991080583</v>
      </c>
      <c r="N5" s="1468"/>
      <c r="O5" s="1468"/>
      <c r="P5" s="1468"/>
      <c r="Q5" s="1468"/>
      <c r="R5" s="1468"/>
      <c r="S5" s="1468"/>
      <c r="T5" s="1468"/>
    </row>
    <row r="6" spans="2:24" s="851" customFormat="1">
      <c r="B6" s="868"/>
      <c r="C6" s="1028"/>
      <c r="D6" s="1028"/>
      <c r="E6" s="1127"/>
      <c r="F6" s="1127"/>
      <c r="G6" s="1127"/>
      <c r="H6" s="1127"/>
      <c r="I6" s="1028"/>
      <c r="J6" s="1127"/>
      <c r="K6" s="1127"/>
      <c r="L6" s="1127"/>
      <c r="M6" s="1127"/>
      <c r="N6" s="868"/>
      <c r="O6" s="868"/>
      <c r="P6" s="868"/>
      <c r="Q6" s="868"/>
      <c r="R6" s="868"/>
      <c r="S6" s="868"/>
      <c r="T6" s="868"/>
    </row>
    <row r="7" spans="2:24">
      <c r="B7" s="868" t="s">
        <v>752</v>
      </c>
      <c r="C7" s="1028">
        <f>C5</f>
        <v>17.64</v>
      </c>
      <c r="D7" s="1028"/>
      <c r="E7" s="1127">
        <v>1.03</v>
      </c>
      <c r="F7" s="1127"/>
      <c r="G7" s="1127">
        <v>1.1599999999999999</v>
      </c>
      <c r="H7" s="1127"/>
      <c r="I7" s="1028"/>
      <c r="J7" s="1127">
        <v>14.786300000000001</v>
      </c>
      <c r="K7" s="1462" t="s">
        <v>449</v>
      </c>
      <c r="L7" s="1127">
        <f t="shared" ref="L7:L12" si="0">C7/R7</f>
        <v>25.128205128205131</v>
      </c>
      <c r="M7" s="1127">
        <f t="shared" ref="M7:M12" si="1">C7/O7</f>
        <v>13.569230769230769</v>
      </c>
      <c r="N7" s="868"/>
      <c r="O7" s="1028">
        <v>1.3</v>
      </c>
      <c r="Q7" s="1028"/>
      <c r="R7" s="1028">
        <v>0.70199999999999996</v>
      </c>
      <c r="T7" s="868" t="s">
        <v>584</v>
      </c>
      <c r="V7" s="1464" t="s">
        <v>929</v>
      </c>
      <c r="X7" s="1464" t="s">
        <v>937</v>
      </c>
    </row>
    <row r="8" spans="2:24">
      <c r="B8" s="1468" t="s">
        <v>847</v>
      </c>
      <c r="C8" s="1468">
        <v>29.52</v>
      </c>
      <c r="D8" s="1468"/>
      <c r="E8" s="1470">
        <v>1.27</v>
      </c>
      <c r="F8" s="1470"/>
      <c r="G8" s="1470">
        <v>1.59</v>
      </c>
      <c r="H8" s="1470"/>
      <c r="I8" s="1468"/>
      <c r="J8" s="1470">
        <v>14.13</v>
      </c>
      <c r="K8" s="1470">
        <v>17.59</v>
      </c>
      <c r="L8" s="1470">
        <f t="shared" si="0"/>
        <v>16.677966101694913</v>
      </c>
      <c r="M8" s="1470">
        <f t="shared" si="1"/>
        <v>12.890829694323143</v>
      </c>
      <c r="N8" s="1468"/>
      <c r="O8" s="1469">
        <v>2.29</v>
      </c>
      <c r="P8" s="1221"/>
      <c r="Q8" s="1469"/>
      <c r="R8" s="1469">
        <v>1.77</v>
      </c>
      <c r="S8" s="1221"/>
      <c r="T8" s="1468" t="s">
        <v>851</v>
      </c>
      <c r="V8" s="1464" t="s">
        <v>932</v>
      </c>
      <c r="X8" s="1464" t="s">
        <v>939</v>
      </c>
    </row>
    <row r="9" spans="2:24">
      <c r="B9" s="868" t="s">
        <v>943</v>
      </c>
      <c r="C9" s="868">
        <v>203.1</v>
      </c>
      <c r="D9" s="868"/>
      <c r="E9" s="1127">
        <v>0.56000000000000005</v>
      </c>
      <c r="F9" s="1127"/>
      <c r="G9" s="1127">
        <v>0.6</v>
      </c>
      <c r="H9" s="1127"/>
      <c r="I9" s="868"/>
      <c r="J9" s="1127">
        <v>11.7858</v>
      </c>
      <c r="K9" s="1127">
        <v>17.46</v>
      </c>
      <c r="L9" s="1127">
        <f t="shared" si="0"/>
        <v>13.361842105263158</v>
      </c>
      <c r="M9" s="1127">
        <f t="shared" si="1"/>
        <v>9.9461312438785487</v>
      </c>
      <c r="N9" s="868"/>
      <c r="O9" s="1028">
        <v>20.420000000000002</v>
      </c>
      <c r="Q9" s="1028"/>
      <c r="R9" s="1028">
        <v>15.2</v>
      </c>
      <c r="T9" s="868" t="s">
        <v>852</v>
      </c>
      <c r="V9" s="1464" t="s">
        <v>933</v>
      </c>
      <c r="X9" s="1464" t="s">
        <v>942</v>
      </c>
    </row>
    <row r="10" spans="2:24">
      <c r="B10" s="1468" t="s">
        <v>844</v>
      </c>
      <c r="C10" s="1468">
        <v>74.41</v>
      </c>
      <c r="D10" s="1468"/>
      <c r="E10" s="1470">
        <v>0.96</v>
      </c>
      <c r="F10" s="1470"/>
      <c r="G10" s="1470">
        <v>1</v>
      </c>
      <c r="H10" s="1470"/>
      <c r="I10" s="1468"/>
      <c r="J10" s="1470">
        <v>12.965999999999999</v>
      </c>
      <c r="K10" s="1470">
        <v>14.53</v>
      </c>
      <c r="L10" s="1470">
        <f t="shared" si="0"/>
        <v>14.246601569978939</v>
      </c>
      <c r="M10" s="1470">
        <f t="shared" si="1"/>
        <v>12.218390804597702</v>
      </c>
      <c r="N10" s="1468"/>
      <c r="O10" s="1469">
        <v>6.09</v>
      </c>
      <c r="P10" s="1221"/>
      <c r="Q10" s="1469"/>
      <c r="R10" s="1469">
        <v>5.2229999999999999</v>
      </c>
      <c r="S10" s="1221"/>
      <c r="T10" s="1468" t="s">
        <v>851</v>
      </c>
      <c r="V10" s="1464" t="s">
        <v>934</v>
      </c>
      <c r="X10" s="1464" t="s">
        <v>938</v>
      </c>
    </row>
    <row r="11" spans="2:24">
      <c r="B11" s="868" t="s">
        <v>845</v>
      </c>
      <c r="C11" s="868">
        <v>52.47</v>
      </c>
      <c r="D11" s="868"/>
      <c r="E11" s="1127">
        <v>1.37</v>
      </c>
      <c r="F11" s="1127"/>
      <c r="G11" s="1127">
        <v>1.37</v>
      </c>
      <c r="H11" s="1127"/>
      <c r="I11" s="868"/>
      <c r="J11" s="1127">
        <v>13.1006</v>
      </c>
      <c r="K11" s="1127">
        <v>14.67</v>
      </c>
      <c r="L11" s="1127">
        <f t="shared" si="0"/>
        <v>14.599332220367279</v>
      </c>
      <c r="M11" s="1127">
        <f t="shared" si="1"/>
        <v>12.433649289099527</v>
      </c>
      <c r="N11" s="868"/>
      <c r="O11" s="1028">
        <v>4.22</v>
      </c>
      <c r="Q11" s="1028"/>
      <c r="R11" s="1028">
        <v>3.5939999999999999</v>
      </c>
      <c r="T11" s="868" t="s">
        <v>851</v>
      </c>
      <c r="V11" s="1464" t="s">
        <v>935</v>
      </c>
      <c r="X11" s="1464" t="s">
        <v>940</v>
      </c>
    </row>
    <row r="12" spans="2:24" ht="16.5" thickBot="1">
      <c r="B12" s="1471" t="s">
        <v>846</v>
      </c>
      <c r="C12" s="1471">
        <v>18.39</v>
      </c>
      <c r="D12" s="1471"/>
      <c r="E12" s="1472">
        <v>1.27</v>
      </c>
      <c r="F12" s="1472"/>
      <c r="G12" s="1472">
        <v>1.5</v>
      </c>
      <c r="H12" s="1472"/>
      <c r="I12" s="1471"/>
      <c r="J12" s="1472">
        <v>11.9048</v>
      </c>
      <c r="K12" s="1472">
        <v>17.39</v>
      </c>
      <c r="L12" s="1472">
        <f t="shared" si="0"/>
        <v>14.189814814814815</v>
      </c>
      <c r="M12" s="1472">
        <f t="shared" si="1"/>
        <v>12.425675675675675</v>
      </c>
      <c r="N12" s="1471"/>
      <c r="O12" s="1473">
        <v>1.48</v>
      </c>
      <c r="P12" s="1472"/>
      <c r="Q12" s="1472"/>
      <c r="R12" s="1473">
        <v>1.296</v>
      </c>
      <c r="S12" s="1472"/>
      <c r="T12" s="1471" t="s">
        <v>851</v>
      </c>
      <c r="V12" s="1464" t="s">
        <v>936</v>
      </c>
      <c r="X12" s="1464" t="s">
        <v>941</v>
      </c>
    </row>
    <row r="13" spans="2:24" s="851" customFormat="1">
      <c r="B13" s="1481" t="s">
        <v>947</v>
      </c>
      <c r="C13" s="1481"/>
      <c r="D13" s="1481"/>
      <c r="E13" s="1481"/>
      <c r="F13" s="1481"/>
      <c r="G13" s="1481"/>
      <c r="H13" s="1481"/>
      <c r="I13" s="1481"/>
      <c r="J13" s="1481"/>
      <c r="K13" s="1481"/>
      <c r="L13" s="1481"/>
      <c r="M13" s="1481"/>
      <c r="N13" s="868"/>
      <c r="O13" s="868"/>
      <c r="P13" s="868"/>
      <c r="Q13" s="868"/>
      <c r="R13" s="868"/>
      <c r="S13" s="868"/>
      <c r="T13" s="868"/>
    </row>
    <row r="14" spans="2:24">
      <c r="B14" s="160"/>
      <c r="E14" s="852"/>
    </row>
    <row r="32" spans="2:12">
      <c r="B32" s="851"/>
      <c r="C32" s="851"/>
      <c r="E32" s="851"/>
      <c r="F32" s="851"/>
      <c r="G32" s="851"/>
      <c r="H32" s="851"/>
      <c r="I32" s="851"/>
      <c r="J32" s="851"/>
      <c r="K32" s="851"/>
      <c r="L32" s="851"/>
    </row>
  </sheetData>
  <mergeCells count="3">
    <mergeCell ref="J2:M2"/>
    <mergeCell ref="R2:S2"/>
    <mergeCell ref="B13:M13"/>
  </mergeCells>
  <hyperlinks>
    <hyperlink ref="X10" r:id="rId1"/>
    <hyperlink ref="X8" r:id="rId2"/>
    <hyperlink ref="X7" r:id="rId3"/>
    <hyperlink ref="X9" r:id="rId4"/>
    <hyperlink ref="X11" r:id="rId5"/>
    <hyperlink ref="X12" r:id="rId6"/>
    <hyperlink ref="V7" r:id="rId7"/>
    <hyperlink ref="V8" r:id="rId8"/>
    <hyperlink ref="V9" r:id="rId9"/>
    <hyperlink ref="V10" r:id="rId10"/>
    <hyperlink ref="V11" r:id="rId11"/>
    <hyperlink ref="V12" r:id="rId12"/>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527"/>
  <sheetViews>
    <sheetView workbookViewId="0">
      <selection activeCell="M10" sqref="M10"/>
    </sheetView>
  </sheetViews>
  <sheetFormatPr defaultRowHeight="15.75"/>
  <cols>
    <col min="1" max="1" width="9" style="851"/>
    <col min="2" max="2" width="9.875" bestFit="1" customWidth="1"/>
    <col min="8" max="8" width="9" style="851"/>
    <col min="10" max="10" width="10.75" bestFit="1" customWidth="1"/>
    <col min="13" max="13" width="20.75" bestFit="1" customWidth="1"/>
    <col min="14" max="14" width="15.375" bestFit="1" customWidth="1"/>
  </cols>
  <sheetData>
    <row r="1" spans="2:15">
      <c r="B1" s="1358"/>
      <c r="C1" s="1482" t="s">
        <v>752</v>
      </c>
      <c r="D1" s="1483"/>
      <c r="E1" s="1483"/>
      <c r="F1" s="1483"/>
      <c r="G1" s="1483"/>
      <c r="H1" s="1484"/>
      <c r="I1" s="1482" t="s">
        <v>907</v>
      </c>
      <c r="J1" s="1483"/>
      <c r="K1" s="851"/>
    </row>
    <row r="2" spans="2:15">
      <c r="B2" s="1249" t="s">
        <v>202</v>
      </c>
      <c r="C2" s="1353" t="s">
        <v>748</v>
      </c>
      <c r="D2" s="1354" t="s">
        <v>749</v>
      </c>
      <c r="E2" s="1354" t="s">
        <v>750</v>
      </c>
      <c r="F2" s="1354" t="s">
        <v>751</v>
      </c>
      <c r="G2" s="1354" t="s">
        <v>451</v>
      </c>
      <c r="H2" s="1355" t="s">
        <v>754</v>
      </c>
      <c r="I2" s="1353" t="s">
        <v>451</v>
      </c>
      <c r="J2" s="1249" t="s">
        <v>753</v>
      </c>
      <c r="K2" s="851"/>
      <c r="L2" s="1270" t="s">
        <v>881</v>
      </c>
      <c r="M2" s="1270"/>
      <c r="N2" s="1270"/>
      <c r="O2" s="1270"/>
    </row>
    <row r="3" spans="2:15">
      <c r="B3" s="145">
        <v>34790</v>
      </c>
      <c r="C3" s="1356">
        <v>20.435199999999998</v>
      </c>
      <c r="D3" s="1127">
        <v>22.1493</v>
      </c>
      <c r="E3" s="1127">
        <v>20.435199999999998</v>
      </c>
      <c r="F3" s="1127">
        <v>21.325600000000001</v>
      </c>
      <c r="G3" s="1127">
        <v>8.4204369999999997</v>
      </c>
      <c r="H3" s="1352"/>
      <c r="I3" s="1351">
        <v>514.71002199999998</v>
      </c>
      <c r="K3" s="851"/>
      <c r="L3" s="1235"/>
      <c r="M3" s="1249" t="s">
        <v>879</v>
      </c>
      <c r="N3" s="1249" t="s">
        <v>880</v>
      </c>
      <c r="O3" s="1235"/>
    </row>
    <row r="4" spans="2:15">
      <c r="B4" s="145">
        <v>34820</v>
      </c>
      <c r="C4" s="1356">
        <v>21.370199</v>
      </c>
      <c r="D4" s="1127">
        <v>24.486699999999999</v>
      </c>
      <c r="E4" s="1127">
        <v>21.370199</v>
      </c>
      <c r="F4" s="1127">
        <v>24.263999999999999</v>
      </c>
      <c r="G4" s="1127">
        <v>9.5806679999999993</v>
      </c>
      <c r="H4" s="1357">
        <f>F4/F3-1</f>
        <v>0.13778744794988174</v>
      </c>
      <c r="I4" s="1351">
        <v>533.40002400000003</v>
      </c>
      <c r="J4" s="146">
        <f>I4/I3-1</f>
        <v>3.6311711839953409E-2</v>
      </c>
      <c r="K4" s="851"/>
      <c r="L4" s="1249"/>
      <c r="M4" s="1271">
        <f t="array" ref="M4:N8">LINEST(H215:H275,J215:J275,,TRUE)</f>
        <v>1.4775454079317361</v>
      </c>
      <c r="N4" s="852">
        <v>-1.384235744404169E-2</v>
      </c>
      <c r="O4" s="1249"/>
    </row>
    <row r="5" spans="2:15">
      <c r="B5" s="145">
        <v>34851</v>
      </c>
      <c r="C5" s="1356">
        <v>24.486699999999999</v>
      </c>
      <c r="D5" s="1127">
        <v>24.876200000000001</v>
      </c>
      <c r="E5" s="1127">
        <v>23.150998999999999</v>
      </c>
      <c r="F5" s="1127">
        <v>23.429300000000001</v>
      </c>
      <c r="G5" s="1127">
        <v>9.2510849999999998</v>
      </c>
      <c r="H5" s="1357">
        <f t="shared" ref="H5:H68" si="0">F5/F4-1</f>
        <v>-3.4400758325090597E-2</v>
      </c>
      <c r="I5" s="1351">
        <v>544.75</v>
      </c>
      <c r="J5" s="146">
        <f t="shared" ref="J5:J68" si="1">I5/I4-1</f>
        <v>2.1278544224437423E-2</v>
      </c>
      <c r="K5" s="851"/>
      <c r="L5" s="1249" t="s">
        <v>878</v>
      </c>
      <c r="M5" s="1271">
        <v>0.39643029404358981</v>
      </c>
      <c r="N5" s="852">
        <v>1.1463571994524526E-2</v>
      </c>
      <c r="O5" s="1249" t="s">
        <v>877</v>
      </c>
    </row>
    <row r="6" spans="2:15">
      <c r="B6" s="145">
        <v>34881</v>
      </c>
      <c r="C6" s="1356">
        <v>23.3736</v>
      </c>
      <c r="D6" s="1127">
        <v>23.540600000000001</v>
      </c>
      <c r="E6" s="1127">
        <v>21.871099000000001</v>
      </c>
      <c r="F6" s="1127">
        <v>22.1493</v>
      </c>
      <c r="G6" s="1127">
        <v>8.7456739999999993</v>
      </c>
      <c r="H6" s="1357">
        <f t="shared" si="0"/>
        <v>-5.4632447405599027E-2</v>
      </c>
      <c r="I6" s="1351">
        <v>562.05999799999995</v>
      </c>
      <c r="J6" s="146">
        <f t="shared" si="1"/>
        <v>3.1776040385497861E-2</v>
      </c>
      <c r="K6" s="851"/>
      <c r="L6" s="1249" t="s">
        <v>759</v>
      </c>
      <c r="M6" s="852">
        <v>0.19057737183456819</v>
      </c>
      <c r="N6" s="852">
        <v>8.3183572680418927E-2</v>
      </c>
      <c r="O6" s="1249" t="s">
        <v>760</v>
      </c>
    </row>
    <row r="7" spans="2:15">
      <c r="B7" s="145">
        <v>34912</v>
      </c>
      <c r="C7" s="1356">
        <v>22.4832</v>
      </c>
      <c r="D7" s="1127">
        <v>22.5945</v>
      </c>
      <c r="E7" s="1127">
        <v>21.147499</v>
      </c>
      <c r="F7" s="1127">
        <v>21.926600000000001</v>
      </c>
      <c r="G7" s="1127">
        <v>8.6577409999999997</v>
      </c>
      <c r="H7" s="1357">
        <f t="shared" si="0"/>
        <v>-1.0054493821475163E-2</v>
      </c>
      <c r="I7" s="1351">
        <v>561.88000499999998</v>
      </c>
      <c r="J7" s="146">
        <f t="shared" si="1"/>
        <v>-3.2023805401637517E-4</v>
      </c>
      <c r="K7" s="851"/>
      <c r="L7" s="1249" t="s">
        <v>761</v>
      </c>
      <c r="M7" s="852">
        <v>13.891463553130903</v>
      </c>
      <c r="N7" s="917">
        <v>59</v>
      </c>
      <c r="O7" s="1249" t="s">
        <v>882</v>
      </c>
    </row>
    <row r="8" spans="2:15">
      <c r="B8" s="145">
        <v>34943</v>
      </c>
      <c r="C8" s="1356">
        <v>21.982299999999999</v>
      </c>
      <c r="D8" s="1127">
        <v>24.709199999999999</v>
      </c>
      <c r="E8" s="1127">
        <v>21.982299999999999</v>
      </c>
      <c r="F8" s="1127">
        <v>24.041401</v>
      </c>
      <c r="G8" s="1127">
        <v>9.4927740000000007</v>
      </c>
      <c r="H8" s="1357">
        <f t="shared" si="0"/>
        <v>9.6449107476763274E-2</v>
      </c>
      <c r="I8" s="1351">
        <v>584.40997300000004</v>
      </c>
      <c r="J8" s="146">
        <f t="shared" si="1"/>
        <v>4.0097472413171298E-2</v>
      </c>
      <c r="K8" s="851"/>
      <c r="L8" s="1249" t="s">
        <v>883</v>
      </c>
      <c r="M8" s="852">
        <v>9.6122076016061486E-2</v>
      </c>
      <c r="N8" s="852">
        <v>0.40825089906883383</v>
      </c>
      <c r="O8" s="1249" t="s">
        <v>762</v>
      </c>
    </row>
    <row r="9" spans="2:15">
      <c r="B9" s="145">
        <v>34973</v>
      </c>
      <c r="C9" s="1356">
        <v>24.375298999999998</v>
      </c>
      <c r="D9" s="1127">
        <v>26.267499999999998</v>
      </c>
      <c r="E9" s="1127">
        <v>24.319700000000001</v>
      </c>
      <c r="F9" s="1127">
        <v>25.822299999999998</v>
      </c>
      <c r="G9" s="1127">
        <v>10.195962</v>
      </c>
      <c r="H9" s="1357">
        <f t="shared" si="0"/>
        <v>7.4076340226594928E-2</v>
      </c>
      <c r="I9" s="1351">
        <v>581.5</v>
      </c>
      <c r="J9" s="146">
        <f t="shared" si="1"/>
        <v>-4.9793349436904055E-3</v>
      </c>
      <c r="K9" s="851"/>
      <c r="L9" s="851"/>
    </row>
    <row r="10" spans="2:15">
      <c r="B10" s="145">
        <v>35004</v>
      </c>
      <c r="C10" s="1356">
        <v>25.710999999999999</v>
      </c>
      <c r="D10" s="1127">
        <v>26.267499999999998</v>
      </c>
      <c r="E10" s="1127">
        <v>24.486699999999999</v>
      </c>
      <c r="F10" s="1127">
        <v>24.820499000000002</v>
      </c>
      <c r="G10" s="1127">
        <v>9.8004029999999993</v>
      </c>
      <c r="H10" s="1357">
        <f t="shared" si="0"/>
        <v>-3.8795963179112491E-2</v>
      </c>
      <c r="I10" s="1351">
        <v>605.36999500000002</v>
      </c>
      <c r="J10" s="146">
        <f t="shared" si="1"/>
        <v>4.1049002579535809E-2</v>
      </c>
      <c r="K10" s="851"/>
      <c r="L10" s="1249" t="s">
        <v>755</v>
      </c>
      <c r="M10" s="1271">
        <f>M4/M5</f>
        <v>3.7271253739485188</v>
      </c>
    </row>
    <row r="11" spans="2:15">
      <c r="B11" s="145">
        <v>35034</v>
      </c>
      <c r="C11" s="1356">
        <v>24.820499000000002</v>
      </c>
      <c r="D11" s="1127">
        <v>26.49</v>
      </c>
      <c r="E11" s="1127">
        <v>24.5534</v>
      </c>
      <c r="F11" s="1127">
        <v>26.334199999999999</v>
      </c>
      <c r="G11" s="1127">
        <v>10.398088</v>
      </c>
      <c r="H11" s="1357">
        <f t="shared" si="0"/>
        <v>6.0985921354763883E-2</v>
      </c>
      <c r="I11" s="1351">
        <v>615.92999299999997</v>
      </c>
      <c r="J11" s="146">
        <f t="shared" si="1"/>
        <v>1.7443874138492799E-2</v>
      </c>
      <c r="K11" s="851"/>
      <c r="L11" s="851"/>
    </row>
    <row r="12" spans="2:15">
      <c r="B12" s="145">
        <v>35065</v>
      </c>
      <c r="C12" s="1356">
        <v>26.890799999999999</v>
      </c>
      <c r="D12" s="1127">
        <v>26.935300999999999</v>
      </c>
      <c r="E12" s="1127">
        <v>24.486699999999999</v>
      </c>
      <c r="F12" s="1127">
        <v>25.265799999999999</v>
      </c>
      <c r="G12" s="1127">
        <v>9.976229</v>
      </c>
      <c r="H12" s="1357">
        <f t="shared" si="0"/>
        <v>-4.0570816656667064E-2</v>
      </c>
      <c r="I12" s="1351">
        <v>636.02002000000005</v>
      </c>
      <c r="J12" s="146">
        <f t="shared" si="1"/>
        <v>3.2617387086717242E-2</v>
      </c>
      <c r="K12" s="851"/>
      <c r="L12" s="851"/>
    </row>
    <row r="13" spans="2:15">
      <c r="B13" s="145">
        <v>35096</v>
      </c>
      <c r="C13" s="1356">
        <v>25.265799999999999</v>
      </c>
      <c r="D13" s="1127">
        <v>25.666499999999999</v>
      </c>
      <c r="E13" s="1127">
        <v>24.931899999999999</v>
      </c>
      <c r="F13" s="1127">
        <v>25.4438</v>
      </c>
      <c r="G13" s="1127">
        <v>10.046511000000001</v>
      </c>
      <c r="H13" s="1357">
        <f t="shared" si="0"/>
        <v>7.0450965336541493E-3</v>
      </c>
      <c r="I13" s="1351">
        <v>640.42999299999997</v>
      </c>
      <c r="J13" s="146">
        <f t="shared" si="1"/>
        <v>6.933701552350291E-3</v>
      </c>
      <c r="K13" s="851"/>
      <c r="L13" s="851"/>
    </row>
    <row r="14" spans="2:15">
      <c r="B14" s="145">
        <v>35125</v>
      </c>
      <c r="C14" s="1356">
        <v>25.555098999999998</v>
      </c>
      <c r="D14" s="1127">
        <v>25.777799999999999</v>
      </c>
      <c r="E14" s="1127">
        <v>24.152799999999999</v>
      </c>
      <c r="F14" s="1127">
        <v>24.330798999999999</v>
      </c>
      <c r="G14" s="1127">
        <v>9.6070430000000009</v>
      </c>
      <c r="H14" s="1357">
        <f t="shared" si="0"/>
        <v>-4.3743505294020602E-2</v>
      </c>
      <c r="I14" s="1351">
        <v>645.5</v>
      </c>
      <c r="J14" s="146">
        <f t="shared" si="1"/>
        <v>7.9165670805803057E-3</v>
      </c>
      <c r="K14" s="851"/>
      <c r="L14" s="851"/>
    </row>
    <row r="15" spans="2:15">
      <c r="B15" s="145">
        <v>35156</v>
      </c>
      <c r="C15" s="1356">
        <v>24.330798999999999</v>
      </c>
      <c r="D15" s="1127">
        <v>25.933599000000001</v>
      </c>
      <c r="E15" s="1127">
        <v>23.996901000000001</v>
      </c>
      <c r="F15" s="1127">
        <v>25.1099</v>
      </c>
      <c r="G15" s="1127">
        <v>9.9146699999999992</v>
      </c>
      <c r="H15" s="1357">
        <f t="shared" si="0"/>
        <v>3.2021184343350217E-2</v>
      </c>
      <c r="I15" s="1351">
        <v>654.169983</v>
      </c>
      <c r="J15" s="146">
        <f t="shared" si="1"/>
        <v>1.3431422153369565E-2</v>
      </c>
      <c r="K15" s="851"/>
      <c r="L15" s="851"/>
    </row>
    <row r="16" spans="2:15">
      <c r="B16" s="145">
        <v>35186</v>
      </c>
      <c r="C16" s="1356">
        <v>25.221299999999999</v>
      </c>
      <c r="D16" s="1127">
        <v>25.377099999999999</v>
      </c>
      <c r="E16" s="1127">
        <v>23.763100000000001</v>
      </c>
      <c r="F16" s="1127">
        <v>24.041401</v>
      </c>
      <c r="G16" s="1127">
        <v>9.4927740000000007</v>
      </c>
      <c r="H16" s="1357">
        <f t="shared" si="0"/>
        <v>-4.2552897462753703E-2</v>
      </c>
      <c r="I16" s="1351">
        <v>669.11999500000002</v>
      </c>
      <c r="J16" s="146">
        <f t="shared" si="1"/>
        <v>2.2853405672085048E-2</v>
      </c>
      <c r="K16" s="851"/>
      <c r="L16" s="851"/>
    </row>
    <row r="17" spans="2:12">
      <c r="B17" s="145">
        <v>35217</v>
      </c>
      <c r="C17" s="1356">
        <v>23.985800000000001</v>
      </c>
      <c r="D17" s="1127">
        <v>26.49</v>
      </c>
      <c r="E17" s="1127">
        <v>23.540600000000001</v>
      </c>
      <c r="F17" s="1127">
        <v>26.49</v>
      </c>
      <c r="G17" s="1127">
        <v>10.459607</v>
      </c>
      <c r="H17" s="1357">
        <f t="shared" si="0"/>
        <v>0.10184926410902584</v>
      </c>
      <c r="I17" s="1351">
        <v>670.63000499999998</v>
      </c>
      <c r="J17" s="146">
        <f t="shared" si="1"/>
        <v>2.2567103229369501E-3</v>
      </c>
      <c r="K17" s="851"/>
      <c r="L17" s="851"/>
    </row>
    <row r="18" spans="2:12">
      <c r="B18" s="145">
        <v>35247</v>
      </c>
      <c r="C18" s="1356">
        <v>26.601400000000002</v>
      </c>
      <c r="D18" s="1127">
        <v>30.051701000000001</v>
      </c>
      <c r="E18" s="1127">
        <v>26.5457</v>
      </c>
      <c r="F18" s="1127">
        <v>28.159700000000001</v>
      </c>
      <c r="G18" s="1127">
        <v>13.313694</v>
      </c>
      <c r="H18" s="1357">
        <f t="shared" si="0"/>
        <v>6.30313325783316E-2</v>
      </c>
      <c r="I18" s="1351">
        <v>639.95001200000002</v>
      </c>
      <c r="J18" s="146">
        <f t="shared" si="1"/>
        <v>-4.5748017194667479E-2</v>
      </c>
      <c r="K18" s="851"/>
      <c r="L18" s="851"/>
    </row>
    <row r="19" spans="2:12">
      <c r="B19" s="145">
        <v>35278</v>
      </c>
      <c r="C19" s="1356">
        <v>28.771799000000001</v>
      </c>
      <c r="D19" s="1127">
        <v>29.439599999999999</v>
      </c>
      <c r="E19" s="1127">
        <v>27.714500000000001</v>
      </c>
      <c r="F19" s="1127">
        <v>27.714500000000001</v>
      </c>
      <c r="G19" s="1127">
        <v>13.103209</v>
      </c>
      <c r="H19" s="1357">
        <f t="shared" si="0"/>
        <v>-1.5809827519469355E-2</v>
      </c>
      <c r="I19" s="1351">
        <v>651.98999000000003</v>
      </c>
      <c r="J19" s="146">
        <f t="shared" si="1"/>
        <v>1.8813935110919333E-2</v>
      </c>
      <c r="K19" s="851"/>
      <c r="L19" s="851"/>
    </row>
    <row r="20" spans="2:12">
      <c r="B20" s="145">
        <v>35309</v>
      </c>
      <c r="C20" s="1356">
        <v>27.770099999999999</v>
      </c>
      <c r="D20" s="1127">
        <v>27.937000000000001</v>
      </c>
      <c r="E20" s="1127">
        <v>26.823999000000001</v>
      </c>
      <c r="F20" s="1127">
        <v>27.603100000000001</v>
      </c>
      <c r="G20" s="1127">
        <v>13.050538</v>
      </c>
      <c r="H20" s="1357">
        <f t="shared" si="0"/>
        <v>-4.0195565498204466E-3</v>
      </c>
      <c r="I20" s="1351">
        <v>687.330017</v>
      </c>
      <c r="J20" s="146">
        <f t="shared" si="1"/>
        <v>5.4203327569492199E-2</v>
      </c>
      <c r="K20" s="851"/>
      <c r="L20" s="851"/>
    </row>
    <row r="21" spans="2:12">
      <c r="B21" s="145">
        <v>35339</v>
      </c>
      <c r="C21" s="1356">
        <v>27.547501</v>
      </c>
      <c r="D21" s="1127">
        <v>28.883101</v>
      </c>
      <c r="E21" s="1127">
        <v>27.491800000000001</v>
      </c>
      <c r="F21" s="1127">
        <v>28.103999999999999</v>
      </c>
      <c r="G21" s="1127">
        <v>13.287357999999999</v>
      </c>
      <c r="H21" s="1357">
        <f t="shared" si="0"/>
        <v>1.8146512529389813E-2</v>
      </c>
      <c r="I21" s="1351">
        <v>705.27002000000005</v>
      </c>
      <c r="J21" s="146">
        <f t="shared" si="1"/>
        <v>2.6101003239030751E-2</v>
      </c>
      <c r="K21" s="851"/>
      <c r="L21" s="851"/>
    </row>
    <row r="22" spans="2:12">
      <c r="B22" s="145">
        <v>35370</v>
      </c>
      <c r="C22" s="1356">
        <v>28.215299999999999</v>
      </c>
      <c r="D22" s="1127">
        <v>30.997800999999999</v>
      </c>
      <c r="E22" s="1127">
        <v>28.048300000000001</v>
      </c>
      <c r="F22" s="1127">
        <v>30.886600000000001</v>
      </c>
      <c r="G22" s="1127">
        <v>14.602952</v>
      </c>
      <c r="H22" s="1357">
        <f t="shared" si="0"/>
        <v>9.9010816965556581E-2</v>
      </c>
      <c r="I22" s="1351">
        <v>757.02002000000005</v>
      </c>
      <c r="J22" s="146">
        <f t="shared" si="1"/>
        <v>7.3376151732637007E-2</v>
      </c>
      <c r="K22" s="851"/>
      <c r="L22" s="851"/>
    </row>
    <row r="23" spans="2:12">
      <c r="B23" s="145">
        <v>35400</v>
      </c>
      <c r="C23" s="1356">
        <v>30.552600999999999</v>
      </c>
      <c r="D23" s="1127">
        <v>30.8309</v>
      </c>
      <c r="E23" s="1127">
        <v>29.216999000000001</v>
      </c>
      <c r="F23" s="1127">
        <v>30.608298999999999</v>
      </c>
      <c r="G23" s="1127">
        <v>14.471374000000001</v>
      </c>
      <c r="H23" s="1357">
        <f t="shared" si="0"/>
        <v>-9.0104122823491117E-3</v>
      </c>
      <c r="I23" s="1351">
        <v>740.73999000000003</v>
      </c>
      <c r="J23" s="146">
        <f t="shared" si="1"/>
        <v>-2.1505415404998174E-2</v>
      </c>
      <c r="K23" s="851"/>
      <c r="L23" s="851"/>
    </row>
    <row r="24" spans="2:12">
      <c r="B24" s="145">
        <v>35431</v>
      </c>
      <c r="C24" s="1356">
        <v>30.497</v>
      </c>
      <c r="D24" s="1127">
        <v>32.611801</v>
      </c>
      <c r="E24" s="1127">
        <v>29.439599999999999</v>
      </c>
      <c r="F24" s="1127">
        <v>32.556099000000003</v>
      </c>
      <c r="G24" s="1127">
        <v>15.392277999999999</v>
      </c>
      <c r="H24" s="1357">
        <f t="shared" si="0"/>
        <v>6.3636336014621486E-2</v>
      </c>
      <c r="I24" s="1351">
        <v>786.15997300000004</v>
      </c>
      <c r="J24" s="146">
        <f t="shared" si="1"/>
        <v>6.1317039194819234E-2</v>
      </c>
      <c r="K24" s="851"/>
      <c r="L24" s="851"/>
    </row>
    <row r="25" spans="2:12">
      <c r="B25" s="145">
        <v>35462</v>
      </c>
      <c r="C25" s="1356">
        <v>32.667400000000001</v>
      </c>
      <c r="D25" s="1127">
        <v>35.227401999999998</v>
      </c>
      <c r="E25" s="1127">
        <v>32.556099000000003</v>
      </c>
      <c r="F25" s="1127">
        <v>35.0047</v>
      </c>
      <c r="G25" s="1127">
        <v>16.549959000000001</v>
      </c>
      <c r="H25" s="1357">
        <f t="shared" si="0"/>
        <v>7.5211744502927003E-2</v>
      </c>
      <c r="I25" s="1351">
        <v>790.82000700000003</v>
      </c>
      <c r="J25" s="146">
        <f t="shared" si="1"/>
        <v>5.927590007180461E-3</v>
      </c>
      <c r="K25" s="851"/>
      <c r="L25" s="851"/>
    </row>
    <row r="26" spans="2:12">
      <c r="B26" s="145">
        <v>35490</v>
      </c>
      <c r="C26" s="1356">
        <v>35.116000999999997</v>
      </c>
      <c r="D26" s="1127">
        <v>39.289901999999998</v>
      </c>
      <c r="E26" s="1127">
        <v>34.837798999999997</v>
      </c>
      <c r="F26" s="1127">
        <v>38.455199999999998</v>
      </c>
      <c r="G26" s="1127">
        <v>18.181328000000001</v>
      </c>
      <c r="H26" s="1357">
        <f t="shared" si="0"/>
        <v>9.8572477410176385E-2</v>
      </c>
      <c r="I26" s="1351">
        <v>757.11999500000002</v>
      </c>
      <c r="J26" s="146">
        <f t="shared" si="1"/>
        <v>-4.2614010396426427E-2</v>
      </c>
      <c r="K26" s="851"/>
      <c r="L26" s="851"/>
    </row>
    <row r="27" spans="2:12">
      <c r="B27" s="145">
        <v>35521</v>
      </c>
      <c r="C27" s="1356">
        <v>37.063899999999997</v>
      </c>
      <c r="D27" s="1127">
        <v>38.121299999999998</v>
      </c>
      <c r="E27" s="1127">
        <v>35.227401999999998</v>
      </c>
      <c r="F27" s="1127">
        <v>36.952499000000003</v>
      </c>
      <c r="G27" s="1127">
        <v>17.470863000000001</v>
      </c>
      <c r="H27" s="1357">
        <f t="shared" si="0"/>
        <v>-3.90766658345294E-2</v>
      </c>
      <c r="I27" s="1351">
        <v>801.34002699999996</v>
      </c>
      <c r="J27" s="146">
        <f t="shared" si="1"/>
        <v>5.8405579422057041E-2</v>
      </c>
      <c r="K27" s="851"/>
      <c r="L27" s="851"/>
    </row>
    <row r="28" spans="2:12">
      <c r="B28" s="145">
        <v>35551</v>
      </c>
      <c r="C28" s="1356">
        <v>36.896900000000002</v>
      </c>
      <c r="D28" s="1127">
        <v>42.239398999999999</v>
      </c>
      <c r="E28" s="1127">
        <v>36.618698000000002</v>
      </c>
      <c r="F28" s="1127">
        <v>39.568100000000001</v>
      </c>
      <c r="G28" s="1127">
        <v>18.7075</v>
      </c>
      <c r="H28" s="1357">
        <f t="shared" si="0"/>
        <v>7.0782790630749881E-2</v>
      </c>
      <c r="I28" s="1351">
        <v>848.28002900000001</v>
      </c>
      <c r="J28" s="146">
        <f t="shared" si="1"/>
        <v>5.8576884241924976E-2</v>
      </c>
      <c r="K28" s="851"/>
      <c r="L28" s="851"/>
    </row>
    <row r="29" spans="2:12">
      <c r="B29" s="145">
        <v>35582</v>
      </c>
      <c r="C29" s="1356">
        <v>39.902099999999997</v>
      </c>
      <c r="D29" s="1127">
        <v>43.964699000000003</v>
      </c>
      <c r="E29" s="1127">
        <v>39.902099999999997</v>
      </c>
      <c r="F29" s="1127">
        <v>41.738602</v>
      </c>
      <c r="G29" s="1127">
        <v>19.733695999999998</v>
      </c>
      <c r="H29" s="1357">
        <f t="shared" si="0"/>
        <v>5.4854845190949186E-2</v>
      </c>
      <c r="I29" s="1351">
        <v>885.14001499999995</v>
      </c>
      <c r="J29" s="146">
        <f t="shared" si="1"/>
        <v>4.3452615574897546E-2</v>
      </c>
      <c r="K29" s="851"/>
      <c r="L29" s="851"/>
    </row>
    <row r="30" spans="2:12">
      <c r="B30" s="145">
        <v>35612</v>
      </c>
      <c r="C30" s="1356">
        <v>42.239398999999999</v>
      </c>
      <c r="D30" s="1127">
        <v>47.637599999999999</v>
      </c>
      <c r="E30" s="1127">
        <v>41.849800000000002</v>
      </c>
      <c r="F30" s="1127">
        <v>45.355998999999997</v>
      </c>
      <c r="G30" s="1127">
        <v>23.642309000000001</v>
      </c>
      <c r="H30" s="1357">
        <f t="shared" si="0"/>
        <v>8.6667900376730334E-2</v>
      </c>
      <c r="I30" s="1351">
        <v>954.30999799999995</v>
      </c>
      <c r="J30" s="146">
        <f t="shared" si="1"/>
        <v>7.8145809507889075E-2</v>
      </c>
      <c r="K30" s="851"/>
      <c r="L30" s="851"/>
    </row>
    <row r="31" spans="2:12">
      <c r="B31" s="145">
        <v>35643</v>
      </c>
      <c r="C31" s="1356">
        <v>45.021999000000001</v>
      </c>
      <c r="D31" s="1127">
        <v>47.860199000000001</v>
      </c>
      <c r="E31" s="1127">
        <v>38.343800000000002</v>
      </c>
      <c r="F31" s="1127">
        <v>39.790798000000002</v>
      </c>
      <c r="G31" s="1127">
        <v>20.741388000000001</v>
      </c>
      <c r="H31" s="1357">
        <f t="shared" si="0"/>
        <v>-0.12270043925170726</v>
      </c>
      <c r="I31" s="1351">
        <v>899.46997099999999</v>
      </c>
      <c r="J31" s="146">
        <f t="shared" si="1"/>
        <v>-5.7465631833399256E-2</v>
      </c>
      <c r="K31" s="851"/>
      <c r="L31" s="851"/>
    </row>
    <row r="32" spans="2:12">
      <c r="B32" s="145">
        <v>35674</v>
      </c>
      <c r="C32" s="1356">
        <v>39.957802000000001</v>
      </c>
      <c r="D32" s="1127">
        <v>45.021999000000001</v>
      </c>
      <c r="E32" s="1127">
        <v>39.122897999999999</v>
      </c>
      <c r="F32" s="1127">
        <v>43.742001000000002</v>
      </c>
      <c r="G32" s="1127">
        <v>22.800995</v>
      </c>
      <c r="H32" s="1357">
        <f t="shared" si="0"/>
        <v>9.9299415910180988E-2</v>
      </c>
      <c r="I32" s="1351">
        <v>947.28002900000001</v>
      </c>
      <c r="J32" s="146">
        <f t="shared" si="1"/>
        <v>5.3153589937912527E-2</v>
      </c>
      <c r="K32" s="851"/>
      <c r="L32" s="851"/>
    </row>
    <row r="33" spans="2:12">
      <c r="B33" s="145">
        <v>35704</v>
      </c>
      <c r="C33" s="1356">
        <v>44.075901000000002</v>
      </c>
      <c r="D33" s="1127">
        <v>49.641101999999997</v>
      </c>
      <c r="E33" s="1127">
        <v>39.735100000000003</v>
      </c>
      <c r="F33" s="1127">
        <v>43.908999999999999</v>
      </c>
      <c r="G33" s="1127">
        <v>22.888045999999999</v>
      </c>
      <c r="H33" s="1357">
        <f t="shared" si="0"/>
        <v>3.8178180280321605E-3</v>
      </c>
      <c r="I33" s="1351">
        <v>914.61999500000002</v>
      </c>
      <c r="J33" s="146">
        <f t="shared" si="1"/>
        <v>-3.4477697196337753E-2</v>
      </c>
      <c r="K33" s="851"/>
      <c r="L33" s="851"/>
    </row>
    <row r="34" spans="2:12">
      <c r="B34" s="145">
        <v>35735</v>
      </c>
      <c r="C34" s="1356">
        <v>44.521099</v>
      </c>
      <c r="D34" s="1127">
        <v>47.248001000000002</v>
      </c>
      <c r="E34" s="1127">
        <v>44.131599000000001</v>
      </c>
      <c r="F34" s="1127">
        <v>46.4133</v>
      </c>
      <c r="G34" s="1127">
        <v>24.193439000000001</v>
      </c>
      <c r="H34" s="1357">
        <f t="shared" si="0"/>
        <v>5.7033865494545477E-2</v>
      </c>
      <c r="I34" s="1351">
        <v>955.40002400000003</v>
      </c>
      <c r="J34" s="146">
        <f t="shared" si="1"/>
        <v>4.4586854893763794E-2</v>
      </c>
      <c r="K34" s="851"/>
      <c r="L34" s="851"/>
    </row>
    <row r="35" spans="2:12">
      <c r="B35" s="145">
        <v>35765</v>
      </c>
      <c r="C35" s="1356">
        <v>46.914200000000001</v>
      </c>
      <c r="D35" s="1127">
        <v>53.202801000000001</v>
      </c>
      <c r="E35" s="1127">
        <v>46.747199999999999</v>
      </c>
      <c r="F35" s="1127">
        <v>50.308898999999997</v>
      </c>
      <c r="G35" s="1127">
        <v>26.224060000000001</v>
      </c>
      <c r="H35" s="1357">
        <f t="shared" si="0"/>
        <v>8.3932816671083543E-2</v>
      </c>
      <c r="I35" s="1351">
        <v>970.42999299999997</v>
      </c>
      <c r="J35" s="146">
        <f t="shared" si="1"/>
        <v>1.5731597888257953E-2</v>
      </c>
      <c r="K35" s="851"/>
      <c r="L35" s="851"/>
    </row>
    <row r="36" spans="2:12">
      <c r="B36" s="145">
        <v>35796</v>
      </c>
      <c r="C36" s="1356">
        <v>50.809699999999999</v>
      </c>
      <c r="D36" s="1127">
        <v>52.479301</v>
      </c>
      <c r="E36" s="1127">
        <v>47.359402000000003</v>
      </c>
      <c r="F36" s="1127">
        <v>52.368000000000002</v>
      </c>
      <c r="G36" s="1127">
        <v>27.29739</v>
      </c>
      <c r="H36" s="1357">
        <f t="shared" si="0"/>
        <v>4.0929160465229097E-2</v>
      </c>
      <c r="I36" s="1351">
        <v>980.28002900000001</v>
      </c>
      <c r="J36" s="146">
        <f t="shared" si="1"/>
        <v>1.0150176798997546E-2</v>
      </c>
      <c r="K36" s="851"/>
      <c r="L36" s="851"/>
    </row>
    <row r="37" spans="2:12">
      <c r="B37" s="145">
        <v>35827</v>
      </c>
      <c r="C37" s="1356">
        <v>52.646197999999998</v>
      </c>
      <c r="D37" s="1127">
        <v>60.1036</v>
      </c>
      <c r="E37" s="1127">
        <v>51.310600000000001</v>
      </c>
      <c r="F37" s="1127">
        <v>58.990501000000002</v>
      </c>
      <c r="G37" s="1127">
        <v>30.749442999999999</v>
      </c>
      <c r="H37" s="1357">
        <f t="shared" si="0"/>
        <v>0.1264608348609837</v>
      </c>
      <c r="I37" s="1351">
        <v>1049.339966</v>
      </c>
      <c r="J37" s="146">
        <f t="shared" si="1"/>
        <v>7.0449193043797154E-2</v>
      </c>
      <c r="K37" s="851"/>
      <c r="L37" s="851"/>
    </row>
    <row r="38" spans="2:12">
      <c r="B38" s="145">
        <v>35855</v>
      </c>
      <c r="C38" s="1356">
        <v>59.880901000000001</v>
      </c>
      <c r="D38" s="1127">
        <v>68.339995999999999</v>
      </c>
      <c r="E38" s="1127">
        <v>57.098399999999998</v>
      </c>
      <c r="F38" s="1127">
        <v>67.672095999999996</v>
      </c>
      <c r="G38" s="1127">
        <v>35.274822</v>
      </c>
      <c r="H38" s="1357">
        <f t="shared" si="0"/>
        <v>0.14716937223503135</v>
      </c>
      <c r="I38" s="1351">
        <v>1101.75</v>
      </c>
      <c r="J38" s="146">
        <f t="shared" si="1"/>
        <v>4.9945714161429455E-2</v>
      </c>
      <c r="K38" s="851"/>
      <c r="L38" s="851"/>
    </row>
    <row r="39" spans="2:12">
      <c r="B39" s="145">
        <v>35886</v>
      </c>
      <c r="C39" s="1356">
        <v>67.672095999999996</v>
      </c>
      <c r="D39" s="1127">
        <v>76.799003999999996</v>
      </c>
      <c r="E39" s="1127">
        <v>67.226898000000006</v>
      </c>
      <c r="F39" s="1127">
        <v>73.459900000000005</v>
      </c>
      <c r="G39" s="1127">
        <v>38.291770999999997</v>
      </c>
      <c r="H39" s="1357">
        <f t="shared" si="0"/>
        <v>8.5527186862957683E-2</v>
      </c>
      <c r="I39" s="1351">
        <v>1111.75</v>
      </c>
      <c r="J39" s="146">
        <f t="shared" si="1"/>
        <v>9.0764692534603952E-3</v>
      </c>
      <c r="K39" s="851"/>
      <c r="L39" s="851"/>
    </row>
    <row r="40" spans="2:12">
      <c r="B40" s="145">
        <v>35916</v>
      </c>
      <c r="C40" s="1356">
        <v>73.459900000000005</v>
      </c>
      <c r="D40" s="1127">
        <v>74.906799000000007</v>
      </c>
      <c r="E40" s="1127">
        <v>71.679001</v>
      </c>
      <c r="F40" s="1127">
        <v>72.569503999999995</v>
      </c>
      <c r="G40" s="1127">
        <v>37.827643999999999</v>
      </c>
      <c r="H40" s="1357">
        <f t="shared" si="0"/>
        <v>-1.2120844161236377E-2</v>
      </c>
      <c r="I40" s="1351">
        <v>1090.8199460000001</v>
      </c>
      <c r="J40" s="146">
        <f t="shared" si="1"/>
        <v>-1.8826223521475116E-2</v>
      </c>
      <c r="K40" s="851"/>
      <c r="L40" s="851"/>
    </row>
    <row r="41" spans="2:12">
      <c r="B41" s="145">
        <v>35947</v>
      </c>
      <c r="C41" s="1356">
        <v>72.458198999999993</v>
      </c>
      <c r="D41" s="1127">
        <v>76.242500000000007</v>
      </c>
      <c r="E41" s="1127">
        <v>71.790397999999996</v>
      </c>
      <c r="F41" s="1127">
        <v>75.129501000000005</v>
      </c>
      <c r="G41" s="1127">
        <v>39.162075000000002</v>
      </c>
      <c r="H41" s="1357">
        <f t="shared" si="0"/>
        <v>3.5276484733862912E-2</v>
      </c>
      <c r="I41" s="1351">
        <v>1133.839966</v>
      </c>
      <c r="J41" s="146">
        <f t="shared" si="1"/>
        <v>3.9438241075214098E-2</v>
      </c>
      <c r="K41" s="851"/>
      <c r="L41" s="851"/>
    </row>
    <row r="42" spans="2:12">
      <c r="B42" s="145">
        <v>35977</v>
      </c>
      <c r="C42" s="1356">
        <v>75.685897999999995</v>
      </c>
      <c r="D42" s="1127">
        <v>85.703201000000007</v>
      </c>
      <c r="E42" s="1127">
        <v>75.574698999999995</v>
      </c>
      <c r="F42" s="1127">
        <v>83.922400999999994</v>
      </c>
      <c r="G42" s="1127">
        <v>46.899414</v>
      </c>
      <c r="H42" s="1357">
        <f t="shared" si="0"/>
        <v>0.11703658194135991</v>
      </c>
      <c r="I42" s="1351">
        <v>1120.670044</v>
      </c>
      <c r="J42" s="146">
        <f t="shared" si="1"/>
        <v>-1.161532702578949E-2</v>
      </c>
      <c r="K42" s="851"/>
      <c r="L42" s="851"/>
    </row>
    <row r="43" spans="2:12">
      <c r="B43" s="145">
        <v>36008</v>
      </c>
      <c r="C43" s="1356">
        <v>83.031897999999998</v>
      </c>
      <c r="D43" s="1127">
        <v>83.143303000000003</v>
      </c>
      <c r="E43" s="1127">
        <v>50.865397999999999</v>
      </c>
      <c r="F43" s="1127">
        <v>56.430599000000001</v>
      </c>
      <c r="G43" s="1127">
        <v>31.535826</v>
      </c>
      <c r="H43" s="1357">
        <f t="shared" si="0"/>
        <v>-0.32758598029148378</v>
      </c>
      <c r="I43" s="1351">
        <v>957.28002900000001</v>
      </c>
      <c r="J43" s="146">
        <f t="shared" si="1"/>
        <v>-0.14579671855670651</v>
      </c>
      <c r="K43" s="851"/>
      <c r="L43" s="851"/>
    </row>
    <row r="44" spans="2:12">
      <c r="B44" s="145">
        <v>36039</v>
      </c>
      <c r="C44" s="1356">
        <v>54.761001999999998</v>
      </c>
      <c r="D44" s="1127">
        <v>56.541901000000003</v>
      </c>
      <c r="E44" s="1127">
        <v>34.058700999999999</v>
      </c>
      <c r="F44" s="1127">
        <v>34.058700999999999</v>
      </c>
      <c r="G44" s="1127">
        <v>19.033453000000002</v>
      </c>
      <c r="H44" s="1357">
        <f t="shared" si="0"/>
        <v>-0.39644977009724813</v>
      </c>
      <c r="I44" s="1351">
        <v>1017.01001</v>
      </c>
      <c r="J44" s="146">
        <f t="shared" si="1"/>
        <v>6.2395515617718944E-2</v>
      </c>
      <c r="K44" s="851"/>
      <c r="L44" s="851"/>
    </row>
    <row r="45" spans="2:12">
      <c r="B45" s="145">
        <v>36069</v>
      </c>
      <c r="C45" s="1356">
        <v>33.390900000000002</v>
      </c>
      <c r="D45" s="1127">
        <v>46.635899000000002</v>
      </c>
      <c r="E45" s="1127">
        <v>30.719601000000001</v>
      </c>
      <c r="F45" s="1127">
        <v>46.357601000000003</v>
      </c>
      <c r="G45" s="1127">
        <v>25.906603</v>
      </c>
      <c r="H45" s="1357">
        <f t="shared" si="0"/>
        <v>0.36110889842804061</v>
      </c>
      <c r="I45" s="1351">
        <v>1098.670044</v>
      </c>
      <c r="J45" s="146">
        <f t="shared" si="1"/>
        <v>8.0294228372442378E-2</v>
      </c>
      <c r="K45" s="851"/>
      <c r="L45" s="851"/>
    </row>
    <row r="46" spans="2:12">
      <c r="B46" s="145">
        <v>36100</v>
      </c>
      <c r="C46" s="1356">
        <v>46.691600999999999</v>
      </c>
      <c r="D46" s="1127">
        <v>56.987099000000001</v>
      </c>
      <c r="E46" s="1127">
        <v>43.408099999999997</v>
      </c>
      <c r="F46" s="1127">
        <v>53.425400000000003</v>
      </c>
      <c r="G46" s="1127">
        <v>29.856390000000001</v>
      </c>
      <c r="H46" s="1357">
        <f t="shared" si="0"/>
        <v>0.15246257026976018</v>
      </c>
      <c r="I46" s="1351">
        <v>1163.630005</v>
      </c>
      <c r="J46" s="146">
        <f t="shared" si="1"/>
        <v>5.9125996339625342E-2</v>
      </c>
      <c r="K46" s="851"/>
      <c r="L46" s="851"/>
    </row>
    <row r="47" spans="2:12">
      <c r="B47" s="145">
        <v>36130</v>
      </c>
      <c r="C47" s="1356">
        <v>52.312302000000003</v>
      </c>
      <c r="D47" s="1127">
        <v>52.534999999999997</v>
      </c>
      <c r="E47" s="1127">
        <v>42.295101000000003</v>
      </c>
      <c r="F47" s="1127">
        <v>47.860199000000001</v>
      </c>
      <c r="G47" s="1127">
        <v>26.746317000000001</v>
      </c>
      <c r="H47" s="1357">
        <f t="shared" si="0"/>
        <v>-0.10416769925915392</v>
      </c>
      <c r="I47" s="1351">
        <v>1229.2299800000001</v>
      </c>
      <c r="J47" s="146">
        <f t="shared" si="1"/>
        <v>5.6375286575735872E-2</v>
      </c>
      <c r="K47" s="851"/>
      <c r="L47" s="851"/>
    </row>
    <row r="48" spans="2:12">
      <c r="B48" s="145">
        <v>36161</v>
      </c>
      <c r="C48" s="1356">
        <v>47.860199000000001</v>
      </c>
      <c r="D48" s="1127">
        <v>55.039299</v>
      </c>
      <c r="E48" s="1127">
        <v>45.8568</v>
      </c>
      <c r="F48" s="1127">
        <v>50.308898999999997</v>
      </c>
      <c r="G48" s="1127">
        <v>28.114757999999998</v>
      </c>
      <c r="H48" s="1357">
        <f t="shared" si="0"/>
        <v>5.116359837952178E-2</v>
      </c>
      <c r="I48" s="1351">
        <v>1279.6400149999999</v>
      </c>
      <c r="J48" s="146">
        <f t="shared" si="1"/>
        <v>4.1009441536725255E-2</v>
      </c>
      <c r="K48" s="851"/>
      <c r="L48" s="851"/>
    </row>
    <row r="49" spans="2:12">
      <c r="B49" s="145">
        <v>36192</v>
      </c>
      <c r="C49" s="1356">
        <v>51.254902000000001</v>
      </c>
      <c r="D49" s="1127">
        <v>52.089801999999999</v>
      </c>
      <c r="E49" s="1127">
        <v>46.969799000000002</v>
      </c>
      <c r="F49" s="1127">
        <v>50.086300000000001</v>
      </c>
      <c r="G49" s="1127">
        <v>27.990359999999999</v>
      </c>
      <c r="H49" s="1357">
        <f t="shared" si="0"/>
        <v>-4.4246446339443191E-3</v>
      </c>
      <c r="I49" s="1351">
        <v>1238.329956</v>
      </c>
      <c r="J49" s="146">
        <f t="shared" si="1"/>
        <v>-3.2282562686194116E-2</v>
      </c>
      <c r="K49" s="851"/>
      <c r="L49" s="851"/>
    </row>
    <row r="50" spans="2:12">
      <c r="B50" s="145">
        <v>36220</v>
      </c>
      <c r="C50" s="1356">
        <v>50.698501999999998</v>
      </c>
      <c r="D50" s="1127">
        <v>61.995700999999997</v>
      </c>
      <c r="E50" s="1127">
        <v>49.529800000000002</v>
      </c>
      <c r="F50" s="1127">
        <v>61.439200999999997</v>
      </c>
      <c r="G50" s="1127">
        <v>34.334842999999999</v>
      </c>
      <c r="H50" s="1357">
        <f t="shared" si="0"/>
        <v>0.2266667931150832</v>
      </c>
      <c r="I50" s="1351">
        <v>1286.369995</v>
      </c>
      <c r="J50" s="146">
        <f t="shared" si="1"/>
        <v>3.8794215360158812E-2</v>
      </c>
      <c r="K50" s="851"/>
      <c r="L50" s="851"/>
    </row>
    <row r="51" spans="2:12">
      <c r="B51" s="145">
        <v>36251</v>
      </c>
      <c r="C51" s="1356">
        <v>60.660099000000002</v>
      </c>
      <c r="D51" s="1127">
        <v>67.449600000000004</v>
      </c>
      <c r="E51" s="1127">
        <v>60.548800999999997</v>
      </c>
      <c r="F51" s="1127">
        <v>67.338302999999996</v>
      </c>
      <c r="G51" s="1127">
        <v>37.631512000000001</v>
      </c>
      <c r="H51" s="1357">
        <f t="shared" si="0"/>
        <v>9.6015278584107966E-2</v>
      </c>
      <c r="I51" s="1351">
        <v>1335.1800539999999</v>
      </c>
      <c r="J51" s="146">
        <f t="shared" si="1"/>
        <v>3.7944027915545409E-2</v>
      </c>
      <c r="K51" s="851"/>
      <c r="L51" s="851"/>
    </row>
    <row r="52" spans="2:12">
      <c r="B52" s="145">
        <v>36281</v>
      </c>
      <c r="C52" s="1356">
        <v>67.226898000000006</v>
      </c>
      <c r="D52" s="1127">
        <v>69.453002999999995</v>
      </c>
      <c r="E52" s="1127">
        <v>56.987099000000001</v>
      </c>
      <c r="F52" s="1127">
        <v>61.3279</v>
      </c>
      <c r="G52" s="1127">
        <v>34.272644</v>
      </c>
      <c r="H52" s="1357">
        <f t="shared" si="0"/>
        <v>-8.9256823118931239E-2</v>
      </c>
      <c r="I52" s="1351">
        <v>1301.839966</v>
      </c>
      <c r="J52" s="146">
        <f t="shared" si="1"/>
        <v>-2.4970480872686829E-2</v>
      </c>
      <c r="K52" s="851"/>
      <c r="L52" s="851"/>
    </row>
    <row r="53" spans="2:12">
      <c r="B53" s="145">
        <v>36312</v>
      </c>
      <c r="C53" s="1356">
        <v>61.773102000000002</v>
      </c>
      <c r="D53" s="1127">
        <v>63.999099999999999</v>
      </c>
      <c r="E53" s="1127">
        <v>59.547001000000002</v>
      </c>
      <c r="F53" s="1127">
        <v>59.880901000000001</v>
      </c>
      <c r="G53" s="1127">
        <v>33.463996999999999</v>
      </c>
      <c r="H53" s="1357">
        <f t="shared" si="0"/>
        <v>-2.3594465161859368E-2</v>
      </c>
      <c r="I53" s="1351">
        <v>1372.709961</v>
      </c>
      <c r="J53" s="146">
        <f t="shared" si="1"/>
        <v>5.4438331016794184E-2</v>
      </c>
      <c r="K53" s="851"/>
      <c r="L53" s="851"/>
    </row>
    <row r="54" spans="2:12">
      <c r="B54" s="145">
        <v>36342</v>
      </c>
      <c r="C54" s="1356">
        <v>61.3279</v>
      </c>
      <c r="D54" s="1127">
        <v>66.893096999999997</v>
      </c>
      <c r="E54" s="1127">
        <v>58.990501000000002</v>
      </c>
      <c r="F54" s="1127">
        <v>62.774799000000002</v>
      </c>
      <c r="G54" s="1127">
        <v>38.176907</v>
      </c>
      <c r="H54" s="1357">
        <f t="shared" si="0"/>
        <v>4.8327562739912677E-2</v>
      </c>
      <c r="I54" s="1351">
        <v>1328.719971</v>
      </c>
      <c r="J54" s="146">
        <f t="shared" si="1"/>
        <v>-3.2046092218893762E-2</v>
      </c>
      <c r="K54" s="851"/>
      <c r="L54" s="851"/>
    </row>
    <row r="55" spans="2:12">
      <c r="B55" s="145">
        <v>36373</v>
      </c>
      <c r="C55" s="1356">
        <v>62.218299999999999</v>
      </c>
      <c r="D55" s="1127">
        <v>67.449600000000004</v>
      </c>
      <c r="E55" s="1127">
        <v>55.540100000000002</v>
      </c>
      <c r="F55" s="1127">
        <v>63.665199000000001</v>
      </c>
      <c r="G55" s="1127">
        <v>38.718406999999999</v>
      </c>
      <c r="H55" s="1357">
        <f t="shared" si="0"/>
        <v>1.418403585808381E-2</v>
      </c>
      <c r="I55" s="1351">
        <v>1320.410034</v>
      </c>
      <c r="J55" s="146">
        <f t="shared" si="1"/>
        <v>-6.2540920445004478E-3</v>
      </c>
      <c r="K55" s="851"/>
      <c r="L55" s="851"/>
    </row>
    <row r="56" spans="2:12">
      <c r="B56" s="145">
        <v>36404</v>
      </c>
      <c r="C56" s="1356">
        <v>64.110496999999995</v>
      </c>
      <c r="D56" s="1127">
        <v>67.004401999999999</v>
      </c>
      <c r="E56" s="1127">
        <v>58.545299999999997</v>
      </c>
      <c r="F56" s="1127">
        <v>61.216498999999999</v>
      </c>
      <c r="G56" s="1127">
        <v>37.229210000000002</v>
      </c>
      <c r="H56" s="1357">
        <f t="shared" si="0"/>
        <v>-3.8462143187520725E-2</v>
      </c>
      <c r="I56" s="1351">
        <v>1282.709961</v>
      </c>
      <c r="J56" s="146">
        <f t="shared" si="1"/>
        <v>-2.8551792268491583E-2</v>
      </c>
      <c r="K56" s="851"/>
      <c r="L56" s="851"/>
    </row>
    <row r="57" spans="2:12">
      <c r="B57" s="145">
        <v>36434</v>
      </c>
      <c r="C57" s="1356">
        <v>61.661799999999999</v>
      </c>
      <c r="D57" s="1127">
        <v>65.891295999999997</v>
      </c>
      <c r="E57" s="1127">
        <v>56.096699000000001</v>
      </c>
      <c r="F57" s="1127">
        <v>65.223502999999994</v>
      </c>
      <c r="G57" s="1127">
        <v>39.666103</v>
      </c>
      <c r="H57" s="1357">
        <f t="shared" si="0"/>
        <v>6.5456275113021434E-2</v>
      </c>
      <c r="I57" s="1351">
        <v>1362.9300539999999</v>
      </c>
      <c r="J57" s="146">
        <f t="shared" si="1"/>
        <v>6.2539541625965311E-2</v>
      </c>
      <c r="K57" s="851"/>
      <c r="L57" s="851"/>
    </row>
    <row r="58" spans="2:12">
      <c r="B58" s="145">
        <v>36465</v>
      </c>
      <c r="C58" s="1356">
        <v>64.889503000000005</v>
      </c>
      <c r="D58" s="1127">
        <v>67.560799000000003</v>
      </c>
      <c r="E58" s="1127">
        <v>64.333099000000004</v>
      </c>
      <c r="F58" s="1127">
        <v>66.225196999999994</v>
      </c>
      <c r="G58" s="1127">
        <v>40.275288000000003</v>
      </c>
      <c r="H58" s="1357">
        <f t="shared" si="0"/>
        <v>1.535786877316303E-2</v>
      </c>
      <c r="I58" s="1351">
        <v>1388.910034</v>
      </c>
      <c r="J58" s="146">
        <f t="shared" si="1"/>
        <v>1.906185862124965E-2</v>
      </c>
      <c r="K58" s="851"/>
      <c r="L58" s="851"/>
    </row>
    <row r="59" spans="2:12">
      <c r="B59" s="145">
        <v>36495</v>
      </c>
      <c r="C59" s="1356">
        <v>66.113997999999995</v>
      </c>
      <c r="D59" s="1127">
        <v>70.788596999999996</v>
      </c>
      <c r="E59" s="1127">
        <v>66.002601999999996</v>
      </c>
      <c r="F59" s="1127">
        <v>70.454696999999996</v>
      </c>
      <c r="G59" s="1127">
        <v>42.847484999999999</v>
      </c>
      <c r="H59" s="1357">
        <f t="shared" si="0"/>
        <v>6.3865419683085234E-2</v>
      </c>
      <c r="I59" s="1351">
        <v>1469.25</v>
      </c>
      <c r="J59" s="146">
        <f t="shared" si="1"/>
        <v>5.7843894876779434E-2</v>
      </c>
      <c r="K59" s="851"/>
      <c r="L59" s="851"/>
    </row>
    <row r="60" spans="2:12">
      <c r="B60" s="145">
        <v>36526</v>
      </c>
      <c r="C60" s="1356">
        <v>69.453002999999995</v>
      </c>
      <c r="D60" s="1127">
        <v>69.564301</v>
      </c>
      <c r="E60" s="1127">
        <v>62.663502000000001</v>
      </c>
      <c r="F60" s="1127">
        <v>63.108699999999999</v>
      </c>
      <c r="G60" s="1127">
        <v>38.379970999999998</v>
      </c>
      <c r="H60" s="1357">
        <f t="shared" si="0"/>
        <v>-0.10426553959915541</v>
      </c>
      <c r="I60" s="1351">
        <v>1394.459961</v>
      </c>
      <c r="J60" s="146">
        <f t="shared" si="1"/>
        <v>-5.0903548749361871E-2</v>
      </c>
      <c r="K60" s="851"/>
      <c r="L60" s="851"/>
    </row>
    <row r="61" spans="2:12">
      <c r="B61" s="145">
        <v>36557</v>
      </c>
      <c r="C61" s="1356">
        <v>64.110496999999995</v>
      </c>
      <c r="D61" s="1127">
        <v>67.560799000000003</v>
      </c>
      <c r="E61" s="1127">
        <v>58.767899</v>
      </c>
      <c r="F61" s="1127">
        <v>59.101799</v>
      </c>
      <c r="G61" s="1127">
        <v>35.943150000000003</v>
      </c>
      <c r="H61" s="1357">
        <f t="shared" si="0"/>
        <v>-6.3492054185872893E-2</v>
      </c>
      <c r="I61" s="1351">
        <v>1366.420044</v>
      </c>
      <c r="J61" s="146">
        <f t="shared" si="1"/>
        <v>-2.0108083261058285E-2</v>
      </c>
      <c r="K61" s="851"/>
      <c r="L61" s="851"/>
    </row>
    <row r="62" spans="2:12">
      <c r="B62" s="145">
        <v>36586</v>
      </c>
      <c r="C62" s="1356">
        <v>59.324500999999998</v>
      </c>
      <c r="D62" s="1127">
        <v>74.239097999999998</v>
      </c>
      <c r="E62" s="1127">
        <v>58.990501000000002</v>
      </c>
      <c r="F62" s="1127">
        <v>73.682502999999997</v>
      </c>
      <c r="G62" s="1127">
        <v>44.810493000000001</v>
      </c>
      <c r="H62" s="1357">
        <f t="shared" si="0"/>
        <v>0.24670490994698824</v>
      </c>
      <c r="I62" s="1351">
        <v>1498.579956</v>
      </c>
      <c r="J62" s="146">
        <f t="shared" si="1"/>
        <v>9.6719828269732355E-2</v>
      </c>
      <c r="K62" s="851"/>
      <c r="L62" s="851"/>
    </row>
    <row r="63" spans="2:12">
      <c r="B63" s="145">
        <v>36617</v>
      </c>
      <c r="C63" s="1356">
        <v>73.682502999999997</v>
      </c>
      <c r="D63" s="1127">
        <v>75.351996999999997</v>
      </c>
      <c r="E63" s="1127">
        <v>67.338302999999996</v>
      </c>
      <c r="F63" s="1127">
        <v>69.341697999999994</v>
      </c>
      <c r="G63" s="1127">
        <v>42.170608999999999</v>
      </c>
      <c r="H63" s="1357">
        <f t="shared" si="0"/>
        <v>-5.8912290208165241E-2</v>
      </c>
      <c r="I63" s="1351">
        <v>1452.4300539999999</v>
      </c>
      <c r="J63" s="146">
        <f t="shared" si="1"/>
        <v>-3.079575555193137E-2</v>
      </c>
      <c r="K63" s="851"/>
      <c r="L63" s="851"/>
    </row>
    <row r="64" spans="2:12">
      <c r="B64" s="145">
        <v>36647</v>
      </c>
      <c r="C64" s="1356">
        <v>70.009499000000005</v>
      </c>
      <c r="D64" s="1127">
        <v>76.131103999999993</v>
      </c>
      <c r="E64" s="1127">
        <v>69.341697999999994</v>
      </c>
      <c r="F64" s="1127">
        <v>70.120795999999999</v>
      </c>
      <c r="G64" s="1127">
        <v>42.644416999999997</v>
      </c>
      <c r="H64" s="1357">
        <f t="shared" si="0"/>
        <v>1.1235634870089273E-2</v>
      </c>
      <c r="I64" s="1351">
        <v>1420.599976</v>
      </c>
      <c r="J64" s="146">
        <f t="shared" si="1"/>
        <v>-2.1915050512993584E-2</v>
      </c>
      <c r="K64" s="851"/>
      <c r="L64" s="851"/>
    </row>
    <row r="65" spans="2:12">
      <c r="B65" s="145">
        <v>36678</v>
      </c>
      <c r="C65" s="1356">
        <v>69.898201</v>
      </c>
      <c r="D65" s="1127">
        <v>74.461601000000002</v>
      </c>
      <c r="E65" s="1127">
        <v>69.119101999999998</v>
      </c>
      <c r="F65" s="1127">
        <v>72.235602999999998</v>
      </c>
      <c r="G65" s="1127">
        <v>43.930557</v>
      </c>
      <c r="H65" s="1357">
        <f t="shared" si="0"/>
        <v>3.0159483643054985E-2</v>
      </c>
      <c r="I65" s="1351">
        <v>1454.599976</v>
      </c>
      <c r="J65" s="146">
        <f t="shared" si="1"/>
        <v>2.3933549608901261E-2</v>
      </c>
      <c r="K65" s="851"/>
      <c r="L65" s="851"/>
    </row>
    <row r="66" spans="2:12">
      <c r="B66" s="145">
        <v>36708</v>
      </c>
      <c r="C66" s="1356">
        <v>72.124199000000004</v>
      </c>
      <c r="D66" s="1127">
        <v>81.473701000000005</v>
      </c>
      <c r="E66" s="1127">
        <v>71.567802</v>
      </c>
      <c r="F66" s="1127">
        <v>79.804100000000005</v>
      </c>
      <c r="G66" s="1127">
        <v>53.915657000000003</v>
      </c>
      <c r="H66" s="1357">
        <f t="shared" si="0"/>
        <v>0.10477516191011804</v>
      </c>
      <c r="I66" s="1351">
        <v>1430.829956</v>
      </c>
      <c r="J66" s="146">
        <f t="shared" si="1"/>
        <v>-1.6341276221772727E-2</v>
      </c>
      <c r="K66" s="851"/>
      <c r="L66" s="851"/>
    </row>
    <row r="67" spans="2:12">
      <c r="B67" s="145">
        <v>36739</v>
      </c>
      <c r="C67" s="1356">
        <v>79.804100000000005</v>
      </c>
      <c r="D67" s="1127">
        <v>86.927597000000006</v>
      </c>
      <c r="E67" s="1127">
        <v>79.581596000000005</v>
      </c>
      <c r="F67" s="1127">
        <v>81.028503000000001</v>
      </c>
      <c r="G67" s="1127">
        <v>54.742863</v>
      </c>
      <c r="H67" s="1357">
        <f t="shared" si="0"/>
        <v>1.534260771063134E-2</v>
      </c>
      <c r="I67" s="1351">
        <v>1517.6800539999999</v>
      </c>
      <c r="J67" s="146">
        <f t="shared" si="1"/>
        <v>6.0699105184236046E-2</v>
      </c>
      <c r="K67" s="851"/>
      <c r="L67" s="851"/>
    </row>
    <row r="68" spans="2:12">
      <c r="B68" s="145">
        <v>36770</v>
      </c>
      <c r="C68" s="1356">
        <v>81.028503000000001</v>
      </c>
      <c r="D68" s="1127">
        <v>84.590202000000005</v>
      </c>
      <c r="E68" s="1127">
        <v>71.679001</v>
      </c>
      <c r="F68" s="1127">
        <v>71.901702999999998</v>
      </c>
      <c r="G68" s="1127">
        <v>48.576796999999999</v>
      </c>
      <c r="H68" s="1357">
        <f t="shared" si="0"/>
        <v>-0.11263690753363664</v>
      </c>
      <c r="I68" s="1351">
        <v>1436.51001</v>
      </c>
      <c r="J68" s="146">
        <f t="shared" si="1"/>
        <v>-5.3482974745611256E-2</v>
      </c>
      <c r="K68" s="851"/>
      <c r="L68" s="851"/>
    </row>
    <row r="69" spans="2:12">
      <c r="B69" s="145">
        <v>36800</v>
      </c>
      <c r="C69" s="1356">
        <v>72.680801000000002</v>
      </c>
      <c r="D69" s="1127">
        <v>78.357201000000003</v>
      </c>
      <c r="E69" s="1127">
        <v>64.110496999999995</v>
      </c>
      <c r="F69" s="1127">
        <v>75.018203999999997</v>
      </c>
      <c r="G69" s="1127">
        <v>50.682307999999999</v>
      </c>
      <c r="H69" s="1357">
        <f t="shared" ref="H69:H132" si="2">F69/F68-1</f>
        <v>4.3343910783309347E-2</v>
      </c>
      <c r="I69" s="1351">
        <v>1429.400024</v>
      </c>
      <c r="J69" s="146">
        <f t="shared" ref="J69:J132" si="3">I69/I68-1</f>
        <v>-4.9494858723608814E-3</v>
      </c>
      <c r="K69" s="851"/>
      <c r="L69" s="851"/>
    </row>
    <row r="70" spans="2:12">
      <c r="B70" s="145">
        <v>36831</v>
      </c>
      <c r="C70" s="1356">
        <v>75.463402000000002</v>
      </c>
      <c r="D70" s="1127">
        <v>77.244202000000001</v>
      </c>
      <c r="E70" s="1127">
        <v>65.891295999999997</v>
      </c>
      <c r="F70" s="1127">
        <v>67.338302999999996</v>
      </c>
      <c r="G70" s="1127">
        <v>45.493766999999998</v>
      </c>
      <c r="H70" s="1357">
        <f t="shared" si="2"/>
        <v>-0.10237383182353976</v>
      </c>
      <c r="I70" s="1351">
        <v>1314.9499510000001</v>
      </c>
      <c r="J70" s="146">
        <f t="shared" si="3"/>
        <v>-8.0068609961069903E-2</v>
      </c>
      <c r="K70" s="851"/>
      <c r="L70" s="851"/>
    </row>
    <row r="71" spans="2:12">
      <c r="B71" s="145">
        <v>36861</v>
      </c>
      <c r="C71" s="1356">
        <v>67.004401999999999</v>
      </c>
      <c r="D71" s="1127">
        <v>73.793899999999994</v>
      </c>
      <c r="E71" s="1127">
        <v>66.002601999999996</v>
      </c>
      <c r="F71" s="1127">
        <v>68.562599000000006</v>
      </c>
      <c r="G71" s="1127">
        <v>46.320903999999999</v>
      </c>
      <c r="H71" s="1357">
        <f t="shared" si="2"/>
        <v>1.8181271957506961E-2</v>
      </c>
      <c r="I71" s="1351">
        <v>1320.280029</v>
      </c>
      <c r="J71" s="146">
        <f t="shared" si="3"/>
        <v>4.0534455291978411E-3</v>
      </c>
      <c r="K71" s="851"/>
      <c r="L71" s="851"/>
    </row>
    <row r="72" spans="2:12">
      <c r="B72" s="145">
        <v>36892</v>
      </c>
      <c r="C72" s="1356">
        <v>66.781700000000001</v>
      </c>
      <c r="D72" s="1127">
        <v>77.466797</v>
      </c>
      <c r="E72" s="1127">
        <v>65.779999000000004</v>
      </c>
      <c r="F72" s="1127">
        <v>77.466797</v>
      </c>
      <c r="G72" s="1127">
        <v>52.336578000000003</v>
      </c>
      <c r="H72" s="1357">
        <f t="shared" si="2"/>
        <v>0.12986961010623288</v>
      </c>
      <c r="I72" s="1351">
        <v>1366.01001</v>
      </c>
      <c r="J72" s="146">
        <f t="shared" si="3"/>
        <v>3.4636577086329501E-2</v>
      </c>
      <c r="K72" s="851"/>
      <c r="L72" s="851"/>
    </row>
    <row r="73" spans="2:12">
      <c r="B73" s="145">
        <v>36923</v>
      </c>
      <c r="C73" s="1356">
        <v>77.021598999999995</v>
      </c>
      <c r="D73" s="1127">
        <v>77.689400000000006</v>
      </c>
      <c r="E73" s="1127">
        <v>66.781700000000001</v>
      </c>
      <c r="F73" s="1127">
        <v>69.341697999999994</v>
      </c>
      <c r="G73" s="1127">
        <v>46.847256000000002</v>
      </c>
      <c r="H73" s="1357">
        <f t="shared" si="2"/>
        <v>-0.10488492250428283</v>
      </c>
      <c r="I73" s="1351">
        <v>1239.9399410000001</v>
      </c>
      <c r="J73" s="146">
        <f t="shared" si="3"/>
        <v>-9.229073584900005E-2</v>
      </c>
      <c r="K73" s="851"/>
      <c r="L73" s="851"/>
    </row>
    <row r="74" spans="2:12">
      <c r="B74" s="145">
        <v>36951</v>
      </c>
      <c r="C74" s="1356">
        <v>68.562599000000006</v>
      </c>
      <c r="D74" s="1127">
        <v>69.119101999999998</v>
      </c>
      <c r="E74" s="1127">
        <v>60.771301000000001</v>
      </c>
      <c r="F74" s="1127">
        <v>68.005996999999994</v>
      </c>
      <c r="G74" s="1127">
        <v>45.944862000000001</v>
      </c>
      <c r="H74" s="1357">
        <f t="shared" si="2"/>
        <v>-1.9262594348352979E-2</v>
      </c>
      <c r="I74" s="1351">
        <v>1160.329956</v>
      </c>
      <c r="J74" s="146">
        <f t="shared" si="3"/>
        <v>-6.4204710540895493E-2</v>
      </c>
      <c r="K74" s="851"/>
      <c r="L74" s="851"/>
    </row>
    <row r="75" spans="2:12">
      <c r="B75" s="145">
        <v>36982</v>
      </c>
      <c r="C75" s="1356">
        <v>68.005996999999994</v>
      </c>
      <c r="D75" s="1127">
        <v>72.458198999999993</v>
      </c>
      <c r="E75" s="1127">
        <v>63.108699999999999</v>
      </c>
      <c r="F75" s="1127">
        <v>72.013000000000005</v>
      </c>
      <c r="G75" s="1127">
        <v>48.651989</v>
      </c>
      <c r="H75" s="1357">
        <f t="shared" si="2"/>
        <v>5.8921318365496633E-2</v>
      </c>
      <c r="I75" s="1351">
        <v>1249.459961</v>
      </c>
      <c r="J75" s="146">
        <f t="shared" si="3"/>
        <v>7.6814361759009797E-2</v>
      </c>
      <c r="K75" s="851"/>
      <c r="L75" s="851"/>
    </row>
    <row r="76" spans="2:12">
      <c r="B76" s="145">
        <v>37012</v>
      </c>
      <c r="C76" s="1356">
        <v>72.346901000000003</v>
      </c>
      <c r="D76" s="1127">
        <v>74.795501999999999</v>
      </c>
      <c r="E76" s="1127">
        <v>70.454696999999996</v>
      </c>
      <c r="F76" s="1127">
        <v>72.346901000000003</v>
      </c>
      <c r="G76" s="1127">
        <v>48.877575</v>
      </c>
      <c r="H76" s="1357">
        <f t="shared" si="2"/>
        <v>4.6366767111494234E-3</v>
      </c>
      <c r="I76" s="1351">
        <v>1255.8199460000001</v>
      </c>
      <c r="J76" s="146">
        <f t="shared" si="3"/>
        <v>5.0901871196495918E-3</v>
      </c>
      <c r="K76" s="851"/>
      <c r="L76" s="851"/>
    </row>
    <row r="77" spans="2:12">
      <c r="B77" s="145">
        <v>37043</v>
      </c>
      <c r="C77" s="1356">
        <v>72.124199000000004</v>
      </c>
      <c r="D77" s="1127">
        <v>73.237296999999998</v>
      </c>
      <c r="E77" s="1127">
        <v>64.333099000000004</v>
      </c>
      <c r="F77" s="1127">
        <v>65.779999000000004</v>
      </c>
      <c r="G77" s="1127">
        <v>44.440975000000002</v>
      </c>
      <c r="H77" s="1357">
        <f t="shared" si="2"/>
        <v>-9.0769637803836289E-2</v>
      </c>
      <c r="I77" s="1351">
        <v>1224.380005</v>
      </c>
      <c r="J77" s="146">
        <f t="shared" si="3"/>
        <v>-2.5035389109833495E-2</v>
      </c>
      <c r="K77" s="851"/>
      <c r="L77" s="851"/>
    </row>
    <row r="78" spans="2:12">
      <c r="B78" s="145">
        <v>37073</v>
      </c>
      <c r="C78" s="1356">
        <v>65.334800999999999</v>
      </c>
      <c r="D78" s="1127">
        <v>68.117301999999995</v>
      </c>
      <c r="E78" s="1127">
        <v>60.660099000000002</v>
      </c>
      <c r="F78" s="1127">
        <v>65.112198000000006</v>
      </c>
      <c r="G78" s="1127">
        <v>43.989806999999999</v>
      </c>
      <c r="H78" s="1357">
        <f t="shared" si="2"/>
        <v>-1.015203724767455E-2</v>
      </c>
      <c r="I78" s="1351">
        <v>1211.2299800000001</v>
      </c>
      <c r="J78" s="146">
        <f t="shared" si="3"/>
        <v>-1.0740150072934163E-2</v>
      </c>
      <c r="K78" s="851"/>
      <c r="L78" s="851"/>
    </row>
    <row r="79" spans="2:12">
      <c r="B79" s="145">
        <v>37104</v>
      </c>
      <c r="C79" s="1356">
        <v>64.778296999999995</v>
      </c>
      <c r="D79" s="1127">
        <v>67.243896000000007</v>
      </c>
      <c r="E79" s="1127">
        <v>61.216498999999999</v>
      </c>
      <c r="F79" s="1127">
        <v>64.955100999999999</v>
      </c>
      <c r="G79" s="1127">
        <v>43.883671</v>
      </c>
      <c r="H79" s="1357">
        <f t="shared" si="2"/>
        <v>-2.4127122847243943E-3</v>
      </c>
      <c r="I79" s="1351">
        <v>1133.579956</v>
      </c>
      <c r="J79" s="146">
        <f t="shared" si="3"/>
        <v>-6.4108406563714748E-2</v>
      </c>
      <c r="K79" s="851"/>
      <c r="L79" s="851"/>
    </row>
    <row r="80" spans="2:12">
      <c r="B80" s="145">
        <v>37135</v>
      </c>
      <c r="C80" s="1356">
        <v>64.543098000000001</v>
      </c>
      <c r="D80" s="1127">
        <v>65.000900000000001</v>
      </c>
      <c r="E80" s="1127">
        <v>40.053398000000001</v>
      </c>
      <c r="F80" s="1127">
        <v>51.726101</v>
      </c>
      <c r="G80" s="1127">
        <v>34.946167000000003</v>
      </c>
      <c r="H80" s="1357">
        <f t="shared" si="2"/>
        <v>-0.20366375844754669</v>
      </c>
      <c r="I80" s="1351">
        <v>1040.9399410000001</v>
      </c>
      <c r="J80" s="146">
        <f t="shared" si="3"/>
        <v>-8.1723406019716172E-2</v>
      </c>
      <c r="K80" s="851"/>
      <c r="L80" s="851"/>
    </row>
    <row r="81" spans="2:12">
      <c r="B81" s="145">
        <v>37165</v>
      </c>
      <c r="C81" s="1356">
        <v>51.1768</v>
      </c>
      <c r="D81" s="1127">
        <v>56.761299000000001</v>
      </c>
      <c r="E81" s="1127">
        <v>45.317501</v>
      </c>
      <c r="F81" s="1127">
        <v>54.655701000000001</v>
      </c>
      <c r="G81" s="1127">
        <v>36.925395999999999</v>
      </c>
      <c r="H81" s="1357">
        <f t="shared" si="2"/>
        <v>5.6636783816356173E-2</v>
      </c>
      <c r="I81" s="1351">
        <v>1059.780029</v>
      </c>
      <c r="J81" s="146">
        <f t="shared" si="3"/>
        <v>1.809911144527776E-2</v>
      </c>
      <c r="K81" s="851"/>
      <c r="L81" s="851"/>
    </row>
    <row r="82" spans="2:12">
      <c r="B82" s="145">
        <v>37196</v>
      </c>
      <c r="C82" s="1356">
        <v>54.106400000000001</v>
      </c>
      <c r="D82" s="1127">
        <v>65.367103999999998</v>
      </c>
      <c r="E82" s="1127">
        <v>53.831699</v>
      </c>
      <c r="F82" s="1127">
        <v>58.134602000000001</v>
      </c>
      <c r="G82" s="1127">
        <v>39.275748999999998</v>
      </c>
      <c r="H82" s="1357">
        <f t="shared" si="2"/>
        <v>6.3651200814348829E-2</v>
      </c>
      <c r="I82" s="1351">
        <v>1139.4499510000001</v>
      </c>
      <c r="J82" s="146">
        <f t="shared" si="3"/>
        <v>7.5175904263053539E-2</v>
      </c>
      <c r="K82" s="851"/>
      <c r="L82" s="851"/>
    </row>
    <row r="83" spans="2:12">
      <c r="B83" s="145">
        <v>37226</v>
      </c>
      <c r="C83" s="1356">
        <v>57.722599000000002</v>
      </c>
      <c r="D83" s="1127">
        <v>65.550201000000001</v>
      </c>
      <c r="E83" s="1127">
        <v>57.493698000000002</v>
      </c>
      <c r="F83" s="1127">
        <v>64.817802</v>
      </c>
      <c r="G83" s="1127">
        <v>43.790913000000003</v>
      </c>
      <c r="H83" s="1357">
        <f t="shared" si="2"/>
        <v>0.11496079391753633</v>
      </c>
      <c r="I83" s="1351">
        <v>1148.079956</v>
      </c>
      <c r="J83" s="146">
        <f t="shared" si="3"/>
        <v>7.5738341929156849E-3</v>
      </c>
      <c r="K83" s="851"/>
      <c r="L83" s="851"/>
    </row>
    <row r="84" spans="2:12">
      <c r="B84" s="145">
        <v>37257</v>
      </c>
      <c r="C84" s="1356">
        <v>64.497398000000004</v>
      </c>
      <c r="D84" s="1127">
        <v>67.976303000000001</v>
      </c>
      <c r="E84" s="1127">
        <v>59.050097999999998</v>
      </c>
      <c r="F84" s="1127">
        <v>60.194499999999998</v>
      </c>
      <c r="G84" s="1127">
        <v>40.667403999999998</v>
      </c>
      <c r="H84" s="1357">
        <f t="shared" si="2"/>
        <v>-7.132765779376482E-2</v>
      </c>
      <c r="I84" s="1351">
        <v>1130.1999510000001</v>
      </c>
      <c r="J84" s="146">
        <f t="shared" si="3"/>
        <v>-1.5573832559794276E-2</v>
      </c>
      <c r="K84" s="851"/>
      <c r="L84" s="851"/>
    </row>
    <row r="85" spans="2:12">
      <c r="B85" s="145">
        <v>37288</v>
      </c>
      <c r="C85" s="1356">
        <v>60.194499999999998</v>
      </c>
      <c r="D85" s="1127">
        <v>60.606400000000001</v>
      </c>
      <c r="E85" s="1127">
        <v>51.268298999999999</v>
      </c>
      <c r="F85" s="1127">
        <v>53.923302</v>
      </c>
      <c r="G85" s="1127">
        <v>36.430591999999997</v>
      </c>
      <c r="H85" s="1357">
        <f t="shared" si="2"/>
        <v>-0.10418224256368935</v>
      </c>
      <c r="I85" s="1351">
        <v>1106.7299800000001</v>
      </c>
      <c r="J85" s="146">
        <f t="shared" si="3"/>
        <v>-2.0766211305560334E-2</v>
      </c>
      <c r="K85" s="851"/>
      <c r="L85" s="851"/>
    </row>
    <row r="86" spans="2:12">
      <c r="B86" s="145">
        <v>37316</v>
      </c>
      <c r="C86" s="1356">
        <v>53.328201</v>
      </c>
      <c r="D86" s="1127">
        <v>59.462100999999997</v>
      </c>
      <c r="E86" s="1127">
        <v>52.275298999999997</v>
      </c>
      <c r="F86" s="1127">
        <v>58.363498999999997</v>
      </c>
      <c r="G86" s="1127">
        <v>39.430385999999999</v>
      </c>
      <c r="H86" s="1357">
        <f t="shared" si="2"/>
        <v>8.2342824628951705E-2</v>
      </c>
      <c r="I86" s="1351">
        <v>1147.3900149999999</v>
      </c>
      <c r="J86" s="146">
        <f t="shared" si="3"/>
        <v>3.6738893618839086E-2</v>
      </c>
      <c r="K86" s="851"/>
      <c r="L86" s="851"/>
    </row>
    <row r="87" spans="2:12">
      <c r="B87" s="145">
        <v>37347</v>
      </c>
      <c r="C87" s="1356">
        <v>58.042999000000002</v>
      </c>
      <c r="D87" s="1127">
        <v>58.546599999999998</v>
      </c>
      <c r="E87" s="1127">
        <v>50.444302</v>
      </c>
      <c r="F87" s="1127">
        <v>52.870398999999999</v>
      </c>
      <c r="G87" s="1127">
        <v>35.719245999999998</v>
      </c>
      <c r="H87" s="1357">
        <f t="shared" si="2"/>
        <v>-9.4118757341810522E-2</v>
      </c>
      <c r="I87" s="1351">
        <v>1076.920044</v>
      </c>
      <c r="J87" s="146">
        <f t="shared" si="3"/>
        <v>-6.1417626159139926E-2</v>
      </c>
      <c r="K87" s="851"/>
      <c r="L87" s="851"/>
    </row>
    <row r="88" spans="2:12">
      <c r="B88" s="145">
        <v>37377</v>
      </c>
      <c r="C88" s="1356">
        <v>53.328201</v>
      </c>
      <c r="D88" s="1127">
        <v>55.937401000000001</v>
      </c>
      <c r="E88" s="1127">
        <v>48.704898999999997</v>
      </c>
      <c r="F88" s="1127">
        <v>52.962001999999998</v>
      </c>
      <c r="G88" s="1127">
        <v>35.781135999999996</v>
      </c>
      <c r="H88" s="1357">
        <f t="shared" si="2"/>
        <v>1.7325952088993457E-3</v>
      </c>
      <c r="I88" s="1351">
        <v>1067.1400149999999</v>
      </c>
      <c r="J88" s="146">
        <f t="shared" si="3"/>
        <v>-9.0814810760454501E-3</v>
      </c>
      <c r="K88" s="851"/>
      <c r="L88" s="851"/>
    </row>
    <row r="89" spans="2:12">
      <c r="B89" s="145">
        <v>37408</v>
      </c>
      <c r="C89" s="1356">
        <v>52.916198999999999</v>
      </c>
      <c r="D89" s="1127">
        <v>53.099299999999999</v>
      </c>
      <c r="E89" s="1127">
        <v>37.032200000000003</v>
      </c>
      <c r="F89" s="1127">
        <v>43.257598999999999</v>
      </c>
      <c r="G89" s="1127">
        <v>29.224834000000001</v>
      </c>
      <c r="H89" s="1357">
        <f t="shared" si="2"/>
        <v>-0.18323331130873788</v>
      </c>
      <c r="I89" s="1351">
        <v>989.82000700000003</v>
      </c>
      <c r="J89" s="146">
        <f t="shared" si="3"/>
        <v>-7.245535441757367E-2</v>
      </c>
      <c r="K89" s="851"/>
      <c r="L89" s="851"/>
    </row>
    <row r="90" spans="2:12">
      <c r="B90" s="145">
        <v>37438</v>
      </c>
      <c r="C90" s="1356">
        <v>42.708302000000003</v>
      </c>
      <c r="D90" s="1127">
        <v>45.363300000000002</v>
      </c>
      <c r="E90" s="1127">
        <v>25.268000000000001</v>
      </c>
      <c r="F90" s="1127">
        <v>32.500400999999997</v>
      </c>
      <c r="G90" s="1127">
        <v>21.957274999999999</v>
      </c>
      <c r="H90" s="1357">
        <f t="shared" si="2"/>
        <v>-0.24867764852136154</v>
      </c>
      <c r="I90" s="1351">
        <v>911.61999500000002</v>
      </c>
      <c r="J90" s="146">
        <f t="shared" si="3"/>
        <v>-7.9004274966125276E-2</v>
      </c>
      <c r="K90" s="851"/>
      <c r="L90" s="851"/>
    </row>
    <row r="91" spans="2:12">
      <c r="B91" s="145">
        <v>37469</v>
      </c>
      <c r="C91" s="1356">
        <v>32.500400999999997</v>
      </c>
      <c r="D91" s="1127">
        <v>35.063899999999997</v>
      </c>
      <c r="E91" s="1127">
        <v>25.7257</v>
      </c>
      <c r="F91" s="1127">
        <v>31.951098999999999</v>
      </c>
      <c r="G91" s="1127">
        <v>21.586164</v>
      </c>
      <c r="H91" s="1357">
        <f t="shared" si="2"/>
        <v>-1.6901391462831428E-2</v>
      </c>
      <c r="I91" s="1351">
        <v>916.07000700000003</v>
      </c>
      <c r="J91" s="146">
        <f t="shared" si="3"/>
        <v>4.8814330800193151E-3</v>
      </c>
      <c r="K91" s="851"/>
      <c r="L91" s="851"/>
    </row>
    <row r="92" spans="2:12">
      <c r="B92" s="145">
        <v>37500</v>
      </c>
      <c r="C92" s="1356">
        <v>31.127199000000001</v>
      </c>
      <c r="D92" s="1127">
        <v>32.958199</v>
      </c>
      <c r="E92" s="1127">
        <v>23.757401000000002</v>
      </c>
      <c r="F92" s="1127">
        <v>26.458099000000001</v>
      </c>
      <c r="G92" s="1127">
        <v>17.875095000000002</v>
      </c>
      <c r="H92" s="1357">
        <f t="shared" si="2"/>
        <v>-0.17191896904704274</v>
      </c>
      <c r="I92" s="1351">
        <v>815.28002900000001</v>
      </c>
      <c r="J92" s="146">
        <f t="shared" si="3"/>
        <v>-0.11002431826151904</v>
      </c>
      <c r="K92" s="851"/>
      <c r="L92" s="851"/>
    </row>
    <row r="93" spans="2:12">
      <c r="B93" s="145">
        <v>37530</v>
      </c>
      <c r="C93" s="1356">
        <v>26.458099000000001</v>
      </c>
      <c r="D93" s="1127">
        <v>27.144698999999999</v>
      </c>
      <c r="E93" s="1127">
        <v>17.715</v>
      </c>
      <c r="F93" s="1127">
        <v>25.8172</v>
      </c>
      <c r="G93" s="1127">
        <v>17.442101999999998</v>
      </c>
      <c r="H93" s="1357">
        <f t="shared" si="2"/>
        <v>-2.4223168867876788E-2</v>
      </c>
      <c r="I93" s="1351">
        <v>885.76000999999997</v>
      </c>
      <c r="J93" s="146">
        <f t="shared" si="3"/>
        <v>8.6448801016809851E-2</v>
      </c>
      <c r="K93" s="851"/>
      <c r="L93" s="851"/>
    </row>
    <row r="94" spans="2:12">
      <c r="B94" s="145">
        <v>37561</v>
      </c>
      <c r="C94" s="1356">
        <v>25.6341</v>
      </c>
      <c r="D94" s="1127">
        <v>32.088501000000001</v>
      </c>
      <c r="E94" s="1127">
        <v>23.024999999999999</v>
      </c>
      <c r="F94" s="1127">
        <v>31.951098999999999</v>
      </c>
      <c r="G94" s="1127">
        <v>21.586164</v>
      </c>
      <c r="H94" s="1357">
        <f t="shared" si="2"/>
        <v>0.23758963016903456</v>
      </c>
      <c r="I94" s="1351">
        <v>936.30999799999995</v>
      </c>
      <c r="J94" s="146">
        <f t="shared" si="3"/>
        <v>5.7069620923617892E-2</v>
      </c>
      <c r="K94" s="851"/>
      <c r="L94" s="851"/>
    </row>
    <row r="95" spans="2:12">
      <c r="B95" s="145">
        <v>37591</v>
      </c>
      <c r="C95" s="1356">
        <v>31.996901000000001</v>
      </c>
      <c r="D95" s="1127">
        <v>33.278599</v>
      </c>
      <c r="E95" s="1127">
        <v>27.419398999999999</v>
      </c>
      <c r="F95" s="1127">
        <v>27.465199999999999</v>
      </c>
      <c r="G95" s="1127">
        <v>18.555489999999999</v>
      </c>
      <c r="H95" s="1357">
        <f t="shared" si="2"/>
        <v>-0.14039889519919169</v>
      </c>
      <c r="I95" s="1351">
        <v>879.82000700000003</v>
      </c>
      <c r="J95" s="146">
        <f t="shared" si="3"/>
        <v>-6.0332572674290597E-2</v>
      </c>
      <c r="K95" s="851"/>
      <c r="L95" s="851"/>
    </row>
    <row r="96" spans="2:12">
      <c r="B96" s="145">
        <v>37622</v>
      </c>
      <c r="C96" s="1356">
        <v>29.296199999999999</v>
      </c>
      <c r="D96" s="1127">
        <v>32.042701999999998</v>
      </c>
      <c r="E96" s="1127">
        <v>25.084900000000001</v>
      </c>
      <c r="F96" s="1127">
        <v>26.870100000000001</v>
      </c>
      <c r="G96" s="1127">
        <v>18.153441999999998</v>
      </c>
      <c r="H96" s="1357">
        <f t="shared" si="2"/>
        <v>-2.1667419134031363E-2</v>
      </c>
      <c r="I96" s="1351">
        <v>855.70001200000002</v>
      </c>
      <c r="J96" s="146">
        <f t="shared" si="3"/>
        <v>-2.7414692559952214E-2</v>
      </c>
      <c r="K96" s="851"/>
      <c r="L96" s="851"/>
    </row>
    <row r="97" spans="2:12">
      <c r="B97" s="145">
        <v>37653</v>
      </c>
      <c r="C97" s="1356">
        <v>27.419398999999999</v>
      </c>
      <c r="D97" s="1127">
        <v>27.922899000000001</v>
      </c>
      <c r="E97" s="1127">
        <v>23.024999999999999</v>
      </c>
      <c r="F97" s="1127">
        <v>23.116501</v>
      </c>
      <c r="G97" s="1127">
        <v>15.617511</v>
      </c>
      <c r="H97" s="1357">
        <f t="shared" si="2"/>
        <v>-0.13969426983896605</v>
      </c>
      <c r="I97" s="1351">
        <v>841.15002400000003</v>
      </c>
      <c r="J97" s="146">
        <f t="shared" si="3"/>
        <v>-1.7003608502929368E-2</v>
      </c>
      <c r="K97" s="851"/>
      <c r="L97" s="851"/>
    </row>
    <row r="98" spans="2:12">
      <c r="B98" s="145">
        <v>37681</v>
      </c>
      <c r="C98" s="1356">
        <v>23.757401000000002</v>
      </c>
      <c r="D98" s="1127">
        <v>25.863001000000001</v>
      </c>
      <c r="E98" s="1127">
        <v>18.584800999999999</v>
      </c>
      <c r="F98" s="1127">
        <v>21.514399999999998</v>
      </c>
      <c r="G98" s="1127">
        <v>14.535133</v>
      </c>
      <c r="H98" s="1357">
        <f t="shared" si="2"/>
        <v>-6.9305514705707449E-2</v>
      </c>
      <c r="I98" s="1351">
        <v>848.17999299999997</v>
      </c>
      <c r="J98" s="146">
        <f t="shared" si="3"/>
        <v>8.3575685661514409E-3</v>
      </c>
      <c r="K98" s="851"/>
      <c r="L98" s="851"/>
    </row>
    <row r="99" spans="2:12">
      <c r="B99" s="145">
        <v>37712</v>
      </c>
      <c r="C99" s="1356">
        <v>21.514399999999998</v>
      </c>
      <c r="D99" s="1127">
        <v>29.845500999999999</v>
      </c>
      <c r="E99" s="1127">
        <v>20.873501000000001</v>
      </c>
      <c r="F99" s="1127">
        <v>29.662399000000001</v>
      </c>
      <c r="G99" s="1127">
        <v>20.039921</v>
      </c>
      <c r="H99" s="1357">
        <f t="shared" si="2"/>
        <v>0.37872304131186563</v>
      </c>
      <c r="I99" s="1351">
        <v>916.919983</v>
      </c>
      <c r="J99" s="146">
        <f t="shared" si="3"/>
        <v>8.1044106872726118E-2</v>
      </c>
      <c r="K99" s="851"/>
      <c r="L99" s="851"/>
    </row>
    <row r="100" spans="2:12">
      <c r="B100" s="145">
        <v>37742</v>
      </c>
      <c r="C100" s="1356">
        <v>29.662399000000001</v>
      </c>
      <c r="D100" s="1127">
        <v>33.004002</v>
      </c>
      <c r="E100" s="1127">
        <v>27.785601</v>
      </c>
      <c r="F100" s="1127">
        <v>32.2258</v>
      </c>
      <c r="G100" s="1127">
        <v>21.771753</v>
      </c>
      <c r="H100" s="1357">
        <f t="shared" si="2"/>
        <v>8.641920702368E-2</v>
      </c>
      <c r="I100" s="1351">
        <v>963.59002699999996</v>
      </c>
      <c r="J100" s="146">
        <f t="shared" si="3"/>
        <v>5.0898709664177977E-2</v>
      </c>
      <c r="K100" s="851"/>
      <c r="L100" s="851"/>
    </row>
    <row r="101" spans="2:12">
      <c r="B101" s="145">
        <v>37773</v>
      </c>
      <c r="C101" s="1356">
        <v>33.141300000000001</v>
      </c>
      <c r="D101" s="1127">
        <v>36.345599999999997</v>
      </c>
      <c r="E101" s="1127">
        <v>31.905398999999999</v>
      </c>
      <c r="F101" s="1127">
        <v>32.637797999999997</v>
      </c>
      <c r="G101" s="1127">
        <v>22.050097999999998</v>
      </c>
      <c r="H101" s="1357">
        <f t="shared" si="2"/>
        <v>1.2784725282227294E-2</v>
      </c>
      <c r="I101" s="1351">
        <v>974.5</v>
      </c>
      <c r="J101" s="146">
        <f t="shared" si="3"/>
        <v>1.1322214525161467E-2</v>
      </c>
      <c r="K101" s="851"/>
      <c r="L101" s="851"/>
    </row>
    <row r="102" spans="2:12">
      <c r="B102" s="145">
        <v>37803</v>
      </c>
      <c r="C102" s="1356">
        <v>32.683498</v>
      </c>
      <c r="D102" s="1127">
        <v>40.053398000000001</v>
      </c>
      <c r="E102" s="1127">
        <v>31.630699</v>
      </c>
      <c r="F102" s="1127">
        <v>39.504100999999999</v>
      </c>
      <c r="G102" s="1127">
        <v>26.688974000000002</v>
      </c>
      <c r="H102" s="1357">
        <f t="shared" si="2"/>
        <v>0.2103788680841765</v>
      </c>
      <c r="I102" s="1351">
        <v>990.30999799999995</v>
      </c>
      <c r="J102" s="146">
        <f t="shared" si="3"/>
        <v>1.6223702411493068E-2</v>
      </c>
      <c r="K102" s="851"/>
      <c r="L102" s="851"/>
    </row>
    <row r="103" spans="2:12">
      <c r="B103" s="145">
        <v>37834</v>
      </c>
      <c r="C103" s="1356">
        <v>39.458302000000003</v>
      </c>
      <c r="D103" s="1127">
        <v>41.472400999999998</v>
      </c>
      <c r="E103" s="1127">
        <v>37.947701000000002</v>
      </c>
      <c r="F103" s="1127">
        <v>40.053398000000001</v>
      </c>
      <c r="G103" s="1127">
        <v>27.060081</v>
      </c>
      <c r="H103" s="1357">
        <f t="shared" si="2"/>
        <v>1.3904809528509476E-2</v>
      </c>
      <c r="I103" s="1351">
        <v>1008.01001</v>
      </c>
      <c r="J103" s="146">
        <f t="shared" si="3"/>
        <v>1.7873203376464364E-2</v>
      </c>
      <c r="K103" s="851"/>
      <c r="L103" s="851"/>
    </row>
    <row r="104" spans="2:12">
      <c r="B104" s="145">
        <v>37865</v>
      </c>
      <c r="C104" s="1356">
        <v>40.327998999999998</v>
      </c>
      <c r="D104" s="1127">
        <v>44.997101000000001</v>
      </c>
      <c r="E104" s="1127">
        <v>37.810397999999999</v>
      </c>
      <c r="F104" s="1127">
        <v>38.680098999999998</v>
      </c>
      <c r="G104" s="1127">
        <v>26.132283999999999</v>
      </c>
      <c r="H104" s="1357">
        <f t="shared" si="2"/>
        <v>-3.4286703964542586E-2</v>
      </c>
      <c r="I104" s="1351">
        <v>995.96997099999999</v>
      </c>
      <c r="J104" s="146">
        <f t="shared" si="3"/>
        <v>-1.194436452074521E-2</v>
      </c>
      <c r="K104" s="851"/>
      <c r="L104" s="851"/>
    </row>
    <row r="105" spans="2:12">
      <c r="B105" s="145">
        <v>37895</v>
      </c>
      <c r="C105" s="1356">
        <v>38.725898999999998</v>
      </c>
      <c r="D105" s="1127">
        <v>43.532299000000002</v>
      </c>
      <c r="E105" s="1127">
        <v>38.5886</v>
      </c>
      <c r="F105" s="1127">
        <v>43.074500999999998</v>
      </c>
      <c r="G105" s="1127">
        <v>29.101133000000001</v>
      </c>
      <c r="H105" s="1357">
        <f t="shared" si="2"/>
        <v>0.11360886123895386</v>
      </c>
      <c r="I105" s="1351">
        <v>1050.709961</v>
      </c>
      <c r="J105" s="146">
        <f t="shared" si="3"/>
        <v>5.496148638401066E-2</v>
      </c>
      <c r="K105" s="851"/>
      <c r="L105" s="851"/>
    </row>
    <row r="106" spans="2:12">
      <c r="B106" s="145">
        <v>37926</v>
      </c>
      <c r="C106" s="1356">
        <v>43.303398000000001</v>
      </c>
      <c r="D106" s="1127">
        <v>44.676701000000001</v>
      </c>
      <c r="E106" s="1127">
        <v>37.856098000000003</v>
      </c>
      <c r="F106" s="1127">
        <v>39.275199999999998</v>
      </c>
      <c r="G106" s="1127">
        <v>26.534324999999999</v>
      </c>
      <c r="H106" s="1357">
        <f t="shared" si="2"/>
        <v>-8.8203018300780811E-2</v>
      </c>
      <c r="I106" s="1351">
        <v>1058.1999510000001</v>
      </c>
      <c r="J106" s="146">
        <f t="shared" si="3"/>
        <v>7.1285038478854368E-3</v>
      </c>
      <c r="K106" s="851"/>
      <c r="L106" s="851"/>
    </row>
    <row r="107" spans="2:12">
      <c r="B107" s="145">
        <v>37956</v>
      </c>
      <c r="C107" s="1356">
        <v>39.458302000000003</v>
      </c>
      <c r="D107" s="1127">
        <v>42.158999999999999</v>
      </c>
      <c r="E107" s="1127">
        <v>39.458302000000003</v>
      </c>
      <c r="F107" s="1127">
        <v>41.426600999999998</v>
      </c>
      <c r="G107" s="1127">
        <v>27.987819999999999</v>
      </c>
      <c r="H107" s="1357">
        <f t="shared" si="2"/>
        <v>5.4777595021795022E-2</v>
      </c>
      <c r="I107" s="1351">
        <v>1111.920044</v>
      </c>
      <c r="J107" s="146">
        <f t="shared" si="3"/>
        <v>5.0765541001239312E-2</v>
      </c>
      <c r="K107" s="851"/>
      <c r="L107" s="851"/>
    </row>
    <row r="108" spans="2:12">
      <c r="B108" s="145">
        <v>37987</v>
      </c>
      <c r="C108" s="1356">
        <v>41.747002000000002</v>
      </c>
      <c r="D108" s="1127">
        <v>45.271701999999998</v>
      </c>
      <c r="E108" s="1127">
        <v>41.426600999999998</v>
      </c>
      <c r="F108" s="1127">
        <v>43.532299000000002</v>
      </c>
      <c r="G108" s="1127">
        <v>29.410430999999999</v>
      </c>
      <c r="H108" s="1357">
        <f t="shared" si="2"/>
        <v>5.0829610664896219E-2</v>
      </c>
      <c r="I108" s="1351">
        <v>1131.130005</v>
      </c>
      <c r="J108" s="146">
        <f t="shared" si="3"/>
        <v>1.7276387006114557E-2</v>
      </c>
      <c r="K108" s="851"/>
      <c r="L108" s="851"/>
    </row>
    <row r="109" spans="2:12">
      <c r="B109" s="145">
        <v>38018</v>
      </c>
      <c r="C109" s="1356">
        <v>43.715401</v>
      </c>
      <c r="D109" s="1127">
        <v>45.775298999999997</v>
      </c>
      <c r="E109" s="1127">
        <v>41.655498999999999</v>
      </c>
      <c r="F109" s="1127">
        <v>42.296298999999998</v>
      </c>
      <c r="G109" s="1127">
        <v>28.575382000000001</v>
      </c>
      <c r="H109" s="1357">
        <f t="shared" si="2"/>
        <v>-2.8392711352092981E-2</v>
      </c>
      <c r="I109" s="1351">
        <v>1144.9399410000001</v>
      </c>
      <c r="J109" s="146">
        <f t="shared" si="3"/>
        <v>1.2208973273589496E-2</v>
      </c>
      <c r="K109" s="851"/>
      <c r="L109" s="851"/>
    </row>
    <row r="110" spans="2:12">
      <c r="B110" s="145">
        <v>38047</v>
      </c>
      <c r="C110" s="1356">
        <v>42.387900999999999</v>
      </c>
      <c r="D110" s="1127">
        <v>45.226002000000001</v>
      </c>
      <c r="E110" s="1127">
        <v>38.451199000000003</v>
      </c>
      <c r="F110" s="1127">
        <v>40.190700999999997</v>
      </c>
      <c r="G110" s="1127">
        <v>27.152844999999999</v>
      </c>
      <c r="H110" s="1357">
        <f t="shared" si="2"/>
        <v>-4.9782086134770309E-2</v>
      </c>
      <c r="I110" s="1351">
        <v>1126.209961</v>
      </c>
      <c r="J110" s="146">
        <f t="shared" si="3"/>
        <v>-1.6358919214261247E-2</v>
      </c>
      <c r="K110" s="851"/>
      <c r="L110" s="851"/>
    </row>
    <row r="111" spans="2:12">
      <c r="B111" s="145">
        <v>38078</v>
      </c>
      <c r="C111" s="1356">
        <v>40.465302000000001</v>
      </c>
      <c r="D111" s="1127">
        <v>42.891399</v>
      </c>
      <c r="E111" s="1127">
        <v>38.954799999999999</v>
      </c>
      <c r="F111" s="1127">
        <v>41.8386</v>
      </c>
      <c r="G111" s="1127">
        <v>28.266166999999999</v>
      </c>
      <c r="H111" s="1357">
        <f t="shared" si="2"/>
        <v>4.100199695446971E-2</v>
      </c>
      <c r="I111" s="1351">
        <v>1107.3000489999999</v>
      </c>
      <c r="J111" s="146">
        <f t="shared" si="3"/>
        <v>-1.6790751862298725E-2</v>
      </c>
      <c r="K111" s="851"/>
      <c r="L111" s="851"/>
    </row>
    <row r="112" spans="2:12">
      <c r="B112" s="145">
        <v>38108</v>
      </c>
      <c r="C112" s="1356">
        <v>41.472400999999998</v>
      </c>
      <c r="D112" s="1127">
        <v>42.983001999999999</v>
      </c>
      <c r="E112" s="1127">
        <v>39.137900999999999</v>
      </c>
      <c r="F112" s="1127">
        <v>39.412497999999999</v>
      </c>
      <c r="G112" s="1127">
        <v>26.627089000000002</v>
      </c>
      <c r="H112" s="1357">
        <f t="shared" si="2"/>
        <v>-5.7987169742773403E-2</v>
      </c>
      <c r="I112" s="1351">
        <v>1120.6800539999999</v>
      </c>
      <c r="J112" s="146">
        <f t="shared" si="3"/>
        <v>1.2083450201310297E-2</v>
      </c>
      <c r="K112" s="851"/>
      <c r="L112" s="851"/>
    </row>
    <row r="113" spans="2:12">
      <c r="B113" s="145">
        <v>38139</v>
      </c>
      <c r="C113" s="1356">
        <v>39.458302000000003</v>
      </c>
      <c r="D113" s="1127">
        <v>42.204799999999999</v>
      </c>
      <c r="E113" s="1127">
        <v>38.771599000000002</v>
      </c>
      <c r="F113" s="1127">
        <v>40.740001999999997</v>
      </c>
      <c r="G113" s="1127">
        <v>27.523949000000002</v>
      </c>
      <c r="H113" s="1357">
        <f t="shared" si="2"/>
        <v>3.368231062136684E-2</v>
      </c>
      <c r="I113" s="1351">
        <v>1140.839966</v>
      </c>
      <c r="J113" s="146">
        <f t="shared" si="3"/>
        <v>1.7988998669195677E-2</v>
      </c>
      <c r="K113" s="851"/>
      <c r="L113" s="851"/>
    </row>
    <row r="114" spans="2:12">
      <c r="B114" s="145">
        <v>38169</v>
      </c>
      <c r="C114" s="1356">
        <v>41.060397999999999</v>
      </c>
      <c r="D114" s="1127">
        <v>41.243499999999997</v>
      </c>
      <c r="E114" s="1127">
        <v>36.162497999999999</v>
      </c>
      <c r="F114" s="1127">
        <v>37.581501000000003</v>
      </c>
      <c r="G114" s="1127">
        <v>25.390063999999999</v>
      </c>
      <c r="H114" s="1357">
        <f t="shared" si="2"/>
        <v>-7.7528248525859045E-2</v>
      </c>
      <c r="I114" s="1351">
        <v>1101.719971</v>
      </c>
      <c r="J114" s="146">
        <f t="shared" si="3"/>
        <v>-3.4290519411904974E-2</v>
      </c>
      <c r="K114" s="851"/>
      <c r="L114" s="851"/>
    </row>
    <row r="115" spans="2:12">
      <c r="B115" s="145">
        <v>38200</v>
      </c>
      <c r="C115" s="1356">
        <v>37.261100999999996</v>
      </c>
      <c r="D115" s="1127">
        <v>38.222400999999998</v>
      </c>
      <c r="E115" s="1127">
        <v>33.919497999999997</v>
      </c>
      <c r="F115" s="1127">
        <v>36.162497999999999</v>
      </c>
      <c r="G115" s="1127">
        <v>24.431391000000001</v>
      </c>
      <c r="H115" s="1357">
        <f t="shared" si="2"/>
        <v>-3.7758018233492119E-2</v>
      </c>
      <c r="I115" s="1351">
        <v>1104.23999</v>
      </c>
      <c r="J115" s="146">
        <f t="shared" si="3"/>
        <v>2.287349840552233E-3</v>
      </c>
      <c r="K115" s="851"/>
      <c r="L115" s="851"/>
    </row>
    <row r="116" spans="2:12">
      <c r="B116" s="145">
        <v>38231</v>
      </c>
      <c r="C116" s="1356">
        <v>36.437099000000003</v>
      </c>
      <c r="D116" s="1127">
        <v>38.451199000000003</v>
      </c>
      <c r="E116" s="1127">
        <v>35.979401000000003</v>
      </c>
      <c r="F116" s="1127">
        <v>36.482899000000003</v>
      </c>
      <c r="G116" s="1127">
        <v>24.647849999999998</v>
      </c>
      <c r="H116" s="1357">
        <f t="shared" si="2"/>
        <v>8.8600350562066943E-3</v>
      </c>
      <c r="I116" s="1351">
        <v>1114.579956</v>
      </c>
      <c r="J116" s="146">
        <f t="shared" si="3"/>
        <v>9.3638756915515042E-3</v>
      </c>
      <c r="K116" s="851"/>
      <c r="L116" s="851"/>
    </row>
    <row r="117" spans="2:12">
      <c r="B117" s="145">
        <v>38261</v>
      </c>
      <c r="C117" s="1356">
        <v>36.482899000000003</v>
      </c>
      <c r="D117" s="1127">
        <v>39.137900999999999</v>
      </c>
      <c r="E117" s="1127">
        <v>36.025100999999999</v>
      </c>
      <c r="F117" s="1127">
        <v>37.489899000000001</v>
      </c>
      <c r="G117" s="1127">
        <v>25.328178000000001</v>
      </c>
      <c r="H117" s="1357">
        <f t="shared" si="2"/>
        <v>2.7601973187492579E-2</v>
      </c>
      <c r="I117" s="1351">
        <v>1130.1999510000001</v>
      </c>
      <c r="J117" s="146">
        <f t="shared" si="3"/>
        <v>1.4014243586486952E-2</v>
      </c>
      <c r="K117" s="851"/>
      <c r="L117" s="851"/>
    </row>
    <row r="118" spans="2:12">
      <c r="B118" s="145">
        <v>38292</v>
      </c>
      <c r="C118" s="1356">
        <v>37.489899000000001</v>
      </c>
      <c r="D118" s="1127">
        <v>42.799900000000001</v>
      </c>
      <c r="E118" s="1127">
        <v>37.398398999999998</v>
      </c>
      <c r="F118" s="1127">
        <v>40.694198999999998</v>
      </c>
      <c r="G118" s="1127">
        <v>27.493008</v>
      </c>
      <c r="H118" s="1357">
        <f t="shared" si="2"/>
        <v>8.5471022474613578E-2</v>
      </c>
      <c r="I118" s="1351">
        <v>1173.8199460000001</v>
      </c>
      <c r="J118" s="146">
        <f t="shared" si="3"/>
        <v>3.8594936198152352E-2</v>
      </c>
      <c r="K118" s="851"/>
      <c r="L118" s="851"/>
    </row>
    <row r="119" spans="2:12">
      <c r="B119" s="145">
        <v>38322</v>
      </c>
      <c r="C119" s="1356">
        <v>40.694198999999998</v>
      </c>
      <c r="D119" s="1127">
        <v>44.402000000000001</v>
      </c>
      <c r="E119" s="1127">
        <v>40.694198999999998</v>
      </c>
      <c r="F119" s="1127">
        <v>43.761200000000002</v>
      </c>
      <c r="G119" s="1127">
        <v>29.565069000000001</v>
      </c>
      <c r="H119" s="1357">
        <f t="shared" si="2"/>
        <v>7.5367032043068383E-2</v>
      </c>
      <c r="I119" s="1351">
        <v>1211.920044</v>
      </c>
      <c r="J119" s="146">
        <f t="shared" si="3"/>
        <v>3.24582131440454E-2</v>
      </c>
      <c r="K119" s="851"/>
      <c r="L119" s="851"/>
    </row>
    <row r="120" spans="2:12">
      <c r="B120" s="145">
        <v>38353</v>
      </c>
      <c r="C120" s="1356">
        <v>43.898499000000001</v>
      </c>
      <c r="D120" s="1127">
        <v>45.134399000000002</v>
      </c>
      <c r="E120" s="1127">
        <v>42.525199999999998</v>
      </c>
      <c r="F120" s="1127">
        <v>43.806899999999999</v>
      </c>
      <c r="G120" s="1127">
        <v>29.595942999999998</v>
      </c>
      <c r="H120" s="1357">
        <f t="shared" si="2"/>
        <v>1.0443040867251785E-3</v>
      </c>
      <c r="I120" s="1351">
        <v>1181.2700199999999</v>
      </c>
      <c r="J120" s="146">
        <f t="shared" si="3"/>
        <v>-2.5290467099494562E-2</v>
      </c>
      <c r="K120" s="851"/>
      <c r="L120" s="851"/>
    </row>
    <row r="121" spans="2:12">
      <c r="B121" s="145">
        <v>38384</v>
      </c>
      <c r="C121" s="1356">
        <v>43.898499000000001</v>
      </c>
      <c r="D121" s="1127">
        <v>47.377398999999997</v>
      </c>
      <c r="E121" s="1127">
        <v>43.623798000000001</v>
      </c>
      <c r="F121" s="1127">
        <v>46.3703</v>
      </c>
      <c r="G121" s="1127">
        <v>31.327781999999999</v>
      </c>
      <c r="H121" s="1357">
        <f t="shared" si="2"/>
        <v>5.8515895897678361E-2</v>
      </c>
      <c r="I121" s="1351">
        <v>1203.599976</v>
      </c>
      <c r="J121" s="146">
        <f t="shared" si="3"/>
        <v>1.8903346078316563E-2</v>
      </c>
      <c r="K121" s="851"/>
      <c r="L121" s="851"/>
    </row>
    <row r="122" spans="2:12">
      <c r="B122" s="145">
        <v>38412</v>
      </c>
      <c r="C122" s="1356">
        <v>46.278801000000001</v>
      </c>
      <c r="D122" s="1127">
        <v>48.979500000000002</v>
      </c>
      <c r="E122" s="1127">
        <v>46.141499000000003</v>
      </c>
      <c r="F122" s="1127">
        <v>47.011200000000002</v>
      </c>
      <c r="G122" s="1127">
        <v>31.760769</v>
      </c>
      <c r="H122" s="1357">
        <f t="shared" si="2"/>
        <v>1.3821346853481797E-2</v>
      </c>
      <c r="I122" s="1351">
        <v>1180.589966</v>
      </c>
      <c r="J122" s="146">
        <f t="shared" si="3"/>
        <v>-1.9117655748441043E-2</v>
      </c>
      <c r="K122" s="851"/>
      <c r="L122" s="851"/>
    </row>
    <row r="123" spans="2:12">
      <c r="B123" s="145">
        <v>38443</v>
      </c>
      <c r="C123" s="1356">
        <v>46.828097999999997</v>
      </c>
      <c r="D123" s="1127">
        <v>48.842201000000003</v>
      </c>
      <c r="E123" s="1127">
        <v>44.997101000000001</v>
      </c>
      <c r="F123" s="1127">
        <v>45.683700999999999</v>
      </c>
      <c r="G123" s="1127">
        <v>30.863914000000001</v>
      </c>
      <c r="H123" s="1357">
        <f t="shared" si="2"/>
        <v>-2.8237930535702227E-2</v>
      </c>
      <c r="I123" s="1351">
        <v>1156.849976</v>
      </c>
      <c r="J123" s="146">
        <f t="shared" si="3"/>
        <v>-2.0108581881679299E-2</v>
      </c>
      <c r="K123" s="851"/>
      <c r="L123" s="851"/>
    </row>
    <row r="124" spans="2:12">
      <c r="B124" s="145">
        <v>38473</v>
      </c>
      <c r="C124" s="1356">
        <v>46.233001999999999</v>
      </c>
      <c r="D124" s="1127">
        <v>46.965401</v>
      </c>
      <c r="E124" s="1127">
        <v>43.486499999999999</v>
      </c>
      <c r="F124" s="1127">
        <v>45.775298999999997</v>
      </c>
      <c r="G124" s="1127">
        <v>30.925796999999999</v>
      </c>
      <c r="H124" s="1357">
        <f t="shared" si="2"/>
        <v>2.0050477083719542E-3</v>
      </c>
      <c r="I124" s="1351">
        <v>1191.5</v>
      </c>
      <c r="J124" s="146">
        <f t="shared" si="3"/>
        <v>2.9952046262565757E-2</v>
      </c>
      <c r="K124" s="851"/>
      <c r="L124" s="851"/>
    </row>
    <row r="125" spans="2:12">
      <c r="B125" s="145">
        <v>38504</v>
      </c>
      <c r="C125" s="1356">
        <v>45.820999</v>
      </c>
      <c r="D125" s="1127">
        <v>47.285899999999998</v>
      </c>
      <c r="E125" s="1127">
        <v>44.997101000000001</v>
      </c>
      <c r="F125" s="1127">
        <v>46.278801000000001</v>
      </c>
      <c r="G125" s="1127">
        <v>31.265962999999999</v>
      </c>
      <c r="H125" s="1357">
        <f t="shared" si="2"/>
        <v>1.0999425694630638E-2</v>
      </c>
      <c r="I125" s="1351">
        <v>1191.329956</v>
      </c>
      <c r="J125" s="146">
        <f t="shared" si="3"/>
        <v>-1.427142257658387E-4</v>
      </c>
      <c r="K125" s="851"/>
      <c r="L125" s="851"/>
    </row>
    <row r="126" spans="2:12">
      <c r="B126" s="145">
        <v>38534</v>
      </c>
      <c r="C126" s="1356">
        <v>46.004100999999999</v>
      </c>
      <c r="D126" s="1127">
        <v>49.940800000000003</v>
      </c>
      <c r="E126" s="1127">
        <v>44.539299</v>
      </c>
      <c r="F126" s="1127">
        <v>49.437302000000003</v>
      </c>
      <c r="G126" s="1127">
        <v>33.399849000000003</v>
      </c>
      <c r="H126" s="1357">
        <f t="shared" si="2"/>
        <v>6.824941294395237E-2</v>
      </c>
      <c r="I126" s="1351">
        <v>1234.1800539999999</v>
      </c>
      <c r="J126" s="146">
        <f t="shared" si="3"/>
        <v>3.5968287193812287E-2</v>
      </c>
      <c r="K126" s="851"/>
      <c r="L126" s="851"/>
    </row>
    <row r="127" spans="2:12">
      <c r="B127" s="145">
        <v>38565</v>
      </c>
      <c r="C127" s="1356">
        <v>49.528801000000001</v>
      </c>
      <c r="D127" s="1127">
        <v>50.444302</v>
      </c>
      <c r="E127" s="1127">
        <v>47.743599000000003</v>
      </c>
      <c r="F127" s="1127">
        <v>49.757702000000002</v>
      </c>
      <c r="G127" s="1127">
        <v>33.616309999999999</v>
      </c>
      <c r="H127" s="1357">
        <f t="shared" si="2"/>
        <v>6.4809361967204104E-3</v>
      </c>
      <c r="I127" s="1351">
        <v>1220.329956</v>
      </c>
      <c r="J127" s="146">
        <f t="shared" si="3"/>
        <v>-1.1222104874496597E-2</v>
      </c>
      <c r="K127" s="851"/>
      <c r="L127" s="851"/>
    </row>
    <row r="128" spans="2:12">
      <c r="B128" s="145">
        <v>38596</v>
      </c>
      <c r="C128" s="1356">
        <v>50.032398000000001</v>
      </c>
      <c r="D128" s="1127">
        <v>53.648601999999997</v>
      </c>
      <c r="E128" s="1127">
        <v>49.986598999999998</v>
      </c>
      <c r="F128" s="1127">
        <v>52.458500000000001</v>
      </c>
      <c r="G128" s="1127">
        <v>35.440970999999998</v>
      </c>
      <c r="H128" s="1357">
        <f t="shared" si="2"/>
        <v>5.4278993832954647E-2</v>
      </c>
      <c r="I128" s="1351">
        <v>1228.8100589999999</v>
      </c>
      <c r="J128" s="146">
        <f t="shared" si="3"/>
        <v>6.9490246947603307E-3</v>
      </c>
      <c r="K128" s="851"/>
      <c r="L128" s="851"/>
    </row>
    <row r="129" spans="2:12">
      <c r="B129" s="145">
        <v>38626</v>
      </c>
      <c r="C129" s="1356">
        <v>52.595798000000002</v>
      </c>
      <c r="D129" s="1127">
        <v>53.465499999999999</v>
      </c>
      <c r="E129" s="1127">
        <v>49.666198999999999</v>
      </c>
      <c r="F129" s="1127">
        <v>52.137999999999998</v>
      </c>
      <c r="G129" s="1127">
        <v>35.224437999999999</v>
      </c>
      <c r="H129" s="1357">
        <f t="shared" si="2"/>
        <v>-6.1095913912903033E-3</v>
      </c>
      <c r="I129" s="1351">
        <v>1207.01001</v>
      </c>
      <c r="J129" s="146">
        <f t="shared" si="3"/>
        <v>-1.7740780066319406E-2</v>
      </c>
      <c r="K129" s="851"/>
      <c r="L129" s="851"/>
    </row>
    <row r="130" spans="2:12">
      <c r="B130" s="145">
        <v>38657</v>
      </c>
      <c r="C130" s="1356">
        <v>52.687302000000003</v>
      </c>
      <c r="D130" s="1127">
        <v>60.835299999999997</v>
      </c>
      <c r="E130" s="1127">
        <v>52.229599</v>
      </c>
      <c r="F130" s="1127">
        <v>58.638100000000001</v>
      </c>
      <c r="G130" s="1127">
        <v>39.61591</v>
      </c>
      <c r="H130" s="1357">
        <f t="shared" si="2"/>
        <v>0.12467106524991367</v>
      </c>
      <c r="I130" s="1351">
        <v>1249.4799800000001</v>
      </c>
      <c r="J130" s="146">
        <f t="shared" si="3"/>
        <v>3.5186095929726546E-2</v>
      </c>
      <c r="K130" s="851"/>
      <c r="L130" s="851"/>
    </row>
    <row r="131" spans="2:12">
      <c r="B131" s="145">
        <v>38687</v>
      </c>
      <c r="C131" s="1356">
        <v>59.004299000000003</v>
      </c>
      <c r="D131" s="1127">
        <v>63.764899999999997</v>
      </c>
      <c r="E131" s="1127">
        <v>58.683898999999997</v>
      </c>
      <c r="F131" s="1127">
        <v>61.338901999999997</v>
      </c>
      <c r="G131" s="1127">
        <v>41.440570999999998</v>
      </c>
      <c r="H131" s="1357">
        <f t="shared" si="2"/>
        <v>4.6058825234787548E-2</v>
      </c>
      <c r="I131" s="1351">
        <v>1248.290039</v>
      </c>
      <c r="J131" s="146">
        <f t="shared" si="3"/>
        <v>-9.5234899241847248E-4</v>
      </c>
      <c r="K131" s="851"/>
      <c r="L131" s="851"/>
    </row>
    <row r="132" spans="2:12">
      <c r="B132" s="145">
        <v>38718</v>
      </c>
      <c r="C132" s="1356">
        <v>61.796599999999998</v>
      </c>
      <c r="D132" s="1127">
        <v>68.891800000000003</v>
      </c>
      <c r="E132" s="1127">
        <v>61.659301999999997</v>
      </c>
      <c r="F132" s="1127">
        <v>68.342499000000004</v>
      </c>
      <c r="G132" s="1127">
        <v>46.172195000000002</v>
      </c>
      <c r="H132" s="1357">
        <f t="shared" si="2"/>
        <v>0.1141787148390756</v>
      </c>
      <c r="I132" s="1351">
        <v>1280.079956</v>
      </c>
      <c r="J132" s="146">
        <f t="shared" si="3"/>
        <v>2.5466771348641615E-2</v>
      </c>
      <c r="K132" s="851"/>
      <c r="L132" s="851"/>
    </row>
    <row r="133" spans="2:12">
      <c r="B133" s="145">
        <v>38749</v>
      </c>
      <c r="C133" s="1356">
        <v>68.022002999999998</v>
      </c>
      <c r="D133" s="1127">
        <v>72.324898000000005</v>
      </c>
      <c r="E133" s="1127">
        <v>65.458602999999997</v>
      </c>
      <c r="F133" s="1127">
        <v>66.557198</v>
      </c>
      <c r="G133" s="1127">
        <v>44.966042000000002</v>
      </c>
      <c r="H133" s="1357">
        <f t="shared" ref="H133:H196" si="4">F133/F132-1</f>
        <v>-2.6122852194796153E-2</v>
      </c>
      <c r="I133" s="1351">
        <v>1280.660034</v>
      </c>
      <c r="J133" s="146">
        <f t="shared" ref="J133:J196" si="5">I133/I132-1</f>
        <v>4.5315763072539816E-4</v>
      </c>
      <c r="K133" s="851"/>
      <c r="L133" s="851"/>
    </row>
    <row r="134" spans="2:12">
      <c r="B134" s="145">
        <v>38777</v>
      </c>
      <c r="C134" s="1356">
        <v>66.191001999999997</v>
      </c>
      <c r="D134" s="1127">
        <v>68.525597000000005</v>
      </c>
      <c r="E134" s="1127">
        <v>64.222701999999998</v>
      </c>
      <c r="F134" s="1127">
        <v>66.969200000000001</v>
      </c>
      <c r="G134" s="1127">
        <v>45.244399999999999</v>
      </c>
      <c r="H134" s="1357">
        <f t="shared" si="4"/>
        <v>6.1901944850502044E-3</v>
      </c>
      <c r="I134" s="1351">
        <v>1294.869995</v>
      </c>
      <c r="J134" s="146">
        <f t="shared" si="5"/>
        <v>1.1095810459249567E-2</v>
      </c>
      <c r="K134" s="851"/>
      <c r="L134" s="851"/>
    </row>
    <row r="135" spans="2:12">
      <c r="B135" s="145">
        <v>38808</v>
      </c>
      <c r="C135" s="1356">
        <v>66.877701000000002</v>
      </c>
      <c r="D135" s="1127">
        <v>71.592499000000004</v>
      </c>
      <c r="E135" s="1127">
        <v>66.282600000000002</v>
      </c>
      <c r="F135" s="1127">
        <v>71.317902000000004</v>
      </c>
      <c r="G135" s="1127">
        <v>48.182380999999999</v>
      </c>
      <c r="H135" s="1357">
        <f t="shared" si="4"/>
        <v>6.4935851107673415E-2</v>
      </c>
      <c r="I135" s="1351">
        <v>1310.6099850000001</v>
      </c>
      <c r="J135" s="146">
        <f t="shared" si="5"/>
        <v>1.2155652737941391E-2</v>
      </c>
      <c r="K135" s="851"/>
      <c r="L135" s="851"/>
    </row>
    <row r="136" spans="2:12">
      <c r="B136" s="145">
        <v>38838</v>
      </c>
      <c r="C136" s="1356">
        <v>72.324898000000005</v>
      </c>
      <c r="D136" s="1127">
        <v>73.057297000000005</v>
      </c>
      <c r="E136" s="1127">
        <v>61.567698999999998</v>
      </c>
      <c r="F136" s="1127">
        <v>64.405799999999999</v>
      </c>
      <c r="G136" s="1127">
        <v>43.512566</v>
      </c>
      <c r="H136" s="1357">
        <f t="shared" si="4"/>
        <v>-9.6919592502875407E-2</v>
      </c>
      <c r="I136" s="1351">
        <v>1270.089966</v>
      </c>
      <c r="J136" s="146">
        <f t="shared" si="5"/>
        <v>-3.0916916141150885E-2</v>
      </c>
      <c r="K136" s="851"/>
      <c r="L136" s="851"/>
    </row>
    <row r="137" spans="2:12">
      <c r="B137" s="145">
        <v>38869</v>
      </c>
      <c r="C137" s="1356">
        <v>64.405799999999999</v>
      </c>
      <c r="D137" s="1127">
        <v>66.191001999999997</v>
      </c>
      <c r="E137" s="1127">
        <v>56.624001</v>
      </c>
      <c r="F137" s="1127">
        <v>62.620601999999998</v>
      </c>
      <c r="G137" s="1127">
        <v>43.540168999999999</v>
      </c>
      <c r="H137" s="1357">
        <f t="shared" si="4"/>
        <v>-2.7717969499641337E-2</v>
      </c>
      <c r="I137" s="1351">
        <v>1270.1999510000001</v>
      </c>
      <c r="J137" s="146">
        <f t="shared" si="5"/>
        <v>8.6596227782509416E-5</v>
      </c>
      <c r="K137" s="851"/>
      <c r="L137" s="851"/>
    </row>
    <row r="138" spans="2:12">
      <c r="B138" s="145">
        <v>38899</v>
      </c>
      <c r="C138" s="1356">
        <v>62.803699000000002</v>
      </c>
      <c r="D138" s="1127">
        <v>64.039597000000001</v>
      </c>
      <c r="E138" s="1127">
        <v>57.035998999999997</v>
      </c>
      <c r="F138" s="1127">
        <v>63.124099999999999</v>
      </c>
      <c r="G138" s="1127">
        <v>43.890250999999999</v>
      </c>
      <c r="H138" s="1357">
        <f t="shared" si="4"/>
        <v>8.0404528848190271E-3</v>
      </c>
      <c r="I138" s="1351">
        <v>1276.660034</v>
      </c>
      <c r="J138" s="146">
        <f t="shared" si="5"/>
        <v>5.0858787979908282E-3</v>
      </c>
      <c r="K138" s="851"/>
      <c r="L138" s="851"/>
    </row>
    <row r="139" spans="2:12">
      <c r="B139" s="145">
        <v>38930</v>
      </c>
      <c r="C139" s="1356">
        <v>61.338901999999997</v>
      </c>
      <c r="D139" s="1127">
        <v>63.581798999999997</v>
      </c>
      <c r="E139" s="1127">
        <v>60.057200999999999</v>
      </c>
      <c r="F139" s="1127">
        <v>62.849400000000003</v>
      </c>
      <c r="G139" s="1127">
        <v>43.699257000000003</v>
      </c>
      <c r="H139" s="1357">
        <f t="shared" si="4"/>
        <v>-4.3517452130009682E-3</v>
      </c>
      <c r="I139" s="1351">
        <v>1303.8199460000001</v>
      </c>
      <c r="J139" s="146">
        <f t="shared" si="5"/>
        <v>2.1274193032348121E-2</v>
      </c>
      <c r="K139" s="851"/>
      <c r="L139" s="851"/>
    </row>
    <row r="140" spans="2:12">
      <c r="B140" s="145">
        <v>38961</v>
      </c>
      <c r="C140" s="1356">
        <v>62.895198999999998</v>
      </c>
      <c r="D140" s="1127">
        <v>67.976303000000001</v>
      </c>
      <c r="E140" s="1127">
        <v>62.300097999999998</v>
      </c>
      <c r="F140" s="1127">
        <v>66.236801</v>
      </c>
      <c r="G140" s="1127">
        <v>46.054516</v>
      </c>
      <c r="H140" s="1357">
        <f t="shared" si="4"/>
        <v>5.3897109598500581E-2</v>
      </c>
      <c r="I140" s="1351">
        <v>1335.849976</v>
      </c>
      <c r="J140" s="146">
        <f t="shared" si="5"/>
        <v>2.4566298512509466E-2</v>
      </c>
      <c r="K140" s="851"/>
      <c r="L140" s="851"/>
    </row>
    <row r="141" spans="2:12">
      <c r="B141" s="145">
        <v>38991</v>
      </c>
      <c r="C141" s="1356">
        <v>66.191001999999997</v>
      </c>
      <c r="D141" s="1127">
        <v>70.722801000000004</v>
      </c>
      <c r="E141" s="1127">
        <v>65.321297000000001</v>
      </c>
      <c r="F141" s="1127">
        <v>68.662903</v>
      </c>
      <c r="G141" s="1127">
        <v>47.741390000000003</v>
      </c>
      <c r="H141" s="1357">
        <f t="shared" si="4"/>
        <v>3.6627704891726287E-2</v>
      </c>
      <c r="I141" s="1351">
        <v>1377.9399410000001</v>
      </c>
      <c r="J141" s="146">
        <f t="shared" si="5"/>
        <v>3.1508002961554205E-2</v>
      </c>
      <c r="K141" s="851"/>
      <c r="L141" s="851"/>
    </row>
    <row r="142" spans="2:12">
      <c r="B142" s="145">
        <v>39022</v>
      </c>
      <c r="C142" s="1356">
        <v>68.617103999999998</v>
      </c>
      <c r="D142" s="1127">
        <v>75.117203000000003</v>
      </c>
      <c r="E142" s="1127">
        <v>68.159401000000003</v>
      </c>
      <c r="F142" s="1127">
        <v>72.553802000000005</v>
      </c>
      <c r="G142" s="1127">
        <v>50.446734999999997</v>
      </c>
      <c r="H142" s="1357">
        <f t="shared" si="4"/>
        <v>5.6666683609343016E-2</v>
      </c>
      <c r="I142" s="1351">
        <v>1400.630005</v>
      </c>
      <c r="J142" s="146">
        <f t="shared" si="5"/>
        <v>1.6466656727820217E-2</v>
      </c>
      <c r="K142" s="851"/>
      <c r="L142" s="851"/>
    </row>
    <row r="143" spans="2:12">
      <c r="B143" s="145">
        <v>39052</v>
      </c>
      <c r="C143" s="1356">
        <v>72.416495999999995</v>
      </c>
      <c r="D143" s="1127">
        <v>78.367203000000003</v>
      </c>
      <c r="E143" s="1127">
        <v>72.004501000000005</v>
      </c>
      <c r="F143" s="1127">
        <v>78.046798999999993</v>
      </c>
      <c r="G143" s="1127">
        <v>54.266022</v>
      </c>
      <c r="H143" s="1357">
        <f t="shared" si="4"/>
        <v>7.5709292257351235E-2</v>
      </c>
      <c r="I143" s="1351">
        <v>1418.3000489999999</v>
      </c>
      <c r="J143" s="146">
        <f t="shared" si="5"/>
        <v>1.2615782852659851E-2</v>
      </c>
      <c r="K143" s="851"/>
      <c r="L143" s="851"/>
    </row>
    <row r="144" spans="2:12">
      <c r="B144" s="145">
        <v>39083</v>
      </c>
      <c r="C144" s="1356">
        <v>78.779197999999994</v>
      </c>
      <c r="D144" s="1127">
        <v>81.571503000000007</v>
      </c>
      <c r="E144" s="1127">
        <v>75.437599000000006</v>
      </c>
      <c r="F144" s="1127">
        <v>80.427100999999993</v>
      </c>
      <c r="G144" s="1127">
        <v>55.921047000000002</v>
      </c>
      <c r="H144" s="1357">
        <f t="shared" si="4"/>
        <v>3.0498393662499845E-2</v>
      </c>
      <c r="I144" s="1351">
        <v>1438.23999</v>
      </c>
      <c r="J144" s="146">
        <f t="shared" si="5"/>
        <v>1.4059042735039773E-2</v>
      </c>
      <c r="K144" s="851"/>
      <c r="L144" s="851"/>
    </row>
    <row r="145" spans="2:12">
      <c r="B145" s="145">
        <v>39114</v>
      </c>
      <c r="C145" s="1356">
        <v>81.251098999999996</v>
      </c>
      <c r="D145" s="1127">
        <v>86.149001999999996</v>
      </c>
      <c r="E145" s="1127">
        <v>77.085503000000003</v>
      </c>
      <c r="F145" s="1127">
        <v>77.360198999999994</v>
      </c>
      <c r="G145" s="1127">
        <v>53.788628000000003</v>
      </c>
      <c r="H145" s="1357">
        <f t="shared" si="4"/>
        <v>-3.8132693605355761E-2</v>
      </c>
      <c r="I145" s="1351">
        <v>1406.8199460000001</v>
      </c>
      <c r="J145" s="146">
        <f t="shared" si="5"/>
        <v>-2.1846176033528231E-2</v>
      </c>
      <c r="K145" s="851"/>
      <c r="L145" s="851"/>
    </row>
    <row r="146" spans="2:12">
      <c r="B146" s="145">
        <v>39142</v>
      </c>
      <c r="C146" s="1356">
        <v>77.360198999999994</v>
      </c>
      <c r="D146" s="1127">
        <v>83.402495999999999</v>
      </c>
      <c r="E146" s="1127">
        <v>75.071404000000001</v>
      </c>
      <c r="F146" s="1127">
        <v>79.832099999999997</v>
      </c>
      <c r="G146" s="1127">
        <v>55.507336000000002</v>
      </c>
      <c r="H146" s="1357">
        <f t="shared" si="4"/>
        <v>3.1953136521791992E-2</v>
      </c>
      <c r="I146" s="1351">
        <v>1420.8599850000001</v>
      </c>
      <c r="J146" s="146">
        <f t="shared" si="5"/>
        <v>9.9799828968305526E-3</v>
      </c>
      <c r="K146" s="851"/>
      <c r="L146" s="851"/>
    </row>
    <row r="147" spans="2:12">
      <c r="B147" s="145">
        <v>39173</v>
      </c>
      <c r="C147" s="1356">
        <v>79.511596999999995</v>
      </c>
      <c r="D147" s="1127">
        <v>87.659599</v>
      </c>
      <c r="E147" s="1127">
        <v>79.191199999999995</v>
      </c>
      <c r="F147" s="1127">
        <v>87.385002</v>
      </c>
      <c r="G147" s="1127">
        <v>60.758887999999999</v>
      </c>
      <c r="H147" s="1357">
        <f t="shared" si="4"/>
        <v>9.4609837396235408E-2</v>
      </c>
      <c r="I147" s="1351">
        <v>1482.369995</v>
      </c>
      <c r="J147" s="146">
        <f t="shared" si="5"/>
        <v>4.3290690602424187E-2</v>
      </c>
      <c r="K147" s="851"/>
      <c r="L147" s="851"/>
    </row>
    <row r="148" spans="2:12">
      <c r="B148" s="145">
        <v>39203</v>
      </c>
      <c r="C148" s="1356">
        <v>86.515297000000004</v>
      </c>
      <c r="D148" s="1127">
        <v>87.888496000000004</v>
      </c>
      <c r="E148" s="1127">
        <v>82.166602999999995</v>
      </c>
      <c r="F148" s="1127">
        <v>85.279297</v>
      </c>
      <c r="G148" s="1127">
        <v>59.294787999999997</v>
      </c>
      <c r="H148" s="1357">
        <f t="shared" si="4"/>
        <v>-2.4096869620715888E-2</v>
      </c>
      <c r="I148" s="1351">
        <v>1530.619995</v>
      </c>
      <c r="J148" s="146">
        <f t="shared" si="5"/>
        <v>3.254922870993493E-2</v>
      </c>
      <c r="K148" s="851"/>
      <c r="L148" s="851"/>
    </row>
    <row r="149" spans="2:12">
      <c r="B149" s="145">
        <v>39234</v>
      </c>
      <c r="C149" s="1356">
        <v>85.416602999999995</v>
      </c>
      <c r="D149" s="1127">
        <v>86.560997</v>
      </c>
      <c r="E149" s="1127">
        <v>78.046798999999993</v>
      </c>
      <c r="F149" s="1127">
        <v>79.969397999999998</v>
      </c>
      <c r="G149" s="1127">
        <v>57.069541999999998</v>
      </c>
      <c r="H149" s="1357">
        <f t="shared" si="4"/>
        <v>-6.2264807365848718E-2</v>
      </c>
      <c r="I149" s="1351">
        <v>1503.349976</v>
      </c>
      <c r="J149" s="146">
        <f t="shared" si="5"/>
        <v>-1.7816322202167556E-2</v>
      </c>
      <c r="K149" s="851"/>
      <c r="L149" s="851"/>
    </row>
    <row r="150" spans="2:12">
      <c r="B150" s="145">
        <v>39264</v>
      </c>
      <c r="C150" s="1356">
        <v>79.557404000000005</v>
      </c>
      <c r="D150" s="1127">
        <v>82.990600999999998</v>
      </c>
      <c r="E150" s="1127">
        <v>70.631202999999999</v>
      </c>
      <c r="F150" s="1127">
        <v>73.240402000000003</v>
      </c>
      <c r="G150" s="1127">
        <v>52.267448000000002</v>
      </c>
      <c r="H150" s="1357">
        <f t="shared" si="4"/>
        <v>-8.4144637427431834E-2</v>
      </c>
      <c r="I150" s="1351">
        <v>1455.2700199999999</v>
      </c>
      <c r="J150" s="146">
        <f t="shared" si="5"/>
        <v>-3.1981878316802548E-2</v>
      </c>
      <c r="K150" s="851"/>
      <c r="L150" s="851"/>
    </row>
    <row r="151" spans="2:12">
      <c r="B151" s="145">
        <v>39295</v>
      </c>
      <c r="C151" s="1356">
        <v>75.071404000000001</v>
      </c>
      <c r="D151" s="1127">
        <v>78.550399999999996</v>
      </c>
      <c r="E151" s="1127">
        <v>69.853104000000002</v>
      </c>
      <c r="F151" s="1127">
        <v>72.279099000000002</v>
      </c>
      <c r="G151" s="1127">
        <v>51.581429</v>
      </c>
      <c r="H151" s="1357">
        <f t="shared" si="4"/>
        <v>-1.312531026249697E-2</v>
      </c>
      <c r="I151" s="1351">
        <v>1473.98999</v>
      </c>
      <c r="J151" s="146">
        <f t="shared" si="5"/>
        <v>1.2863571531556817E-2</v>
      </c>
      <c r="K151" s="851"/>
      <c r="L151" s="851"/>
    </row>
    <row r="152" spans="2:12">
      <c r="B152" s="145">
        <v>39326</v>
      </c>
      <c r="C152" s="1356">
        <v>72.874199000000004</v>
      </c>
      <c r="D152" s="1127">
        <v>74.659499999999994</v>
      </c>
      <c r="E152" s="1127">
        <v>68.296700000000001</v>
      </c>
      <c r="F152" s="1127">
        <v>70.768600000000006</v>
      </c>
      <c r="G152" s="1127">
        <v>50.503470999999998</v>
      </c>
      <c r="H152" s="1357">
        <f t="shared" si="4"/>
        <v>-2.0898143735853636E-2</v>
      </c>
      <c r="I152" s="1351">
        <v>1526.75</v>
      </c>
      <c r="J152" s="146">
        <f t="shared" si="5"/>
        <v>3.5794008343299488E-2</v>
      </c>
      <c r="K152" s="851"/>
      <c r="L152" s="851"/>
    </row>
    <row r="153" spans="2:12">
      <c r="B153" s="145">
        <v>39356</v>
      </c>
      <c r="C153" s="1356">
        <v>69.715698000000003</v>
      </c>
      <c r="D153" s="1127">
        <v>75.574996999999996</v>
      </c>
      <c r="E153" s="1127">
        <v>68.342499000000004</v>
      </c>
      <c r="F153" s="1127">
        <v>71.317902000000004</v>
      </c>
      <c r="G153" s="1127">
        <v>50.895477</v>
      </c>
      <c r="H153" s="1357">
        <f t="shared" si="4"/>
        <v>7.7619452695121272E-3</v>
      </c>
      <c r="I153" s="1351">
        <v>1549.380005</v>
      </c>
      <c r="J153" s="146">
        <f t="shared" si="5"/>
        <v>1.4822338300311211E-2</v>
      </c>
      <c r="K153" s="851"/>
      <c r="L153" s="851"/>
    </row>
    <row r="154" spans="2:12">
      <c r="B154" s="145">
        <v>39387</v>
      </c>
      <c r="C154" s="1356">
        <v>70.585503000000003</v>
      </c>
      <c r="D154" s="1127">
        <v>71.134804000000003</v>
      </c>
      <c r="E154" s="1127">
        <v>56.303600000000003</v>
      </c>
      <c r="F154" s="1127">
        <v>62.391700999999998</v>
      </c>
      <c r="G154" s="1127">
        <v>44.525364000000003</v>
      </c>
      <c r="H154" s="1357">
        <f t="shared" si="4"/>
        <v>-0.12516073453759202</v>
      </c>
      <c r="I154" s="1351">
        <v>1481.1400149999999</v>
      </c>
      <c r="J154" s="146">
        <f t="shared" si="5"/>
        <v>-4.4043417224814418E-2</v>
      </c>
      <c r="K154" s="851"/>
      <c r="L154" s="851"/>
    </row>
    <row r="155" spans="2:12">
      <c r="B155" s="145">
        <v>39417</v>
      </c>
      <c r="C155" s="1356">
        <v>61.979697999999999</v>
      </c>
      <c r="D155" s="1127">
        <v>67.289597000000001</v>
      </c>
      <c r="E155" s="1127">
        <v>60.881100000000004</v>
      </c>
      <c r="F155" s="1127">
        <v>62.345900999999998</v>
      </c>
      <c r="G155" s="1127">
        <v>44.49268</v>
      </c>
      <c r="H155" s="1357">
        <f t="shared" si="4"/>
        <v>-7.340719881959723E-4</v>
      </c>
      <c r="I155" s="1351">
        <v>1468.3599850000001</v>
      </c>
      <c r="J155" s="146">
        <f t="shared" si="5"/>
        <v>-8.6285090339686121E-3</v>
      </c>
      <c r="K155" s="851"/>
      <c r="L155" s="851"/>
    </row>
    <row r="156" spans="2:12">
      <c r="B156" s="145">
        <v>39448</v>
      </c>
      <c r="C156" s="1356">
        <v>61.338901999999997</v>
      </c>
      <c r="D156" s="1127">
        <v>61.705100999999999</v>
      </c>
      <c r="E156" s="1127">
        <v>44.749901000000001</v>
      </c>
      <c r="F156" s="1127">
        <v>55.662700999999998</v>
      </c>
      <c r="G156" s="1127">
        <v>39.723258999999999</v>
      </c>
      <c r="H156" s="1357">
        <f t="shared" si="4"/>
        <v>-0.10719549950846008</v>
      </c>
      <c r="I156" s="1351">
        <v>1378.5500489999999</v>
      </c>
      <c r="J156" s="146">
        <f t="shared" si="5"/>
        <v>-6.116343193593643E-2</v>
      </c>
      <c r="K156" s="851"/>
      <c r="L156" s="851"/>
    </row>
    <row r="157" spans="2:12">
      <c r="B157" s="145">
        <v>39479</v>
      </c>
      <c r="C157" s="1356">
        <v>56.120499000000002</v>
      </c>
      <c r="D157" s="1127">
        <v>58.455002</v>
      </c>
      <c r="E157" s="1127">
        <v>46.645000000000003</v>
      </c>
      <c r="F157" s="1127">
        <v>47.606299999999997</v>
      </c>
      <c r="G157" s="1127">
        <v>33.973869000000001</v>
      </c>
      <c r="H157" s="1357">
        <f t="shared" si="4"/>
        <v>-0.1447360773958849</v>
      </c>
      <c r="I157" s="1351">
        <v>1330.630005</v>
      </c>
      <c r="J157" s="146">
        <f t="shared" si="5"/>
        <v>-3.4761192772624461E-2</v>
      </c>
      <c r="K157" s="851"/>
      <c r="L157" s="851"/>
    </row>
    <row r="158" spans="2:12">
      <c r="B158" s="145">
        <v>39508</v>
      </c>
      <c r="C158" s="1356">
        <v>46.4161</v>
      </c>
      <c r="D158" s="1127">
        <v>48.887999999999998</v>
      </c>
      <c r="E158" s="1127">
        <v>41.014598999999997</v>
      </c>
      <c r="F158" s="1127">
        <v>46.278801000000001</v>
      </c>
      <c r="G158" s="1127">
        <v>33.026511999999997</v>
      </c>
      <c r="H158" s="1357">
        <f t="shared" si="4"/>
        <v>-2.7884943799455053E-2</v>
      </c>
      <c r="I158" s="1351">
        <v>1322.6999510000001</v>
      </c>
      <c r="J158" s="146">
        <f t="shared" si="5"/>
        <v>-5.9596236145298409E-3</v>
      </c>
      <c r="K158" s="851"/>
      <c r="L158" s="851"/>
    </row>
    <row r="159" spans="2:12">
      <c r="B159" s="145">
        <v>39539</v>
      </c>
      <c r="C159" s="1356">
        <v>46.095699000000003</v>
      </c>
      <c r="D159" s="1127">
        <v>53.877499</v>
      </c>
      <c r="E159" s="1127">
        <v>46.049900000000001</v>
      </c>
      <c r="F159" s="1127">
        <v>52.824699000000003</v>
      </c>
      <c r="G159" s="1127">
        <v>37.697944999999997</v>
      </c>
      <c r="H159" s="1357">
        <f t="shared" si="4"/>
        <v>0.14144484858196749</v>
      </c>
      <c r="I159" s="1351">
        <v>1385.589966</v>
      </c>
      <c r="J159" s="146">
        <f t="shared" si="5"/>
        <v>4.7546697913198877E-2</v>
      </c>
      <c r="K159" s="851"/>
      <c r="L159" s="851"/>
    </row>
    <row r="160" spans="2:12">
      <c r="B160" s="145">
        <v>39569</v>
      </c>
      <c r="C160" s="1356">
        <v>52.549999</v>
      </c>
      <c r="D160" s="1127">
        <v>54.243698000000002</v>
      </c>
      <c r="E160" s="1127">
        <v>47.240101000000003</v>
      </c>
      <c r="F160" s="1127">
        <v>48.613300000000002</v>
      </c>
      <c r="G160" s="1127">
        <v>34.692512999999998</v>
      </c>
      <c r="H160" s="1357">
        <f t="shared" si="4"/>
        <v>-7.9724051054223755E-2</v>
      </c>
      <c r="I160" s="1351">
        <v>1400.380005</v>
      </c>
      <c r="J160" s="146">
        <f t="shared" si="5"/>
        <v>1.0674181657577053E-2</v>
      </c>
      <c r="K160" s="851"/>
      <c r="L160" s="851"/>
    </row>
    <row r="161" spans="2:12">
      <c r="B161" s="145">
        <v>39600</v>
      </c>
      <c r="C161" s="1356">
        <v>48.750701999999997</v>
      </c>
      <c r="D161" s="1127">
        <v>48.842201000000003</v>
      </c>
      <c r="E161" s="1127">
        <v>41.380797999999999</v>
      </c>
      <c r="F161" s="1127">
        <v>42.937199</v>
      </c>
      <c r="G161" s="1127">
        <v>32.164009</v>
      </c>
      <c r="H161" s="1357">
        <f t="shared" si="4"/>
        <v>-0.11676024873851398</v>
      </c>
      <c r="I161" s="1351">
        <v>1280</v>
      </c>
      <c r="J161" s="146">
        <f t="shared" si="5"/>
        <v>-8.5962384902803612E-2</v>
      </c>
      <c r="K161" s="851"/>
      <c r="L161" s="851"/>
    </row>
    <row r="162" spans="2:12">
      <c r="B162" s="145">
        <v>39630</v>
      </c>
      <c r="C162" s="1356">
        <v>42.845599999999997</v>
      </c>
      <c r="D162" s="1127">
        <v>49.620398999999999</v>
      </c>
      <c r="E162" s="1127">
        <v>34.697701000000002</v>
      </c>
      <c r="F162" s="1127">
        <v>48.292900000000003</v>
      </c>
      <c r="G162" s="1127">
        <v>36.175933999999998</v>
      </c>
      <c r="H162" s="1357">
        <f t="shared" si="4"/>
        <v>0.1247333576649936</v>
      </c>
      <c r="I162" s="1351">
        <v>1267.380005</v>
      </c>
      <c r="J162" s="146">
        <f t="shared" si="5"/>
        <v>-9.8593710937500134E-3</v>
      </c>
      <c r="K162" s="851"/>
      <c r="L162" s="851"/>
    </row>
    <row r="163" spans="2:12">
      <c r="B163" s="145">
        <v>39661</v>
      </c>
      <c r="C163" s="1356">
        <v>47.880901000000001</v>
      </c>
      <c r="D163" s="1127">
        <v>51.863399999999999</v>
      </c>
      <c r="E163" s="1127">
        <v>43.980899999999998</v>
      </c>
      <c r="F163" s="1127">
        <v>46.828097999999997</v>
      </c>
      <c r="G163" s="1127">
        <v>35.078654999999998</v>
      </c>
      <c r="H163" s="1357">
        <f t="shared" si="4"/>
        <v>-3.0331622246748569E-2</v>
      </c>
      <c r="I163" s="1351">
        <v>1282.829956</v>
      </c>
      <c r="J163" s="146">
        <f t="shared" si="5"/>
        <v>1.2190464532380041E-2</v>
      </c>
      <c r="K163" s="851"/>
      <c r="L163" s="851"/>
    </row>
    <row r="164" spans="2:12">
      <c r="B164" s="145">
        <v>39692</v>
      </c>
      <c r="C164" s="1356">
        <v>46.278801000000001</v>
      </c>
      <c r="D164" s="1127">
        <v>53.923302</v>
      </c>
      <c r="E164" s="1127">
        <v>41.582199000000003</v>
      </c>
      <c r="F164" s="1127">
        <v>45.683700999999999</v>
      </c>
      <c r="G164" s="1127">
        <v>34.221397000000003</v>
      </c>
      <c r="H164" s="1357">
        <f t="shared" si="4"/>
        <v>-2.4438254998099596E-2</v>
      </c>
      <c r="I164" s="1351">
        <v>1166.3599850000001</v>
      </c>
      <c r="J164" s="146">
        <f t="shared" si="5"/>
        <v>-9.0791433779084607E-2</v>
      </c>
      <c r="K164" s="851"/>
      <c r="L164" s="851"/>
    </row>
    <row r="165" spans="2:12">
      <c r="B165" s="145">
        <v>39722</v>
      </c>
      <c r="C165" s="1356">
        <v>47.789397999999998</v>
      </c>
      <c r="D165" s="1127">
        <v>53.099299999999999</v>
      </c>
      <c r="E165" s="1127">
        <v>31.035601</v>
      </c>
      <c r="F165" s="1127">
        <v>39.751201999999999</v>
      </c>
      <c r="G165" s="1127">
        <v>29.777397000000001</v>
      </c>
      <c r="H165" s="1357">
        <f t="shared" si="4"/>
        <v>-0.12986029743956162</v>
      </c>
      <c r="I165" s="1351">
        <v>968.75</v>
      </c>
      <c r="J165" s="146">
        <f t="shared" si="5"/>
        <v>-0.1694245237674199</v>
      </c>
      <c r="K165" s="851"/>
      <c r="L165" s="851"/>
    </row>
    <row r="166" spans="2:12">
      <c r="B166" s="145">
        <v>39753</v>
      </c>
      <c r="C166" s="1356">
        <v>41.106200999999999</v>
      </c>
      <c r="D166" s="1127">
        <v>41.106200999999999</v>
      </c>
      <c r="E166" s="1127">
        <v>22.063700000000001</v>
      </c>
      <c r="F166" s="1127">
        <v>32.646900000000002</v>
      </c>
      <c r="G166" s="1127">
        <v>24.455606</v>
      </c>
      <c r="H166" s="1357">
        <f t="shared" si="4"/>
        <v>-0.17871917432836359</v>
      </c>
      <c r="I166" s="1351">
        <v>896.23999000000003</v>
      </c>
      <c r="J166" s="146">
        <f t="shared" si="5"/>
        <v>-7.4849042580645175E-2</v>
      </c>
      <c r="K166" s="851"/>
      <c r="L166" s="851"/>
    </row>
    <row r="167" spans="2:12">
      <c r="B167" s="145">
        <v>39783</v>
      </c>
      <c r="C167" s="1356">
        <v>32.207500000000003</v>
      </c>
      <c r="D167" s="1127">
        <v>32.262402000000002</v>
      </c>
      <c r="E167" s="1127">
        <v>23.803101000000002</v>
      </c>
      <c r="F167" s="1127">
        <v>26.091899999999999</v>
      </c>
      <c r="G167" s="1127">
        <v>19.545292</v>
      </c>
      <c r="H167" s="1357">
        <f t="shared" si="4"/>
        <v>-0.200784760574511</v>
      </c>
      <c r="I167" s="1351">
        <v>903.25</v>
      </c>
      <c r="J167" s="146">
        <f t="shared" si="5"/>
        <v>7.8215768970539834E-3</v>
      </c>
      <c r="K167" s="851"/>
      <c r="L167" s="851"/>
    </row>
    <row r="168" spans="2:12">
      <c r="B168" s="145">
        <v>39814</v>
      </c>
      <c r="C168" s="1356">
        <v>27.391898999999999</v>
      </c>
      <c r="D168" s="1127">
        <v>31.401800000000001</v>
      </c>
      <c r="E168" s="1127">
        <v>19.738299999999999</v>
      </c>
      <c r="F168" s="1127">
        <v>27.318701000000001</v>
      </c>
      <c r="G168" s="1127">
        <v>20.464285</v>
      </c>
      <c r="H168" s="1357">
        <f t="shared" si="4"/>
        <v>4.7018461668180578E-2</v>
      </c>
      <c r="I168" s="1351">
        <v>825.88000499999998</v>
      </c>
      <c r="J168" s="146">
        <f t="shared" si="5"/>
        <v>-8.5657342928314395E-2</v>
      </c>
      <c r="K168" s="851"/>
      <c r="L168" s="851"/>
    </row>
    <row r="169" spans="2:12">
      <c r="B169" s="145">
        <v>39845</v>
      </c>
      <c r="C169" s="1356">
        <v>26.751100999999998</v>
      </c>
      <c r="D169" s="1127">
        <v>30.632798999999999</v>
      </c>
      <c r="E169" s="1127">
        <v>21.789000000000001</v>
      </c>
      <c r="F169" s="1127">
        <v>26.476400000000002</v>
      </c>
      <c r="G169" s="1127">
        <v>19.833321000000002</v>
      </c>
      <c r="H169" s="1357">
        <f t="shared" si="4"/>
        <v>-3.0832395727747097E-2</v>
      </c>
      <c r="I169" s="1351">
        <v>735.09002699999996</v>
      </c>
      <c r="J169" s="146">
        <f t="shared" si="5"/>
        <v>-0.10993119757149228</v>
      </c>
      <c r="K169" s="851"/>
      <c r="L169" s="851"/>
    </row>
    <row r="170" spans="2:12">
      <c r="B170" s="145">
        <v>39873</v>
      </c>
      <c r="C170" s="1356">
        <v>25.158100000000001</v>
      </c>
      <c r="D170" s="1127">
        <v>34.953999000000003</v>
      </c>
      <c r="E170" s="1127">
        <v>19.994599999999998</v>
      </c>
      <c r="F170" s="1127">
        <v>31.731400000000001</v>
      </c>
      <c r="G170" s="1127">
        <v>23.769808000000001</v>
      </c>
      <c r="H170" s="1357">
        <f t="shared" si="4"/>
        <v>0.19847864513302405</v>
      </c>
      <c r="I170" s="1351">
        <v>797.86999500000002</v>
      </c>
      <c r="J170" s="146">
        <f t="shared" si="5"/>
        <v>8.540446162249471E-2</v>
      </c>
      <c r="K170" s="851"/>
      <c r="L170" s="851"/>
    </row>
    <row r="171" spans="2:12">
      <c r="B171" s="145">
        <v>39904</v>
      </c>
      <c r="C171" s="1356">
        <v>31.566600999999999</v>
      </c>
      <c r="D171" s="1127">
        <v>42.021701999999998</v>
      </c>
      <c r="E171" s="1127">
        <v>30.5779</v>
      </c>
      <c r="F171" s="1127">
        <v>40.831501000000003</v>
      </c>
      <c r="G171" s="1127">
        <v>30.586641</v>
      </c>
      <c r="H171" s="1357">
        <f t="shared" si="4"/>
        <v>0.28678536087282636</v>
      </c>
      <c r="I171" s="1351">
        <v>872.80999799999995</v>
      </c>
      <c r="J171" s="146">
        <f t="shared" si="5"/>
        <v>9.3925079862164695E-2</v>
      </c>
      <c r="K171" s="851"/>
      <c r="L171" s="851"/>
    </row>
    <row r="172" spans="2:12">
      <c r="B172" s="145">
        <v>39934</v>
      </c>
      <c r="C172" s="1356">
        <v>43.538100999999997</v>
      </c>
      <c r="D172" s="1127">
        <v>44.456901999999999</v>
      </c>
      <c r="E172" s="1127">
        <v>38.176600999999998</v>
      </c>
      <c r="F172" s="1127">
        <v>43.559699999999999</v>
      </c>
      <c r="G172" s="1127">
        <v>32.711708000000002</v>
      </c>
      <c r="H172" s="1357">
        <f t="shared" si="4"/>
        <v>6.6816035001995067E-2</v>
      </c>
      <c r="I172" s="1351">
        <v>919.14001499999995</v>
      </c>
      <c r="J172" s="146">
        <f t="shared" si="5"/>
        <v>5.3081446255385467E-2</v>
      </c>
      <c r="K172" s="851"/>
      <c r="L172" s="851"/>
    </row>
    <row r="173" spans="2:12">
      <c r="B173" s="145">
        <v>39965</v>
      </c>
      <c r="C173" s="1356">
        <v>43.538100999999997</v>
      </c>
      <c r="D173" s="1127">
        <v>47.423198999999997</v>
      </c>
      <c r="E173" s="1127">
        <v>41.307597999999999</v>
      </c>
      <c r="F173" s="1127">
        <v>45.409100000000002</v>
      </c>
      <c r="G173" s="1127">
        <v>34.100548000000003</v>
      </c>
      <c r="H173" s="1357">
        <f t="shared" si="4"/>
        <v>4.2456674403175576E-2</v>
      </c>
      <c r="I173" s="1351">
        <v>919.32000700000003</v>
      </c>
      <c r="J173" s="146">
        <f t="shared" si="5"/>
        <v>1.9582653030303376E-4</v>
      </c>
      <c r="K173" s="851"/>
      <c r="L173" s="851"/>
    </row>
    <row r="174" spans="2:12">
      <c r="B174" s="145">
        <v>39995</v>
      </c>
      <c r="C174" s="1356">
        <v>45.573799000000001</v>
      </c>
      <c r="D174" s="1127">
        <v>48.704898999999997</v>
      </c>
      <c r="E174" s="1127">
        <v>42.662601000000002</v>
      </c>
      <c r="F174" s="1127">
        <v>46.233001999999999</v>
      </c>
      <c r="G174" s="1127">
        <v>34.719265</v>
      </c>
      <c r="H174" s="1357">
        <f t="shared" si="4"/>
        <v>1.814398435555864E-2</v>
      </c>
      <c r="I174" s="1351">
        <v>987.47997999999995</v>
      </c>
      <c r="J174" s="146">
        <f t="shared" si="5"/>
        <v>7.4141727016716619E-2</v>
      </c>
      <c r="K174" s="851"/>
      <c r="L174" s="851"/>
    </row>
    <row r="175" spans="2:12">
      <c r="B175" s="145">
        <v>40026</v>
      </c>
      <c r="C175" s="1356">
        <v>46.004100999999999</v>
      </c>
      <c r="D175" s="1127">
        <v>51.1768</v>
      </c>
      <c r="E175" s="1127">
        <v>45.912601000000002</v>
      </c>
      <c r="F175" s="1127">
        <v>49.391499000000003</v>
      </c>
      <c r="G175" s="1127">
        <v>37.091178999999997</v>
      </c>
      <c r="H175" s="1357">
        <f t="shared" si="4"/>
        <v>6.8316935162462622E-2</v>
      </c>
      <c r="I175" s="1351">
        <v>1020.619995</v>
      </c>
      <c r="J175" s="146">
        <f t="shared" si="5"/>
        <v>3.3560189240494864E-2</v>
      </c>
      <c r="K175" s="851"/>
      <c r="L175" s="851"/>
    </row>
    <row r="176" spans="2:12">
      <c r="B176" s="145">
        <v>40057</v>
      </c>
      <c r="C176" s="1356">
        <v>49.391499000000003</v>
      </c>
      <c r="D176" s="1127">
        <v>54.060600000000001</v>
      </c>
      <c r="E176" s="1127">
        <v>46.324599999999997</v>
      </c>
      <c r="F176" s="1127">
        <v>52.641601999999999</v>
      </c>
      <c r="G176" s="1127">
        <v>39.531883000000001</v>
      </c>
      <c r="H176" s="1357">
        <f t="shared" si="4"/>
        <v>6.5802882394802253E-2</v>
      </c>
      <c r="I176" s="1351">
        <v>1057.079956</v>
      </c>
      <c r="J176" s="146">
        <f t="shared" si="5"/>
        <v>3.5723345788458705E-2</v>
      </c>
      <c r="K176" s="851"/>
      <c r="L176" s="851"/>
    </row>
    <row r="177" spans="2:12">
      <c r="B177" s="145">
        <v>40087</v>
      </c>
      <c r="C177" s="1356">
        <v>52.916198999999999</v>
      </c>
      <c r="D177" s="1127">
        <v>55.754299000000003</v>
      </c>
      <c r="E177" s="1127">
        <v>48.796398000000003</v>
      </c>
      <c r="F177" s="1127">
        <v>50.764800999999999</v>
      </c>
      <c r="G177" s="1127">
        <v>38.122470999999997</v>
      </c>
      <c r="H177" s="1357">
        <f t="shared" si="4"/>
        <v>-3.5652429422645571E-2</v>
      </c>
      <c r="I177" s="1351">
        <v>1036.1899410000001</v>
      </c>
      <c r="J177" s="146">
        <f t="shared" si="5"/>
        <v>-1.9762000860415463E-2</v>
      </c>
      <c r="K177" s="851"/>
      <c r="L177" s="851"/>
    </row>
    <row r="178" spans="2:12">
      <c r="B178" s="145">
        <v>40118</v>
      </c>
      <c r="C178" s="1356">
        <v>50.490101000000003</v>
      </c>
      <c r="D178" s="1127">
        <v>53.694400999999999</v>
      </c>
      <c r="E178" s="1127">
        <v>45.637900999999999</v>
      </c>
      <c r="F178" s="1127">
        <v>47.606299999999997</v>
      </c>
      <c r="G178" s="1127">
        <v>35.750560999999998</v>
      </c>
      <c r="H178" s="1357">
        <f t="shared" si="4"/>
        <v>-6.2218327222439029E-2</v>
      </c>
      <c r="I178" s="1351">
        <v>1095.630005</v>
      </c>
      <c r="J178" s="146">
        <f t="shared" si="5"/>
        <v>5.736406198137356E-2</v>
      </c>
      <c r="K178" s="851"/>
      <c r="L178" s="851"/>
    </row>
    <row r="179" spans="2:12">
      <c r="B179" s="145">
        <v>40148</v>
      </c>
      <c r="C179" s="1356">
        <v>48.155602000000002</v>
      </c>
      <c r="D179" s="1127">
        <v>50.957099999999997</v>
      </c>
      <c r="E179" s="1127">
        <v>45.912601000000002</v>
      </c>
      <c r="F179" s="1127">
        <v>50.957099999999997</v>
      </c>
      <c r="G179" s="1127">
        <v>38.266888000000002</v>
      </c>
      <c r="H179" s="1357">
        <f t="shared" si="4"/>
        <v>7.0385642236426627E-2</v>
      </c>
      <c r="I179" s="1351">
        <v>1115.099976</v>
      </c>
      <c r="J179" s="146">
        <f t="shared" si="5"/>
        <v>1.7770571188400419E-2</v>
      </c>
      <c r="K179" s="851"/>
      <c r="L179" s="851"/>
    </row>
    <row r="180" spans="2:12">
      <c r="B180" s="145">
        <v>40179</v>
      </c>
      <c r="C180" s="1356">
        <v>50.957099999999997</v>
      </c>
      <c r="D180" s="1127">
        <v>51.634498999999998</v>
      </c>
      <c r="E180" s="1127">
        <v>42.296298999999998</v>
      </c>
      <c r="F180" s="1127">
        <v>42.616798000000003</v>
      </c>
      <c r="G180" s="1127">
        <v>32.003627999999999</v>
      </c>
      <c r="H180" s="1357">
        <f t="shared" si="4"/>
        <v>-0.16367301121924116</v>
      </c>
      <c r="I180" s="1351">
        <v>1073.869995</v>
      </c>
      <c r="J180" s="146">
        <f t="shared" si="5"/>
        <v>-3.6974246154947377E-2</v>
      </c>
      <c r="K180" s="851"/>
      <c r="L180" s="851"/>
    </row>
    <row r="181" spans="2:12">
      <c r="B181" s="145">
        <v>40210</v>
      </c>
      <c r="C181" s="1356">
        <v>42.204799999999999</v>
      </c>
      <c r="D181" s="1127">
        <v>45.592201000000003</v>
      </c>
      <c r="E181" s="1127">
        <v>38.616000999999997</v>
      </c>
      <c r="F181" s="1127">
        <v>43.669601</v>
      </c>
      <c r="G181" s="1127">
        <v>32.794243000000002</v>
      </c>
      <c r="H181" s="1357">
        <f t="shared" si="4"/>
        <v>2.4703944205287209E-2</v>
      </c>
      <c r="I181" s="1351">
        <v>1104.48999</v>
      </c>
      <c r="J181" s="146">
        <f t="shared" si="5"/>
        <v>2.8513688940531301E-2</v>
      </c>
      <c r="K181" s="851"/>
      <c r="L181" s="851"/>
    </row>
    <row r="182" spans="2:12">
      <c r="B182" s="145">
        <v>40238</v>
      </c>
      <c r="C182" s="1356">
        <v>44.173099999999998</v>
      </c>
      <c r="D182" s="1127">
        <v>50.856299999999997</v>
      </c>
      <c r="E182" s="1127">
        <v>44.173099999999998</v>
      </c>
      <c r="F182" s="1127">
        <v>49.757702000000002</v>
      </c>
      <c r="G182" s="1127">
        <v>37.366177</v>
      </c>
      <c r="H182" s="1357">
        <f t="shared" si="4"/>
        <v>0.1394127919785666</v>
      </c>
      <c r="I182" s="1351">
        <v>1169.4300539999999</v>
      </c>
      <c r="J182" s="146">
        <f t="shared" si="5"/>
        <v>5.8796426031891835E-2</v>
      </c>
      <c r="K182" s="851"/>
      <c r="L182" s="851"/>
    </row>
    <row r="183" spans="2:12">
      <c r="B183" s="145">
        <v>40269</v>
      </c>
      <c r="C183" s="1356">
        <v>50.032398000000001</v>
      </c>
      <c r="D183" s="1127">
        <v>53.190899000000002</v>
      </c>
      <c r="E183" s="1127">
        <v>44.722400999999998</v>
      </c>
      <c r="F183" s="1127">
        <v>45.500599000000001</v>
      </c>
      <c r="G183" s="1127">
        <v>34.169257999999999</v>
      </c>
      <c r="H183" s="1357">
        <f t="shared" si="4"/>
        <v>-8.5556664172312447E-2</v>
      </c>
      <c r="I183" s="1351">
        <v>1186.6899410000001</v>
      </c>
      <c r="J183" s="146">
        <f t="shared" si="5"/>
        <v>1.4759229883791081E-2</v>
      </c>
      <c r="K183" s="851"/>
      <c r="L183" s="851"/>
    </row>
    <row r="184" spans="2:12">
      <c r="B184" s="145">
        <v>40299</v>
      </c>
      <c r="C184" s="1356">
        <v>45.042900000000003</v>
      </c>
      <c r="D184" s="1127">
        <v>46.3703</v>
      </c>
      <c r="E184" s="1127">
        <v>39.192799000000001</v>
      </c>
      <c r="F184" s="1127">
        <v>41.106200999999999</v>
      </c>
      <c r="G184" s="1127">
        <v>30.869226000000001</v>
      </c>
      <c r="H184" s="1357">
        <f t="shared" si="4"/>
        <v>-9.657890437881933E-2</v>
      </c>
      <c r="I184" s="1351">
        <v>1089.410034</v>
      </c>
      <c r="J184" s="146">
        <f t="shared" si="5"/>
        <v>-8.1975841910334468E-2</v>
      </c>
      <c r="K184" s="851"/>
      <c r="L184" s="851"/>
    </row>
    <row r="185" spans="2:12">
      <c r="B185" s="145">
        <v>40330</v>
      </c>
      <c r="C185" s="1356">
        <v>40.886501000000003</v>
      </c>
      <c r="D185" s="1127">
        <v>42.790698999999996</v>
      </c>
      <c r="E185" s="1127">
        <v>37.041401</v>
      </c>
      <c r="F185" s="1127">
        <v>37.462502000000001</v>
      </c>
      <c r="G185" s="1127">
        <v>29.401043000000001</v>
      </c>
      <c r="H185" s="1357">
        <f t="shared" si="4"/>
        <v>-8.8641103078340833E-2</v>
      </c>
      <c r="I185" s="1351">
        <v>1030.709961</v>
      </c>
      <c r="J185" s="146">
        <f t="shared" si="5"/>
        <v>-5.3882442026415123E-2</v>
      </c>
      <c r="K185" s="851"/>
      <c r="L185" s="851"/>
    </row>
    <row r="186" spans="2:12">
      <c r="B186" s="145">
        <v>40360</v>
      </c>
      <c r="C186" s="1356">
        <v>36.867401000000001</v>
      </c>
      <c r="D186" s="1127">
        <v>44.951301999999998</v>
      </c>
      <c r="E186" s="1127">
        <v>36.437099000000003</v>
      </c>
      <c r="F186" s="1127">
        <v>43.431598999999999</v>
      </c>
      <c r="G186" s="1127">
        <v>34.085667000000001</v>
      </c>
      <c r="H186" s="1357">
        <f t="shared" si="4"/>
        <v>0.1593352467488689</v>
      </c>
      <c r="I186" s="1351">
        <v>1101.599976</v>
      </c>
      <c r="J186" s="146">
        <f t="shared" si="5"/>
        <v>6.8777849911552336E-2</v>
      </c>
      <c r="K186" s="851"/>
      <c r="L186" s="851"/>
    </row>
    <row r="187" spans="2:12">
      <c r="B187" s="145">
        <v>40391</v>
      </c>
      <c r="C187" s="1356">
        <v>43.935101000000003</v>
      </c>
      <c r="D187" s="1127">
        <v>46.645000000000003</v>
      </c>
      <c r="E187" s="1127">
        <v>39.980099000000003</v>
      </c>
      <c r="F187" s="1127">
        <v>40.822398999999997</v>
      </c>
      <c r="G187" s="1127">
        <v>32.037936999999999</v>
      </c>
      <c r="H187" s="1357">
        <f t="shared" si="4"/>
        <v>-6.0076075025467079E-2</v>
      </c>
      <c r="I187" s="1351">
        <v>1049.329956</v>
      </c>
      <c r="J187" s="146">
        <f t="shared" si="5"/>
        <v>-4.7449184040287196E-2</v>
      </c>
      <c r="K187" s="851"/>
      <c r="L187" s="851"/>
    </row>
    <row r="188" spans="2:12">
      <c r="B188" s="145">
        <v>40422</v>
      </c>
      <c r="C188" s="1356">
        <v>41.271000000000001</v>
      </c>
      <c r="D188" s="1127">
        <v>43.440700999999997</v>
      </c>
      <c r="E188" s="1127">
        <v>38.213200000000001</v>
      </c>
      <c r="F188" s="1127">
        <v>38.451199000000003</v>
      </c>
      <c r="G188" s="1127">
        <v>30.176983</v>
      </c>
      <c r="H188" s="1357">
        <f t="shared" si="4"/>
        <v>-5.808575826227147E-2</v>
      </c>
      <c r="I188" s="1351">
        <v>1141.1999510000001</v>
      </c>
      <c r="J188" s="146">
        <f t="shared" si="5"/>
        <v>8.7551102944020132E-2</v>
      </c>
      <c r="K188" s="851"/>
      <c r="L188" s="851"/>
    </row>
    <row r="189" spans="2:12">
      <c r="B189" s="145">
        <v>40452</v>
      </c>
      <c r="C189" s="1356">
        <v>38.451199000000003</v>
      </c>
      <c r="D189" s="1127">
        <v>40.346297999999997</v>
      </c>
      <c r="E189" s="1127">
        <v>36.821601999999999</v>
      </c>
      <c r="F189" s="1127">
        <v>37.215302000000001</v>
      </c>
      <c r="G189" s="1127">
        <v>29.207037</v>
      </c>
      <c r="H189" s="1357">
        <f t="shared" si="4"/>
        <v>-3.2141962595236606E-2</v>
      </c>
      <c r="I189" s="1351">
        <v>1183.26001</v>
      </c>
      <c r="J189" s="146">
        <f t="shared" si="5"/>
        <v>3.6855994397076541E-2</v>
      </c>
      <c r="K189" s="851"/>
      <c r="L189" s="851"/>
    </row>
    <row r="190" spans="2:12">
      <c r="B190" s="145">
        <v>40483</v>
      </c>
      <c r="C190" s="1356">
        <v>37.645598999999997</v>
      </c>
      <c r="D190" s="1127">
        <v>39.183601000000003</v>
      </c>
      <c r="E190" s="1127">
        <v>33.763801999999998</v>
      </c>
      <c r="F190" s="1127">
        <v>33.910300999999997</v>
      </c>
      <c r="G190" s="1127">
        <v>26.613230000000001</v>
      </c>
      <c r="H190" s="1357">
        <f t="shared" si="4"/>
        <v>-8.8807582429399679E-2</v>
      </c>
      <c r="I190" s="1351">
        <v>1180.5500489999999</v>
      </c>
      <c r="J190" s="146">
        <f t="shared" si="5"/>
        <v>-2.2902497989432113E-3</v>
      </c>
      <c r="K190" s="851"/>
      <c r="L190" s="851"/>
    </row>
    <row r="191" spans="2:12">
      <c r="B191" s="145">
        <v>40513</v>
      </c>
      <c r="C191" s="1356">
        <v>33.965198999999998</v>
      </c>
      <c r="D191" s="1127">
        <v>36.437099000000003</v>
      </c>
      <c r="E191" s="1127">
        <v>33.965198999999998</v>
      </c>
      <c r="F191" s="1127">
        <v>34.487099000000001</v>
      </c>
      <c r="G191" s="1127">
        <v>27.065909999999999</v>
      </c>
      <c r="H191" s="1357">
        <f t="shared" si="4"/>
        <v>1.7009521678973183E-2</v>
      </c>
      <c r="I191" s="1351">
        <v>1257.6400149999999</v>
      </c>
      <c r="J191" s="146">
        <f t="shared" si="5"/>
        <v>6.5300040489854716E-2</v>
      </c>
      <c r="K191" s="851"/>
      <c r="L191" s="851"/>
    </row>
    <row r="192" spans="2:12">
      <c r="B192" s="145">
        <v>40544</v>
      </c>
      <c r="C192" s="1356">
        <v>34.779998999999997</v>
      </c>
      <c r="D192" s="1127">
        <v>40.282200000000003</v>
      </c>
      <c r="E192" s="1127">
        <v>34.697701000000002</v>
      </c>
      <c r="F192" s="1127">
        <v>38.643501000000001</v>
      </c>
      <c r="G192" s="1127">
        <v>30.327902000000002</v>
      </c>
      <c r="H192" s="1357">
        <f t="shared" si="4"/>
        <v>0.12052048796565917</v>
      </c>
      <c r="I192" s="1351">
        <v>1286.119995</v>
      </c>
      <c r="J192" s="146">
        <f t="shared" si="5"/>
        <v>2.2645573980086819E-2</v>
      </c>
      <c r="K192" s="851"/>
      <c r="L192" s="851"/>
    </row>
    <row r="193" spans="2:12">
      <c r="B193" s="145">
        <v>40575</v>
      </c>
      <c r="C193" s="1356">
        <v>38.872397999999997</v>
      </c>
      <c r="D193" s="1127">
        <v>41.582199000000003</v>
      </c>
      <c r="E193" s="1127">
        <v>37.764598999999997</v>
      </c>
      <c r="F193" s="1127">
        <v>39.348399999999998</v>
      </c>
      <c r="G193" s="1127">
        <v>30.881119000000002</v>
      </c>
      <c r="H193" s="1357">
        <f t="shared" si="4"/>
        <v>1.8241074999907347E-2</v>
      </c>
      <c r="I193" s="1351">
        <v>1327.219971</v>
      </c>
      <c r="J193" s="146">
        <f t="shared" si="5"/>
        <v>3.1956564052952219E-2</v>
      </c>
      <c r="K193" s="851"/>
      <c r="L193" s="851"/>
    </row>
    <row r="194" spans="2:12">
      <c r="B194" s="145">
        <v>40603</v>
      </c>
      <c r="C194" s="1356">
        <v>39.678001000000002</v>
      </c>
      <c r="D194" s="1127">
        <v>39.678001000000002</v>
      </c>
      <c r="E194" s="1127">
        <v>34.368099000000001</v>
      </c>
      <c r="F194" s="1127">
        <v>35.732201000000003</v>
      </c>
      <c r="G194" s="1127">
        <v>28.043078999999999</v>
      </c>
      <c r="H194" s="1357">
        <f t="shared" si="4"/>
        <v>-9.190205955007047E-2</v>
      </c>
      <c r="I194" s="1351">
        <v>1325.829956</v>
      </c>
      <c r="J194" s="146">
        <f t="shared" si="5"/>
        <v>-1.0473132038185673E-3</v>
      </c>
      <c r="K194" s="851"/>
      <c r="L194" s="851"/>
    </row>
    <row r="195" spans="2:12">
      <c r="B195" s="145">
        <v>40634</v>
      </c>
      <c r="C195" s="1356">
        <v>35.860298</v>
      </c>
      <c r="D195" s="1127">
        <v>38.030101999999999</v>
      </c>
      <c r="E195" s="1127">
        <v>34.697701000000002</v>
      </c>
      <c r="F195" s="1127">
        <v>35.988498999999997</v>
      </c>
      <c r="G195" s="1127">
        <v>28.244226000000001</v>
      </c>
      <c r="H195" s="1357">
        <f t="shared" si="4"/>
        <v>7.1727459497945567E-3</v>
      </c>
      <c r="I195" s="1351">
        <v>1363.6099850000001</v>
      </c>
      <c r="J195" s="146">
        <f t="shared" si="5"/>
        <v>2.8495380443795071E-2</v>
      </c>
      <c r="K195" s="851"/>
      <c r="L195" s="851"/>
    </row>
    <row r="196" spans="2:12">
      <c r="B196" s="145">
        <v>40664</v>
      </c>
      <c r="C196" s="1356">
        <v>36.134998000000003</v>
      </c>
      <c r="D196" s="1127">
        <v>36.327300999999999</v>
      </c>
      <c r="E196" s="1127">
        <v>32.610298</v>
      </c>
      <c r="F196" s="1127">
        <v>33.525798999999999</v>
      </c>
      <c r="G196" s="1127">
        <v>26.311465999999999</v>
      </c>
      <c r="H196" s="1357">
        <f t="shared" si="4"/>
        <v>-6.8430194879758655E-2</v>
      </c>
      <c r="I196" s="1351">
        <v>1345.1999510000001</v>
      </c>
      <c r="J196" s="146">
        <f t="shared" si="5"/>
        <v>-1.3500952766930641E-2</v>
      </c>
      <c r="K196" s="851"/>
      <c r="L196" s="851"/>
    </row>
    <row r="197" spans="2:12">
      <c r="B197" s="145">
        <v>40695</v>
      </c>
      <c r="C197" s="1356">
        <v>33.589900999999998</v>
      </c>
      <c r="D197" s="1127">
        <v>33.690601000000001</v>
      </c>
      <c r="E197" s="1127">
        <v>28.6919</v>
      </c>
      <c r="F197" s="1127">
        <v>29.937000000000001</v>
      </c>
      <c r="G197" s="1127">
        <v>24.373813999999999</v>
      </c>
      <c r="H197" s="1357">
        <f t="shared" ref="H197:H260" si="6">F197/F196-1</f>
        <v>-0.10704589024112443</v>
      </c>
      <c r="I197" s="1351">
        <v>1320.6400149999999</v>
      </c>
      <c r="J197" s="146">
        <f t="shared" ref="J197:J260" si="7">I197/I196-1</f>
        <v>-1.825746126569705E-2</v>
      </c>
      <c r="K197" s="851"/>
      <c r="L197" s="851"/>
    </row>
    <row r="198" spans="2:12">
      <c r="B198" s="145">
        <v>40725</v>
      </c>
      <c r="C198" s="1356">
        <v>30.1751</v>
      </c>
      <c r="D198" s="1127">
        <v>30.889199999999999</v>
      </c>
      <c r="E198" s="1127">
        <v>25.286301000000002</v>
      </c>
      <c r="F198" s="1127">
        <v>26.055299999999999</v>
      </c>
      <c r="G198" s="1127">
        <v>21.213449000000001</v>
      </c>
      <c r="H198" s="1357">
        <f t="shared" si="6"/>
        <v>-0.12966229081070257</v>
      </c>
      <c r="I198" s="1351">
        <v>1292.280029</v>
      </c>
      <c r="J198" s="146">
        <f t="shared" si="7"/>
        <v>-2.1474425791952023E-2</v>
      </c>
      <c r="K198" s="851"/>
      <c r="L198" s="851"/>
    </row>
    <row r="199" spans="2:12">
      <c r="B199" s="145">
        <v>40756</v>
      </c>
      <c r="C199" s="1356">
        <v>24.791900999999999</v>
      </c>
      <c r="D199" s="1127">
        <v>25.258800999999998</v>
      </c>
      <c r="E199" s="1127">
        <v>18.383400000000002</v>
      </c>
      <c r="F199" s="1127">
        <v>21.111499999999999</v>
      </c>
      <c r="G199" s="1127">
        <v>17.188354</v>
      </c>
      <c r="H199" s="1357">
        <f t="shared" si="6"/>
        <v>-0.18974258596139748</v>
      </c>
      <c r="I199" s="1351">
        <v>1218.8900149999999</v>
      </c>
      <c r="J199" s="146">
        <f t="shared" si="7"/>
        <v>-5.6791107463597612E-2</v>
      </c>
      <c r="K199" s="851"/>
      <c r="L199" s="851"/>
    </row>
    <row r="200" spans="2:12">
      <c r="B200" s="145">
        <v>40787</v>
      </c>
      <c r="C200" s="1356">
        <v>21.138999999999999</v>
      </c>
      <c r="D200" s="1127">
        <v>23.327100999999999</v>
      </c>
      <c r="E200" s="1127">
        <v>17.879801</v>
      </c>
      <c r="F200" s="1127">
        <v>21.972099</v>
      </c>
      <c r="G200" s="1127">
        <v>17.889029000000001</v>
      </c>
      <c r="H200" s="1357">
        <f t="shared" si="6"/>
        <v>4.0764464865120864E-2</v>
      </c>
      <c r="I200" s="1351">
        <v>1131.420044</v>
      </c>
      <c r="J200" s="146">
        <f t="shared" si="7"/>
        <v>-7.1761988303760127E-2</v>
      </c>
      <c r="K200" s="851"/>
      <c r="L200" s="851"/>
    </row>
    <row r="201" spans="2:12">
      <c r="B201" s="145">
        <v>40817</v>
      </c>
      <c r="C201" s="1356">
        <v>21.459399999999999</v>
      </c>
      <c r="D201" s="1127">
        <v>25.295400999999998</v>
      </c>
      <c r="E201" s="1127">
        <v>19.756599000000001</v>
      </c>
      <c r="F201" s="1127">
        <v>23.436899</v>
      </c>
      <c r="G201" s="1127">
        <v>19.081627000000001</v>
      </c>
      <c r="H201" s="1357">
        <f t="shared" si="6"/>
        <v>6.6666366285715428E-2</v>
      </c>
      <c r="I201" s="1351">
        <v>1253.3000489999999</v>
      </c>
      <c r="J201" s="146">
        <f t="shared" si="7"/>
        <v>0.10772303853581011</v>
      </c>
      <c r="K201" s="851"/>
      <c r="L201" s="851"/>
    </row>
    <row r="202" spans="2:12">
      <c r="B202" s="145">
        <v>40848</v>
      </c>
      <c r="C202" s="1356">
        <v>22.027100000000001</v>
      </c>
      <c r="D202" s="1127">
        <v>22.173500000000001</v>
      </c>
      <c r="E202" s="1127">
        <v>17.943898999999998</v>
      </c>
      <c r="F202" s="1127">
        <v>20.104500000000002</v>
      </c>
      <c r="G202" s="1127">
        <v>16.368486000000001</v>
      </c>
      <c r="H202" s="1357">
        <f t="shared" si="6"/>
        <v>-0.14218600336162213</v>
      </c>
      <c r="I202" s="1351">
        <v>1246.959961</v>
      </c>
      <c r="J202" s="146">
        <f t="shared" si="7"/>
        <v>-5.0587151935872487E-3</v>
      </c>
      <c r="K202" s="851"/>
      <c r="L202" s="851"/>
    </row>
    <row r="203" spans="2:12">
      <c r="B203" s="145">
        <v>40878</v>
      </c>
      <c r="C203" s="1356">
        <v>20.232700000000001</v>
      </c>
      <c r="D203" s="1127">
        <v>21.752399</v>
      </c>
      <c r="E203" s="1127">
        <v>19.2348</v>
      </c>
      <c r="F203" s="1127">
        <v>20.205200000000001</v>
      </c>
      <c r="G203" s="1127">
        <v>16.450474</v>
      </c>
      <c r="H203" s="1357">
        <f t="shared" si="6"/>
        <v>5.0088288691585436E-3</v>
      </c>
      <c r="I203" s="1351">
        <v>1257.599976</v>
      </c>
      <c r="J203" s="146">
        <f t="shared" si="7"/>
        <v>8.532763948144062E-3</v>
      </c>
      <c r="K203" s="851"/>
      <c r="L203" s="851"/>
    </row>
    <row r="204" spans="2:12">
      <c r="B204" s="145">
        <v>40909</v>
      </c>
      <c r="C204" s="1356">
        <v>20.205200000000001</v>
      </c>
      <c r="D204" s="1127">
        <v>22.887599999999999</v>
      </c>
      <c r="E204" s="1127">
        <v>19.088301000000001</v>
      </c>
      <c r="F204" s="1127">
        <v>21.862300999999999</v>
      </c>
      <c r="G204" s="1127">
        <v>17.799633</v>
      </c>
      <c r="H204" s="1357">
        <f t="shared" si="6"/>
        <v>8.2013590560845673E-2</v>
      </c>
      <c r="I204" s="1351">
        <v>1312.410034</v>
      </c>
      <c r="J204" s="146">
        <f t="shared" si="7"/>
        <v>4.3583062218506274E-2</v>
      </c>
      <c r="K204" s="851"/>
      <c r="L204" s="851"/>
    </row>
    <row r="205" spans="2:12">
      <c r="B205" s="145">
        <v>40940</v>
      </c>
      <c r="C205" s="1356">
        <v>22.017900000000001</v>
      </c>
      <c r="D205" s="1127">
        <v>23.693300000000001</v>
      </c>
      <c r="E205" s="1127">
        <v>21.248899000000002</v>
      </c>
      <c r="F205" s="1127">
        <v>22.255898999999999</v>
      </c>
      <c r="G205" s="1127">
        <v>18.120090000000001</v>
      </c>
      <c r="H205" s="1357">
        <f t="shared" si="6"/>
        <v>1.8003502924966552E-2</v>
      </c>
      <c r="I205" s="1351">
        <v>1365.6800539999999</v>
      </c>
      <c r="J205" s="146">
        <f t="shared" si="7"/>
        <v>4.0589464130841746E-2</v>
      </c>
      <c r="K205" s="851"/>
      <c r="L205" s="851"/>
    </row>
    <row r="206" spans="2:12">
      <c r="B206" s="145">
        <v>40969</v>
      </c>
      <c r="C206" s="1356">
        <v>22.054500999999998</v>
      </c>
      <c r="D206" s="1127">
        <v>25.203899</v>
      </c>
      <c r="E206" s="1127">
        <v>21.276299999999999</v>
      </c>
      <c r="F206" s="1127">
        <v>23.556000000000001</v>
      </c>
      <c r="G206" s="1127">
        <v>19.178595000000001</v>
      </c>
      <c r="H206" s="1357">
        <f t="shared" si="6"/>
        <v>5.8416018153209626E-2</v>
      </c>
      <c r="I206" s="1351">
        <v>1408.469971</v>
      </c>
      <c r="J206" s="146">
        <f t="shared" si="7"/>
        <v>3.1332314530530647E-2</v>
      </c>
      <c r="K206" s="851"/>
      <c r="L206" s="851"/>
    </row>
    <row r="207" spans="2:12">
      <c r="B207" s="145">
        <v>41000</v>
      </c>
      <c r="C207" s="1356">
        <v>23.766500000000001</v>
      </c>
      <c r="D207" s="1127">
        <v>24.0229</v>
      </c>
      <c r="E207" s="1127">
        <v>19.875601</v>
      </c>
      <c r="F207" s="1127">
        <v>19.875601</v>
      </c>
      <c r="G207" s="1127">
        <v>16.182124999999999</v>
      </c>
      <c r="H207" s="1357">
        <f t="shared" si="6"/>
        <v>-0.15624040584139931</v>
      </c>
      <c r="I207" s="1351">
        <v>1397.910034</v>
      </c>
      <c r="J207" s="146">
        <f t="shared" si="7"/>
        <v>-7.4974527092703802E-3</v>
      </c>
      <c r="K207" s="851"/>
      <c r="L207" s="851"/>
    </row>
    <row r="208" spans="2:12">
      <c r="B208" s="145">
        <v>41030</v>
      </c>
      <c r="C208" s="1356">
        <v>19.875601</v>
      </c>
      <c r="D208" s="1127">
        <v>20.186899</v>
      </c>
      <c r="E208" s="1127">
        <v>16.643899999999999</v>
      </c>
      <c r="F208" s="1127">
        <v>16.854500000000002</v>
      </c>
      <c r="G208" s="1127">
        <v>13.722432</v>
      </c>
      <c r="H208" s="1357">
        <f t="shared" si="6"/>
        <v>-0.15200048541928357</v>
      </c>
      <c r="I208" s="1351">
        <v>1310.329956</v>
      </c>
      <c r="J208" s="146">
        <f t="shared" si="7"/>
        <v>-6.265072563317764E-2</v>
      </c>
      <c r="K208" s="851"/>
      <c r="L208" s="851"/>
    </row>
    <row r="209" spans="2:12">
      <c r="B209" s="145">
        <v>41061</v>
      </c>
      <c r="C209" s="1356">
        <v>17.028400000000001</v>
      </c>
      <c r="D209" s="1127">
        <v>18.401699000000001</v>
      </c>
      <c r="E209" s="1127">
        <v>14.968500000000001</v>
      </c>
      <c r="F209" s="1127">
        <v>15.801600000000001</v>
      </c>
      <c r="G209" s="1127">
        <v>13.396659</v>
      </c>
      <c r="H209" s="1357">
        <f t="shared" si="6"/>
        <v>-6.2469963511228466E-2</v>
      </c>
      <c r="I209" s="1351">
        <v>1362.160034</v>
      </c>
      <c r="J209" s="146">
        <f t="shared" si="7"/>
        <v>3.9554982134591521E-2</v>
      </c>
      <c r="K209" s="851"/>
      <c r="L209" s="851"/>
    </row>
    <row r="210" spans="2:12">
      <c r="B210" s="145">
        <v>41091</v>
      </c>
      <c r="C210" s="1356">
        <v>15.8657</v>
      </c>
      <c r="D210" s="1127">
        <v>16.753699999999998</v>
      </c>
      <c r="E210" s="1127">
        <v>14.675599999999999</v>
      </c>
      <c r="F210" s="1127">
        <v>15.2523</v>
      </c>
      <c r="G210" s="1127">
        <v>12.930961999999999</v>
      </c>
      <c r="H210" s="1357">
        <f t="shared" si="6"/>
        <v>-3.4762302551640367E-2</v>
      </c>
      <c r="I210" s="1351">
        <v>1379.3199460000001</v>
      </c>
      <c r="J210" s="146">
        <f t="shared" si="7"/>
        <v>1.2597574126154365E-2</v>
      </c>
      <c r="K210" s="851"/>
      <c r="L210" s="851"/>
    </row>
    <row r="211" spans="2:12">
      <c r="B211" s="145">
        <v>41122</v>
      </c>
      <c r="C211" s="1356">
        <v>15.2523</v>
      </c>
      <c r="D211" s="1127">
        <v>17.211500000000001</v>
      </c>
      <c r="E211" s="1127">
        <v>14.6206</v>
      </c>
      <c r="F211" s="1127">
        <v>16.881900999999999</v>
      </c>
      <c r="G211" s="1127">
        <v>14.312542000000001</v>
      </c>
      <c r="H211" s="1357">
        <f t="shared" si="6"/>
        <v>0.10684296794581805</v>
      </c>
      <c r="I211" s="1351">
        <v>1406.579956</v>
      </c>
      <c r="J211" s="146">
        <f t="shared" si="7"/>
        <v>1.9763369680148246E-2</v>
      </c>
      <c r="K211" s="851"/>
      <c r="L211" s="851"/>
    </row>
    <row r="212" spans="2:12">
      <c r="B212" s="145">
        <v>41153</v>
      </c>
      <c r="C212" s="1356">
        <v>16.836099999999998</v>
      </c>
      <c r="D212" s="1127">
        <v>20.260099</v>
      </c>
      <c r="E212" s="1127">
        <v>16.442499000000002</v>
      </c>
      <c r="F212" s="1127">
        <v>18.245999999999999</v>
      </c>
      <c r="G212" s="1127">
        <v>15.469032</v>
      </c>
      <c r="H212" s="1357">
        <f t="shared" si="6"/>
        <v>8.0802452283069259E-2</v>
      </c>
      <c r="I212" s="1351">
        <v>1440.670044</v>
      </c>
      <c r="J212" s="146">
        <f t="shared" si="7"/>
        <v>2.4236153696477025E-2</v>
      </c>
      <c r="K212" s="851"/>
      <c r="L212" s="851"/>
    </row>
    <row r="213" spans="2:12">
      <c r="B213" s="145">
        <v>41183</v>
      </c>
      <c r="C213" s="1356">
        <v>18.273499999999999</v>
      </c>
      <c r="D213" s="1127">
        <v>20.7637</v>
      </c>
      <c r="E213" s="1127">
        <v>18.255199000000001</v>
      </c>
      <c r="F213" s="1127">
        <v>19.765799999999999</v>
      </c>
      <c r="G213" s="1127">
        <v>16.757524</v>
      </c>
      <c r="H213" s="1357">
        <f t="shared" si="6"/>
        <v>8.32949687602762E-2</v>
      </c>
      <c r="I213" s="1351">
        <v>1412.160034</v>
      </c>
      <c r="J213" s="146">
        <f t="shared" si="7"/>
        <v>-1.9789409878227415E-2</v>
      </c>
      <c r="K213" s="851"/>
      <c r="L213" s="851"/>
    </row>
    <row r="214" spans="2:12">
      <c r="B214" s="145">
        <v>41214</v>
      </c>
      <c r="C214" s="1356">
        <v>19.674199999999999</v>
      </c>
      <c r="D214" s="1127">
        <v>21.047501</v>
      </c>
      <c r="E214" s="1127">
        <v>18.914300999999998</v>
      </c>
      <c r="F214" s="1127">
        <v>20.086200999999999</v>
      </c>
      <c r="G214" s="1127">
        <v>17.029160999999998</v>
      </c>
      <c r="H214" s="1357">
        <f t="shared" si="6"/>
        <v>1.620986754899878E-2</v>
      </c>
      <c r="I214" s="1351">
        <v>1416.1800539999999</v>
      </c>
      <c r="J214" s="146">
        <f t="shared" si="7"/>
        <v>2.8467170173434031E-3</v>
      </c>
      <c r="K214" s="851"/>
      <c r="L214" s="851"/>
    </row>
    <row r="215" spans="2:12">
      <c r="B215" s="145">
        <v>41244</v>
      </c>
      <c r="C215" s="1356">
        <v>20.077000000000002</v>
      </c>
      <c r="D215" s="1127">
        <v>21.303801</v>
      </c>
      <c r="E215" s="1127">
        <v>19.994599999999998</v>
      </c>
      <c r="F215" s="1127">
        <v>20.379200000000001</v>
      </c>
      <c r="G215" s="1127">
        <v>17.277567000000001</v>
      </c>
      <c r="H215" s="1357">
        <f t="shared" si="6"/>
        <v>1.4587078960327071E-2</v>
      </c>
      <c r="I215" s="1351">
        <v>1426.1899410000001</v>
      </c>
      <c r="J215" s="146">
        <f t="shared" si="7"/>
        <v>7.068230463864511E-3</v>
      </c>
      <c r="K215" s="851"/>
      <c r="L215" s="851"/>
    </row>
    <row r="216" spans="2:12">
      <c r="B216" s="145">
        <v>41275</v>
      </c>
      <c r="C216" s="1356">
        <v>20.379200000000001</v>
      </c>
      <c r="D216" s="1127">
        <v>25.396099</v>
      </c>
      <c r="E216" s="1127">
        <v>20.379200000000001</v>
      </c>
      <c r="F216" s="1127">
        <v>24.627099999999999</v>
      </c>
      <c r="G216" s="1127">
        <v>20.878952000000002</v>
      </c>
      <c r="H216" s="1357">
        <f t="shared" si="6"/>
        <v>0.20844292219517935</v>
      </c>
      <c r="I216" s="1351">
        <v>1498.1099850000001</v>
      </c>
      <c r="J216" s="146">
        <f t="shared" si="7"/>
        <v>5.0428096519578469E-2</v>
      </c>
      <c r="K216" s="851"/>
      <c r="L216" s="851"/>
    </row>
    <row r="217" spans="2:12">
      <c r="B217" s="145">
        <v>41306</v>
      </c>
      <c r="C217" s="1356">
        <v>24.663699999999999</v>
      </c>
      <c r="D217" s="1127">
        <v>25.496798999999999</v>
      </c>
      <c r="E217" s="1127">
        <v>22.5581</v>
      </c>
      <c r="F217" s="1127">
        <v>22.988299999999999</v>
      </c>
      <c r="G217" s="1127">
        <v>19.489573</v>
      </c>
      <c r="H217" s="1357">
        <f t="shared" si="6"/>
        <v>-6.6544578939460974E-2</v>
      </c>
      <c r="I217" s="1351">
        <v>1514.6800539999999</v>
      </c>
      <c r="J217" s="146">
        <f t="shared" si="7"/>
        <v>1.1060649195259176E-2</v>
      </c>
      <c r="K217" s="851"/>
      <c r="L217" s="851"/>
    </row>
    <row r="218" spans="2:12">
      <c r="B218" s="145">
        <v>41334</v>
      </c>
      <c r="C218" s="1356">
        <v>22.905899000000002</v>
      </c>
      <c r="D218" s="1127">
        <v>24.700299999999999</v>
      </c>
      <c r="E218" s="1127">
        <v>21.853100000000001</v>
      </c>
      <c r="F218" s="1127">
        <v>22.805201</v>
      </c>
      <c r="G218" s="1127">
        <v>19.334340999999998</v>
      </c>
      <c r="H218" s="1357">
        <f t="shared" si="6"/>
        <v>-7.9648777856561326E-3</v>
      </c>
      <c r="I218" s="1351">
        <v>1569.1899410000001</v>
      </c>
      <c r="J218" s="146">
        <f t="shared" si="7"/>
        <v>3.5987723516956116E-2</v>
      </c>
      <c r="K218" s="851"/>
      <c r="L218" s="851"/>
    </row>
    <row r="219" spans="2:12">
      <c r="B219" s="145">
        <v>41365</v>
      </c>
      <c r="C219" s="1356">
        <v>22.805201</v>
      </c>
      <c r="D219" s="1127">
        <v>24.837700000000002</v>
      </c>
      <c r="E219" s="1127">
        <v>22.045400999999998</v>
      </c>
      <c r="F219" s="1127">
        <v>24.177401</v>
      </c>
      <c r="G219" s="1127">
        <v>20.497696000000001</v>
      </c>
      <c r="H219" s="1357">
        <f t="shared" si="6"/>
        <v>6.0170484794236145E-2</v>
      </c>
      <c r="I219" s="1351">
        <v>1597.5699460000001</v>
      </c>
      <c r="J219" s="146">
        <f t="shared" si="7"/>
        <v>1.8085767859252311E-2</v>
      </c>
      <c r="K219" s="851"/>
      <c r="L219" s="851"/>
    </row>
    <row r="220" spans="2:12">
      <c r="B220" s="145">
        <v>41395</v>
      </c>
      <c r="C220" s="1356">
        <v>24.177401</v>
      </c>
      <c r="D220" s="1127">
        <v>27.497299000000002</v>
      </c>
      <c r="E220" s="1127">
        <v>24.083599</v>
      </c>
      <c r="F220" s="1127">
        <v>26.962700000000002</v>
      </c>
      <c r="G220" s="1127">
        <v>22.952076000000002</v>
      </c>
      <c r="H220" s="1357">
        <f t="shared" si="6"/>
        <v>0.11520258112110571</v>
      </c>
      <c r="I220" s="1351">
        <v>1630.73999</v>
      </c>
      <c r="J220" s="146">
        <f t="shared" si="7"/>
        <v>2.0762811721046104E-2</v>
      </c>
      <c r="K220" s="851"/>
      <c r="L220" s="851"/>
    </row>
    <row r="221" spans="2:12">
      <c r="B221" s="145">
        <v>41426</v>
      </c>
      <c r="C221" s="1356">
        <v>26.634501</v>
      </c>
      <c r="D221" s="1127">
        <v>26.709499000000001</v>
      </c>
      <c r="E221" s="1127">
        <v>22.761199999999999</v>
      </c>
      <c r="F221" s="1127">
        <v>23.492799999999999</v>
      </c>
      <c r="G221" s="1127">
        <v>19.998314000000001</v>
      </c>
      <c r="H221" s="1357">
        <f t="shared" si="6"/>
        <v>-0.12869260126025961</v>
      </c>
      <c r="I221" s="1351">
        <v>1606.280029</v>
      </c>
      <c r="J221" s="146">
        <f t="shared" si="7"/>
        <v>-1.4999301636062778E-2</v>
      </c>
      <c r="K221" s="851"/>
      <c r="L221" s="851"/>
    </row>
    <row r="222" spans="2:12">
      <c r="B222" s="145">
        <v>41456</v>
      </c>
      <c r="C222" s="1356">
        <v>23.624099999999999</v>
      </c>
      <c r="D222" s="1127">
        <v>26.915899</v>
      </c>
      <c r="E222" s="1127">
        <v>22.9863</v>
      </c>
      <c r="F222" s="1127">
        <v>25.499701000000002</v>
      </c>
      <c r="G222" s="1127">
        <v>21.706693999999999</v>
      </c>
      <c r="H222" s="1357">
        <f t="shared" si="6"/>
        <v>8.5426215691616347E-2</v>
      </c>
      <c r="I222" s="1351">
        <v>1685.7299800000001</v>
      </c>
      <c r="J222" s="146">
        <f t="shared" si="7"/>
        <v>4.9462079815224991E-2</v>
      </c>
      <c r="K222" s="851"/>
      <c r="L222" s="851"/>
    </row>
    <row r="223" spans="2:12">
      <c r="B223" s="145">
        <v>41487</v>
      </c>
      <c r="C223" s="1356">
        <v>25.499701000000002</v>
      </c>
      <c r="D223" s="1127">
        <v>27.244101000000001</v>
      </c>
      <c r="E223" s="1127">
        <v>25.105801</v>
      </c>
      <c r="F223" s="1127">
        <v>25.152699999999999</v>
      </c>
      <c r="G223" s="1127">
        <v>21.411307999999998</v>
      </c>
      <c r="H223" s="1357">
        <f t="shared" si="6"/>
        <v>-1.3608041913903302E-2</v>
      </c>
      <c r="I223" s="1351">
        <v>1632.969971</v>
      </c>
      <c r="J223" s="146">
        <f t="shared" si="7"/>
        <v>-3.1298019033866864E-2</v>
      </c>
      <c r="K223" s="851"/>
      <c r="L223" s="851"/>
    </row>
    <row r="224" spans="2:12">
      <c r="B224" s="145">
        <v>41518</v>
      </c>
      <c r="C224" s="1356">
        <v>25.546600000000002</v>
      </c>
      <c r="D224" s="1127">
        <v>27.365998999999999</v>
      </c>
      <c r="E224" s="1127">
        <v>25.443501000000001</v>
      </c>
      <c r="F224" s="1127">
        <v>25.902999999999999</v>
      </c>
      <c r="G224" s="1127">
        <v>22.050004999999999</v>
      </c>
      <c r="H224" s="1357">
        <f t="shared" si="6"/>
        <v>2.9829799584140115E-2</v>
      </c>
      <c r="I224" s="1351">
        <v>1681.5500489999999</v>
      </c>
      <c r="J224" s="146">
        <f t="shared" si="7"/>
        <v>2.9749523177239112E-2</v>
      </c>
      <c r="K224" s="851"/>
      <c r="L224" s="851"/>
    </row>
    <row r="225" spans="2:12">
      <c r="B225" s="145">
        <v>41548</v>
      </c>
      <c r="C225" s="1356">
        <v>26.062401000000001</v>
      </c>
      <c r="D225" s="1127">
        <v>28.641500000000001</v>
      </c>
      <c r="E225" s="1127">
        <v>25.809200000000001</v>
      </c>
      <c r="F225" s="1127">
        <v>26.475100000000001</v>
      </c>
      <c r="G225" s="1127">
        <v>22.537004</v>
      </c>
      <c r="H225" s="1357">
        <f t="shared" si="6"/>
        <v>2.2086244836505564E-2</v>
      </c>
      <c r="I225" s="1351">
        <v>1756.540039</v>
      </c>
      <c r="J225" s="146">
        <f t="shared" si="7"/>
        <v>4.4595752618006079E-2</v>
      </c>
      <c r="K225" s="851"/>
      <c r="L225" s="851"/>
    </row>
    <row r="226" spans="2:12">
      <c r="B226" s="145">
        <v>41579</v>
      </c>
      <c r="C226" s="1356">
        <v>26.465699999999998</v>
      </c>
      <c r="D226" s="1127">
        <v>26.512599999999999</v>
      </c>
      <c r="E226" s="1127">
        <v>23.792899999999999</v>
      </c>
      <c r="F226" s="1127">
        <v>25.302799</v>
      </c>
      <c r="G226" s="1127">
        <v>21.539079999999998</v>
      </c>
      <c r="H226" s="1357">
        <f t="shared" si="6"/>
        <v>-4.4279379492428772E-2</v>
      </c>
      <c r="I226" s="1351">
        <v>1805.8100589999999</v>
      </c>
      <c r="J226" s="146">
        <f t="shared" si="7"/>
        <v>2.8049471635186451E-2</v>
      </c>
      <c r="K226" s="851"/>
      <c r="L226" s="851"/>
    </row>
    <row r="227" spans="2:12">
      <c r="B227" s="145">
        <v>41609</v>
      </c>
      <c r="C227" s="1356">
        <v>25.452801000000001</v>
      </c>
      <c r="D227" s="1127">
        <v>25.912399000000001</v>
      </c>
      <c r="E227" s="1127">
        <v>24.242999999999999</v>
      </c>
      <c r="F227" s="1127">
        <v>25.5748</v>
      </c>
      <c r="G227" s="1127">
        <v>21.770621999999999</v>
      </c>
      <c r="H227" s="1357">
        <f t="shared" si="6"/>
        <v>1.0749838387444699E-2</v>
      </c>
      <c r="I227" s="1351">
        <v>1848.3599850000001</v>
      </c>
      <c r="J227" s="146">
        <f t="shared" si="7"/>
        <v>2.356279155049279E-2</v>
      </c>
      <c r="K227" s="851"/>
      <c r="L227" s="851"/>
    </row>
    <row r="228" spans="2:12">
      <c r="B228" s="145">
        <v>41640</v>
      </c>
      <c r="C228" s="1356">
        <v>25.5748</v>
      </c>
      <c r="D228" s="1127">
        <v>28.332001000000002</v>
      </c>
      <c r="E228" s="1127">
        <v>25.415299999999998</v>
      </c>
      <c r="F228" s="1127">
        <v>25.696698999999999</v>
      </c>
      <c r="G228" s="1127">
        <v>21.874388</v>
      </c>
      <c r="H228" s="1357">
        <f t="shared" si="6"/>
        <v>4.7663715845285282E-3</v>
      </c>
      <c r="I228" s="1351">
        <v>1782.589966</v>
      </c>
      <c r="J228" s="146">
        <f t="shared" si="7"/>
        <v>-3.5582905675162646E-2</v>
      </c>
      <c r="K228" s="851"/>
      <c r="L228" s="851"/>
    </row>
    <row r="229" spans="2:12">
      <c r="B229" s="145">
        <v>41671</v>
      </c>
      <c r="C229" s="1356">
        <v>25.6404</v>
      </c>
      <c r="D229" s="1127">
        <v>26.953399999999998</v>
      </c>
      <c r="E229" s="1127">
        <v>24.636900000000001</v>
      </c>
      <c r="F229" s="1127">
        <v>25.978000999999999</v>
      </c>
      <c r="G229" s="1127">
        <v>22.113848000000001</v>
      </c>
      <c r="H229" s="1357">
        <f t="shared" si="6"/>
        <v>1.094700918588809E-2</v>
      </c>
      <c r="I229" s="1351">
        <v>1859.4499510000001</v>
      </c>
      <c r="J229" s="146">
        <f t="shared" si="7"/>
        <v>4.3117029976595278E-2</v>
      </c>
      <c r="K229" s="851"/>
      <c r="L229" s="851"/>
    </row>
    <row r="230" spans="2:12">
      <c r="B230" s="145">
        <v>41699</v>
      </c>
      <c r="C230" s="1356">
        <v>25.602900000000002</v>
      </c>
      <c r="D230" s="1127">
        <v>27.018999000000001</v>
      </c>
      <c r="E230" s="1127">
        <v>24.824498999999999</v>
      </c>
      <c r="F230" s="1127">
        <v>26.8127</v>
      </c>
      <c r="G230" s="1127">
        <v>22.824387000000002</v>
      </c>
      <c r="H230" s="1357">
        <f t="shared" si="6"/>
        <v>3.213099422084098E-2</v>
      </c>
      <c r="I230" s="1351">
        <v>1872.339966</v>
      </c>
      <c r="J230" s="146">
        <f t="shared" si="7"/>
        <v>6.9321656079357474E-3</v>
      </c>
      <c r="K230" s="851"/>
      <c r="L230" s="851"/>
    </row>
    <row r="231" spans="2:12">
      <c r="B231" s="145">
        <v>41730</v>
      </c>
      <c r="C231" s="1356">
        <v>26.897099999999998</v>
      </c>
      <c r="D231" s="1127">
        <v>27.900600000000001</v>
      </c>
      <c r="E231" s="1127">
        <v>25.359100000000002</v>
      </c>
      <c r="F231" s="1127">
        <v>26.174999</v>
      </c>
      <c r="G231" s="1127">
        <v>22.281544</v>
      </c>
      <c r="H231" s="1357">
        <f t="shared" si="6"/>
        <v>-2.3783542873339836E-2</v>
      </c>
      <c r="I231" s="1351">
        <v>1883.9499510000001</v>
      </c>
      <c r="J231" s="146">
        <f t="shared" si="7"/>
        <v>6.2007889650528281E-3</v>
      </c>
      <c r="K231" s="851"/>
      <c r="L231" s="851"/>
    </row>
    <row r="232" spans="2:12">
      <c r="B232" s="145">
        <v>41760</v>
      </c>
      <c r="C232" s="1356">
        <v>26.174999</v>
      </c>
      <c r="D232" s="1127">
        <v>26.6814</v>
      </c>
      <c r="E232" s="1127">
        <v>24.008600000000001</v>
      </c>
      <c r="F232" s="1127">
        <v>24.965199999999999</v>
      </c>
      <c r="G232" s="1127">
        <v>21.251698000000001</v>
      </c>
      <c r="H232" s="1357">
        <f t="shared" si="6"/>
        <v>-4.6219638824054998E-2</v>
      </c>
      <c r="I232" s="1351">
        <v>1923.5699460000001</v>
      </c>
      <c r="J232" s="146">
        <f t="shared" si="7"/>
        <v>2.1030280012996005E-2</v>
      </c>
      <c r="K232" s="851"/>
      <c r="L232" s="851"/>
    </row>
    <row r="233" spans="2:12">
      <c r="B233" s="145">
        <v>41791</v>
      </c>
      <c r="C233" s="1356">
        <v>25.040199000000001</v>
      </c>
      <c r="D233" s="1127">
        <v>26.081199999999999</v>
      </c>
      <c r="E233" s="1127">
        <v>23.558399000000001</v>
      </c>
      <c r="F233" s="1127">
        <v>23.783501000000001</v>
      </c>
      <c r="G233" s="1127">
        <v>20.820709000000001</v>
      </c>
      <c r="H233" s="1357">
        <f t="shared" si="6"/>
        <v>-4.7333848717414528E-2</v>
      </c>
      <c r="I233" s="1351">
        <v>1960.2299800000001</v>
      </c>
      <c r="J233" s="146">
        <f t="shared" si="7"/>
        <v>1.9058331658920569E-2</v>
      </c>
      <c r="K233" s="851"/>
      <c r="L233" s="851"/>
    </row>
    <row r="234" spans="2:12">
      <c r="B234" s="145">
        <v>41821</v>
      </c>
      <c r="C234" s="1356">
        <v>23.689699000000001</v>
      </c>
      <c r="D234" s="1127">
        <v>24.918301</v>
      </c>
      <c r="E234" s="1127">
        <v>22.901899</v>
      </c>
      <c r="F234" s="1127">
        <v>23.202000000000002</v>
      </c>
      <c r="G234" s="1127">
        <v>20.311648999999999</v>
      </c>
      <c r="H234" s="1357">
        <f t="shared" si="6"/>
        <v>-2.4449764565780296E-2</v>
      </c>
      <c r="I234" s="1351">
        <v>1930.670044</v>
      </c>
      <c r="J234" s="146">
        <f t="shared" si="7"/>
        <v>-1.5079830581919862E-2</v>
      </c>
      <c r="K234" s="851"/>
      <c r="L234" s="851"/>
    </row>
    <row r="235" spans="2:12">
      <c r="B235" s="145">
        <v>41852</v>
      </c>
      <c r="C235" s="1356">
        <v>23.202000000000002</v>
      </c>
      <c r="D235" s="1127">
        <v>24.908899000000002</v>
      </c>
      <c r="E235" s="1127">
        <v>22.292299</v>
      </c>
      <c r="F235" s="1127">
        <v>24.2712</v>
      </c>
      <c r="G235" s="1127">
        <v>21.247658000000001</v>
      </c>
      <c r="H235" s="1357">
        <f t="shared" si="6"/>
        <v>4.6082234290147239E-2</v>
      </c>
      <c r="I235" s="1351">
        <v>2003.369995</v>
      </c>
      <c r="J235" s="146">
        <f t="shared" si="7"/>
        <v>3.7655295489735119E-2</v>
      </c>
      <c r="K235" s="851"/>
      <c r="L235" s="851"/>
    </row>
    <row r="236" spans="2:12">
      <c r="B236" s="145">
        <v>41883</v>
      </c>
      <c r="C236" s="1356">
        <v>24.299299000000001</v>
      </c>
      <c r="D236" s="1127">
        <v>24.843201000000001</v>
      </c>
      <c r="E236" s="1127">
        <v>23.492799999999999</v>
      </c>
      <c r="F236" s="1127">
        <v>24.824498999999999</v>
      </c>
      <c r="G236" s="1127">
        <v>21.732029000000001</v>
      </c>
      <c r="H236" s="1357">
        <f t="shared" si="6"/>
        <v>2.2796524275684682E-2</v>
      </c>
      <c r="I236" s="1351">
        <v>1972.290039</v>
      </c>
      <c r="J236" s="146">
        <f t="shared" si="7"/>
        <v>-1.5513837223063764E-2</v>
      </c>
      <c r="K236" s="851"/>
      <c r="L236" s="851"/>
    </row>
    <row r="237" spans="2:12">
      <c r="B237" s="145">
        <v>41913</v>
      </c>
      <c r="C237" s="1356">
        <v>24.711901000000001</v>
      </c>
      <c r="D237" s="1127">
        <v>25.1996</v>
      </c>
      <c r="E237" s="1127">
        <v>21.682699</v>
      </c>
      <c r="F237" s="1127">
        <v>23.989799000000001</v>
      </c>
      <c r="G237" s="1127">
        <v>21.00131</v>
      </c>
      <c r="H237" s="1357">
        <f t="shared" si="6"/>
        <v>-3.3624042120648512E-2</v>
      </c>
      <c r="I237" s="1351">
        <v>2018.0500489999999</v>
      </c>
      <c r="J237" s="146">
        <f t="shared" si="7"/>
        <v>2.3201460786772321E-2</v>
      </c>
      <c r="K237" s="851"/>
      <c r="L237" s="851"/>
    </row>
    <row r="238" spans="2:12">
      <c r="B238" s="145">
        <v>41944</v>
      </c>
      <c r="C238" s="1356">
        <v>23.764700000000001</v>
      </c>
      <c r="D238" s="1127">
        <v>24.646298999999999</v>
      </c>
      <c r="E238" s="1127">
        <v>23.0989</v>
      </c>
      <c r="F238" s="1127">
        <v>24.214898999999999</v>
      </c>
      <c r="G238" s="1127">
        <v>21.198367999999999</v>
      </c>
      <c r="H238" s="1357">
        <f t="shared" si="6"/>
        <v>9.3831548984633084E-3</v>
      </c>
      <c r="I238" s="1351">
        <v>2067.5600589999999</v>
      </c>
      <c r="J238" s="146">
        <f t="shared" si="7"/>
        <v>2.4533588760364822E-2</v>
      </c>
      <c r="K238" s="851"/>
      <c r="L238" s="851"/>
    </row>
    <row r="239" spans="2:12">
      <c r="B239" s="145">
        <v>41974</v>
      </c>
      <c r="C239" s="1356">
        <v>24.064800000000002</v>
      </c>
      <c r="D239" s="1127">
        <v>24.7026</v>
      </c>
      <c r="E239" s="1127">
        <v>22.0672</v>
      </c>
      <c r="F239" s="1127">
        <v>23.520900999999999</v>
      </c>
      <c r="G239" s="1127">
        <v>20.590824000000001</v>
      </c>
      <c r="H239" s="1357">
        <f t="shared" si="6"/>
        <v>-2.8659958482585512E-2</v>
      </c>
      <c r="I239" s="1351">
        <v>2058.8999020000001</v>
      </c>
      <c r="J239" s="146">
        <f t="shared" si="7"/>
        <v>-4.1885878779204244E-3</v>
      </c>
      <c r="K239" s="851"/>
      <c r="L239" s="851"/>
    </row>
    <row r="240" spans="2:12">
      <c r="B240" s="145">
        <v>42005</v>
      </c>
      <c r="C240" s="1356">
        <v>23.520900999999999</v>
      </c>
      <c r="D240" s="1127">
        <v>23.567800999999999</v>
      </c>
      <c r="E240" s="1127">
        <v>17.415600000000001</v>
      </c>
      <c r="F240" s="1127">
        <v>18.2409</v>
      </c>
      <c r="G240" s="1127">
        <v>15.968571000000001</v>
      </c>
      <c r="H240" s="1357">
        <f t="shared" si="6"/>
        <v>-0.22448123904777284</v>
      </c>
      <c r="I240" s="1351">
        <v>1994.98999</v>
      </c>
      <c r="J240" s="146">
        <f t="shared" si="7"/>
        <v>-3.1040805790470194E-2</v>
      </c>
      <c r="K240" s="851"/>
      <c r="L240" s="851"/>
    </row>
    <row r="241" spans="2:12">
      <c r="B241" s="145">
        <v>42036</v>
      </c>
      <c r="C241" s="1356">
        <v>18.268999000000001</v>
      </c>
      <c r="D241" s="1127">
        <v>22.573699999999999</v>
      </c>
      <c r="E241" s="1127">
        <v>18.072099999999999</v>
      </c>
      <c r="F241" s="1127">
        <v>21.823399999999999</v>
      </c>
      <c r="G241" s="1127">
        <v>19.104786000000001</v>
      </c>
      <c r="H241" s="1357">
        <f t="shared" si="6"/>
        <v>0.1963993004731126</v>
      </c>
      <c r="I241" s="1351">
        <v>2104.5</v>
      </c>
      <c r="J241" s="146">
        <f t="shared" si="7"/>
        <v>5.4892511014553946E-2</v>
      </c>
      <c r="K241" s="851"/>
      <c r="L241" s="851"/>
    </row>
    <row r="242" spans="2:12">
      <c r="B242" s="145">
        <v>42064</v>
      </c>
      <c r="C242" s="1356">
        <v>21.682699</v>
      </c>
      <c r="D242" s="1127">
        <v>24.646298999999999</v>
      </c>
      <c r="E242" s="1127">
        <v>21.485800000000001</v>
      </c>
      <c r="F242" s="1127">
        <v>24.552499999999998</v>
      </c>
      <c r="G242" s="1127">
        <v>21.493914</v>
      </c>
      <c r="H242" s="1357">
        <f t="shared" si="6"/>
        <v>0.12505384128962493</v>
      </c>
      <c r="I242" s="1351">
        <v>2067.889893</v>
      </c>
      <c r="J242" s="146">
        <f t="shared" si="7"/>
        <v>-1.739610691375626E-2</v>
      </c>
      <c r="K242" s="851"/>
      <c r="L242" s="851"/>
    </row>
    <row r="243" spans="2:12">
      <c r="B243" s="145">
        <v>42095</v>
      </c>
      <c r="C243" s="1356">
        <v>24.505600000000001</v>
      </c>
      <c r="D243" s="1127">
        <v>25.790400000000002</v>
      </c>
      <c r="E243" s="1127">
        <v>23.117598999999998</v>
      </c>
      <c r="F243" s="1127">
        <v>23.258300999999999</v>
      </c>
      <c r="G243" s="1127">
        <v>20.360937</v>
      </c>
      <c r="H243" s="1357">
        <f t="shared" si="6"/>
        <v>-5.2711495774361072E-2</v>
      </c>
      <c r="I243" s="1351">
        <v>2085.51001</v>
      </c>
      <c r="J243" s="146">
        <f t="shared" si="7"/>
        <v>8.5208197301247512E-3</v>
      </c>
      <c r="K243" s="851"/>
      <c r="L243" s="851"/>
    </row>
    <row r="244" spans="2:12">
      <c r="B244" s="145">
        <v>42125</v>
      </c>
      <c r="C244" s="1356">
        <v>23.258300999999999</v>
      </c>
      <c r="D244" s="1127">
        <v>23.802199999999999</v>
      </c>
      <c r="E244" s="1127">
        <v>22.142299999999999</v>
      </c>
      <c r="F244" s="1127">
        <v>23.361499999999999</v>
      </c>
      <c r="G244" s="1127">
        <v>20.451281000000002</v>
      </c>
      <c r="H244" s="1357">
        <f t="shared" si="6"/>
        <v>4.4370824850878954E-3</v>
      </c>
      <c r="I244" s="1351">
        <v>2107.389893</v>
      </c>
      <c r="J244" s="146">
        <f t="shared" si="7"/>
        <v>1.0491382393316817E-2</v>
      </c>
      <c r="K244" s="851"/>
      <c r="L244" s="851"/>
    </row>
    <row r="245" spans="2:12">
      <c r="B245" s="145">
        <v>42156</v>
      </c>
      <c r="C245" s="1356">
        <v>23.305201</v>
      </c>
      <c r="D245" s="1127">
        <v>24.8901</v>
      </c>
      <c r="E245" s="1127">
        <v>23.061399000000002</v>
      </c>
      <c r="F245" s="1127">
        <v>24.102399999999999</v>
      </c>
      <c r="G245" s="1127">
        <v>21.754626999999999</v>
      </c>
      <c r="H245" s="1357">
        <f t="shared" si="6"/>
        <v>3.1714573122445078E-2</v>
      </c>
      <c r="I245" s="1351">
        <v>2063.110107</v>
      </c>
      <c r="J245" s="146">
        <f t="shared" si="7"/>
        <v>-2.1011672375900514E-2</v>
      </c>
      <c r="K245" s="851"/>
      <c r="L245" s="851"/>
    </row>
    <row r="246" spans="2:12">
      <c r="B246" s="145">
        <v>42186</v>
      </c>
      <c r="C246" s="1356">
        <v>24.383699</v>
      </c>
      <c r="D246" s="1127">
        <v>27.140899999999998</v>
      </c>
      <c r="E246" s="1127">
        <v>24.1586</v>
      </c>
      <c r="F246" s="1127">
        <v>26.709499000000001</v>
      </c>
      <c r="G246" s="1127">
        <v>24.107773000000002</v>
      </c>
      <c r="H246" s="1357">
        <f t="shared" si="6"/>
        <v>0.10816760986457785</v>
      </c>
      <c r="I246" s="1351">
        <v>2103.8400879999999</v>
      </c>
      <c r="J246" s="146">
        <f t="shared" si="7"/>
        <v>1.9742029696721453E-2</v>
      </c>
      <c r="K246" s="851"/>
      <c r="L246" s="851"/>
    </row>
    <row r="247" spans="2:12">
      <c r="B247" s="145">
        <v>42217</v>
      </c>
      <c r="C247" s="1356">
        <v>26.6814</v>
      </c>
      <c r="D247" s="1127">
        <v>27.028400000000001</v>
      </c>
      <c r="E247" s="1127">
        <v>22.329799999999999</v>
      </c>
      <c r="F247" s="1127">
        <v>24.3368</v>
      </c>
      <c r="G247" s="1127">
        <v>21.966194000000002</v>
      </c>
      <c r="H247" s="1357">
        <f t="shared" si="6"/>
        <v>-8.8833526978547961E-2</v>
      </c>
      <c r="I247" s="1351">
        <v>1972.1800539999999</v>
      </c>
      <c r="J247" s="146">
        <f t="shared" si="7"/>
        <v>-6.2580818167202845E-2</v>
      </c>
      <c r="K247" s="851"/>
      <c r="L247" s="851"/>
    </row>
    <row r="248" spans="2:12">
      <c r="B248" s="145">
        <v>42248</v>
      </c>
      <c r="C248" s="1356">
        <v>24.2805</v>
      </c>
      <c r="D248" s="1127">
        <v>24.8995</v>
      </c>
      <c r="E248" s="1127">
        <v>21.213799999999999</v>
      </c>
      <c r="F248" s="1127">
        <v>21.964099999999998</v>
      </c>
      <c r="G248" s="1127">
        <v>19.824617</v>
      </c>
      <c r="H248" s="1357">
        <f t="shared" si="6"/>
        <v>-9.7494329574964733E-2</v>
      </c>
      <c r="I248" s="1351">
        <v>1920.030029</v>
      </c>
      <c r="J248" s="146">
        <f t="shared" si="7"/>
        <v>-2.6442831573227132E-2</v>
      </c>
      <c r="K248" s="851"/>
      <c r="L248" s="851"/>
    </row>
    <row r="249" spans="2:12">
      <c r="B249" s="145">
        <v>42278</v>
      </c>
      <c r="C249" s="1356">
        <v>22.301701000000001</v>
      </c>
      <c r="D249" s="1127">
        <v>23.736601</v>
      </c>
      <c r="E249" s="1127">
        <v>21.635899999999999</v>
      </c>
      <c r="F249" s="1127">
        <v>23.145800000000001</v>
      </c>
      <c r="G249" s="1127">
        <v>20.891209</v>
      </c>
      <c r="H249" s="1357">
        <f t="shared" si="6"/>
        <v>5.3801430516160487E-2</v>
      </c>
      <c r="I249" s="1351">
        <v>2079.360107</v>
      </c>
      <c r="J249" s="146">
        <f t="shared" si="7"/>
        <v>8.2983117760394132E-2</v>
      </c>
      <c r="K249" s="851"/>
      <c r="L249" s="851"/>
    </row>
    <row r="250" spans="2:12">
      <c r="B250" s="145">
        <v>42309</v>
      </c>
      <c r="C250" s="1356">
        <v>23.023800000000001</v>
      </c>
      <c r="D250" s="1127">
        <v>23.4834</v>
      </c>
      <c r="E250" s="1127">
        <v>20.022099999999998</v>
      </c>
      <c r="F250" s="1127">
        <v>21.344000000000001</v>
      </c>
      <c r="G250" s="1127">
        <v>19.264918999999999</v>
      </c>
      <c r="H250" s="1357">
        <f t="shared" si="6"/>
        <v>-7.7845656663411922E-2</v>
      </c>
      <c r="I250" s="1351">
        <v>2080.4099120000001</v>
      </c>
      <c r="J250" s="146">
        <f t="shared" si="7"/>
        <v>5.0486926072412786E-4</v>
      </c>
      <c r="K250" s="851"/>
      <c r="L250" s="851"/>
    </row>
    <row r="251" spans="2:12">
      <c r="B251" s="145">
        <v>42339</v>
      </c>
      <c r="C251" s="1356">
        <v>21.209</v>
      </c>
      <c r="D251" s="1127">
        <v>21.865100999999999</v>
      </c>
      <c r="E251" s="1127">
        <v>19.288799000000001</v>
      </c>
      <c r="F251" s="1127">
        <v>20.929099999999998</v>
      </c>
      <c r="G251" s="1127">
        <v>18.890433999999999</v>
      </c>
      <c r="H251" s="1357">
        <f t="shared" si="6"/>
        <v>-1.9438718140929678E-2</v>
      </c>
      <c r="I251" s="1351">
        <v>2043.9399410000001</v>
      </c>
      <c r="J251" s="146">
        <f t="shared" si="7"/>
        <v>-1.7530185176314439E-2</v>
      </c>
      <c r="K251" s="851"/>
      <c r="L251" s="851"/>
    </row>
    <row r="252" spans="2:12">
      <c r="B252" s="145">
        <v>42370</v>
      </c>
      <c r="C252" s="1356">
        <v>20.929099999999998</v>
      </c>
      <c r="D252" s="1127">
        <v>20.929099999999998</v>
      </c>
      <c r="E252" s="1127">
        <v>16.606300000000001</v>
      </c>
      <c r="F252" s="1127">
        <v>17.368601000000002</v>
      </c>
      <c r="G252" s="1127">
        <v>15.676757</v>
      </c>
      <c r="H252" s="1357">
        <f t="shared" si="6"/>
        <v>-0.17012193548695342</v>
      </c>
      <c r="I252" s="1351">
        <v>1940.23999</v>
      </c>
      <c r="J252" s="146">
        <f t="shared" si="7"/>
        <v>-5.073532197294639E-2</v>
      </c>
      <c r="K252" s="851"/>
      <c r="L252" s="851"/>
    </row>
    <row r="253" spans="2:12">
      <c r="B253" s="145">
        <v>42401</v>
      </c>
      <c r="C253" s="1356">
        <v>17.397499</v>
      </c>
      <c r="D253" s="1127">
        <v>17.445800999999999</v>
      </c>
      <c r="E253" s="1127">
        <v>11.801</v>
      </c>
      <c r="F253" s="1127">
        <v>12.968500000000001</v>
      </c>
      <c r="G253" s="1127">
        <v>11.705261</v>
      </c>
      <c r="H253" s="1357">
        <f t="shared" si="6"/>
        <v>-0.25333652376492499</v>
      </c>
      <c r="I253" s="1351">
        <v>1932.2299800000001</v>
      </c>
      <c r="J253" s="146">
        <f t="shared" si="7"/>
        <v>-4.1283604302990717E-3</v>
      </c>
      <c r="K253" s="851"/>
      <c r="L253" s="851"/>
    </row>
    <row r="254" spans="2:12">
      <c r="B254" s="145">
        <v>42430</v>
      </c>
      <c r="C254" s="1356">
        <v>12.910600000000001</v>
      </c>
      <c r="D254" s="1127">
        <v>15.2361</v>
      </c>
      <c r="E254" s="1127">
        <v>12.775499999999999</v>
      </c>
      <c r="F254" s="1127">
        <v>13.1326</v>
      </c>
      <c r="G254" s="1127">
        <v>11.853376000000001</v>
      </c>
      <c r="H254" s="1357">
        <f t="shared" si="6"/>
        <v>1.2653737903381312E-2</v>
      </c>
      <c r="I254" s="1351">
        <v>2059.73999</v>
      </c>
      <c r="J254" s="146">
        <f t="shared" si="7"/>
        <v>6.5991114577365062E-2</v>
      </c>
      <c r="K254" s="851"/>
      <c r="L254" s="851"/>
    </row>
    <row r="255" spans="2:12">
      <c r="B255" s="145">
        <v>42461</v>
      </c>
      <c r="C255" s="1356">
        <v>12.901</v>
      </c>
      <c r="D255" s="1127">
        <v>14.994899999999999</v>
      </c>
      <c r="E255" s="1127">
        <v>12.157999999999999</v>
      </c>
      <c r="F255" s="1127">
        <v>14.0589</v>
      </c>
      <c r="G255" s="1127">
        <v>12.689446999999999</v>
      </c>
      <c r="H255" s="1357">
        <f t="shared" si="6"/>
        <v>7.0534395321566246E-2</v>
      </c>
      <c r="I255" s="1351">
        <v>2065.3000489999999</v>
      </c>
      <c r="J255" s="146">
        <f t="shared" si="7"/>
        <v>2.6993984808731941E-3</v>
      </c>
      <c r="K255" s="851"/>
      <c r="L255" s="851"/>
    </row>
    <row r="256" spans="2:12">
      <c r="B256" s="145">
        <v>42491</v>
      </c>
      <c r="C256" s="1356">
        <v>14.1747</v>
      </c>
      <c r="D256" s="1127">
        <v>14.1747</v>
      </c>
      <c r="E256" s="1127">
        <v>12.582599999999999</v>
      </c>
      <c r="F256" s="1127">
        <v>13.142200000000001</v>
      </c>
      <c r="G256" s="1127">
        <v>11.862041</v>
      </c>
      <c r="H256" s="1357">
        <f t="shared" si="6"/>
        <v>-6.5204247843003271E-2</v>
      </c>
      <c r="I256" s="1351">
        <v>2096.9499510000001</v>
      </c>
      <c r="J256" s="146">
        <f t="shared" si="7"/>
        <v>1.5324602357572603E-2</v>
      </c>
      <c r="K256" s="851"/>
      <c r="L256" s="851"/>
    </row>
    <row r="257" spans="2:12">
      <c r="B257" s="145">
        <v>42522</v>
      </c>
      <c r="C257" s="1356">
        <v>12.978199999999999</v>
      </c>
      <c r="D257" s="1127">
        <v>13.0747</v>
      </c>
      <c r="E257" s="1127">
        <v>9.6492000000000004</v>
      </c>
      <c r="F257" s="1127">
        <v>9.9483300000000003</v>
      </c>
      <c r="G257" s="1127">
        <v>9.4821170000000006</v>
      </c>
      <c r="H257" s="1357">
        <f t="shared" si="6"/>
        <v>-0.24302399902603833</v>
      </c>
      <c r="I257" s="1351">
        <v>2098.860107</v>
      </c>
      <c r="J257" s="146">
        <f t="shared" si="7"/>
        <v>9.1092112097812539E-4</v>
      </c>
      <c r="K257" s="851"/>
      <c r="L257" s="851"/>
    </row>
    <row r="258" spans="2:12">
      <c r="B258" s="145">
        <v>42552</v>
      </c>
      <c r="C258" s="1356">
        <v>10.083399999999999</v>
      </c>
      <c r="D258" s="1127">
        <v>11.530799999999999</v>
      </c>
      <c r="E258" s="1127">
        <v>9.4128000000000007</v>
      </c>
      <c r="F258" s="1127">
        <v>10.758900000000001</v>
      </c>
      <c r="G258" s="1127">
        <v>10.2547</v>
      </c>
      <c r="H258" s="1357">
        <f t="shared" si="6"/>
        <v>8.147799680951473E-2</v>
      </c>
      <c r="I258" s="1351">
        <v>2173.6000979999999</v>
      </c>
      <c r="J258" s="146">
        <f t="shared" si="7"/>
        <v>3.5609801125254359E-2</v>
      </c>
      <c r="K258" s="851"/>
      <c r="L258" s="851"/>
    </row>
    <row r="259" spans="2:12">
      <c r="B259" s="145">
        <v>42583</v>
      </c>
      <c r="C259" s="1356">
        <v>10.758900000000001</v>
      </c>
      <c r="D259" s="1127">
        <v>13.09</v>
      </c>
      <c r="E259" s="1127">
        <v>9.9483300000000003</v>
      </c>
      <c r="F259" s="1127">
        <v>12.81</v>
      </c>
      <c r="G259" s="1127">
        <v>12.209679</v>
      </c>
      <c r="H259" s="1357">
        <f t="shared" si="6"/>
        <v>0.19064216602068984</v>
      </c>
      <c r="I259" s="1351">
        <v>2170.9499510000001</v>
      </c>
      <c r="J259" s="146">
        <f t="shared" si="7"/>
        <v>-1.2192431360480427E-3</v>
      </c>
      <c r="K259" s="851"/>
      <c r="L259" s="851"/>
    </row>
    <row r="260" spans="2:12">
      <c r="B260" s="145">
        <v>42614</v>
      </c>
      <c r="C260" s="1356">
        <v>12.5054</v>
      </c>
      <c r="D260" s="1127">
        <v>13.1808</v>
      </c>
      <c r="E260" s="1127">
        <v>11.4922</v>
      </c>
      <c r="F260" s="1127">
        <v>12.264099999999999</v>
      </c>
      <c r="G260" s="1127">
        <v>11.689361999999999</v>
      </c>
      <c r="H260" s="1357">
        <f t="shared" si="6"/>
        <v>-4.2615144418423179E-2</v>
      </c>
      <c r="I260" s="1351">
        <v>2168.2700199999999</v>
      </c>
      <c r="J260" s="146">
        <f t="shared" si="7"/>
        <v>-1.2344508443253854E-3</v>
      </c>
      <c r="K260" s="851"/>
      <c r="L260" s="851"/>
    </row>
    <row r="261" spans="2:12">
      <c r="B261" s="145">
        <v>42644</v>
      </c>
      <c r="C261" s="1356">
        <v>12.3317</v>
      </c>
      <c r="D261" s="1127">
        <v>13.537800000000001</v>
      </c>
      <c r="E261" s="1127">
        <v>12.119400000000001</v>
      </c>
      <c r="F261" s="1127">
        <v>13.3352</v>
      </c>
      <c r="G261" s="1127">
        <v>12.710266000000001</v>
      </c>
      <c r="H261" s="1357">
        <f t="shared" ref="H261:H275" si="8">F261/F260-1</f>
        <v>8.7336208935021808E-2</v>
      </c>
      <c r="I261" s="1351">
        <v>2126.1499020000001</v>
      </c>
      <c r="J261" s="146">
        <f t="shared" ref="J261:J275" si="9">I261/I260-1</f>
        <v>-1.9425679279557517E-2</v>
      </c>
      <c r="K261" s="851"/>
      <c r="L261" s="851"/>
    </row>
    <row r="262" spans="2:12">
      <c r="B262" s="145">
        <v>42675</v>
      </c>
      <c r="C262" s="1356">
        <v>13.402699999999999</v>
      </c>
      <c r="D262" s="1127">
        <v>14.3773</v>
      </c>
      <c r="E262" s="1127">
        <v>11.588699999999999</v>
      </c>
      <c r="F262" s="1127">
        <v>13.0457</v>
      </c>
      <c r="G262" s="1127">
        <v>12.434333000000001</v>
      </c>
      <c r="H262" s="1357">
        <f t="shared" si="8"/>
        <v>-2.1709460675505499E-2</v>
      </c>
      <c r="I262" s="1351">
        <v>2198.8100589999999</v>
      </c>
      <c r="J262" s="146">
        <f t="shared" si="9"/>
        <v>3.4174522187570444E-2</v>
      </c>
      <c r="K262" s="851"/>
      <c r="L262" s="851"/>
    </row>
    <row r="263" spans="2:12">
      <c r="B263" s="145">
        <v>42705</v>
      </c>
      <c r="C263" s="1356">
        <v>12.9878</v>
      </c>
      <c r="D263" s="1127">
        <v>15.5642</v>
      </c>
      <c r="E263" s="1127">
        <v>12.8817</v>
      </c>
      <c r="F263" s="1127">
        <v>14.0975</v>
      </c>
      <c r="G263" s="1127">
        <v>13.436842</v>
      </c>
      <c r="H263" s="1357">
        <f t="shared" si="8"/>
        <v>8.0624266999854255E-2</v>
      </c>
      <c r="I263" s="1351">
        <v>2238.830078</v>
      </c>
      <c r="J263" s="146">
        <f t="shared" si="9"/>
        <v>1.8200762196895148E-2</v>
      </c>
      <c r="K263" s="851"/>
      <c r="L263" s="851"/>
    </row>
    <row r="264" spans="2:12">
      <c r="B264" s="145">
        <v>42736</v>
      </c>
      <c r="C264" s="1356">
        <v>14.0975</v>
      </c>
      <c r="D264" s="1127">
        <v>15.7379</v>
      </c>
      <c r="E264" s="1127">
        <v>14.0975</v>
      </c>
      <c r="F264" s="1127">
        <v>14.4642</v>
      </c>
      <c r="G264" s="1127">
        <v>13.786357000000001</v>
      </c>
      <c r="H264" s="1357">
        <f t="shared" si="8"/>
        <v>2.601170420287291E-2</v>
      </c>
      <c r="I264" s="1351">
        <v>2278.8701169999999</v>
      </c>
      <c r="J264" s="146">
        <f t="shared" si="9"/>
        <v>1.7884358171464498E-2</v>
      </c>
      <c r="K264" s="851"/>
      <c r="L264" s="851"/>
    </row>
    <row r="265" spans="2:12">
      <c r="B265" s="145">
        <v>42767</v>
      </c>
      <c r="C265" s="1356">
        <v>14.560600000000001</v>
      </c>
      <c r="D265" s="1127">
        <v>15.1493</v>
      </c>
      <c r="E265" s="1127">
        <v>13.566800000000001</v>
      </c>
      <c r="F265" s="1127">
        <v>14.618499999999999</v>
      </c>
      <c r="G265" s="1127">
        <v>13.933426000000001</v>
      </c>
      <c r="H265" s="1357">
        <f t="shared" si="8"/>
        <v>1.0667717537091503E-2</v>
      </c>
      <c r="I265" s="1351">
        <v>2363.639893</v>
      </c>
      <c r="J265" s="146">
        <f t="shared" si="9"/>
        <v>3.7198160337279074E-2</v>
      </c>
      <c r="K265" s="851"/>
      <c r="L265" s="851"/>
    </row>
    <row r="266" spans="2:12">
      <c r="B266" s="145">
        <v>42795</v>
      </c>
      <c r="C266" s="1356">
        <v>14.7826</v>
      </c>
      <c r="D266" s="1127">
        <v>15.496600000000001</v>
      </c>
      <c r="E266" s="1127">
        <v>13.7887</v>
      </c>
      <c r="F266" s="1127">
        <v>14.3773</v>
      </c>
      <c r="G266" s="1127">
        <v>13.703529</v>
      </c>
      <c r="H266" s="1357">
        <f t="shared" si="8"/>
        <v>-1.6499640866025844E-2</v>
      </c>
      <c r="I266" s="1351">
        <v>2362.719971</v>
      </c>
      <c r="J266" s="146">
        <f t="shared" si="9"/>
        <v>-3.8919718808450021E-4</v>
      </c>
      <c r="K266" s="851"/>
      <c r="L266" s="851"/>
    </row>
    <row r="267" spans="2:12">
      <c r="B267" s="145">
        <v>42826</v>
      </c>
      <c r="C267" s="1356">
        <v>14.338699999999999</v>
      </c>
      <c r="D267" s="1127">
        <v>15.3133</v>
      </c>
      <c r="E267" s="1127">
        <v>13.566800000000001</v>
      </c>
      <c r="F267" s="1127">
        <v>14.5992</v>
      </c>
      <c r="G267" s="1127">
        <v>13.91503</v>
      </c>
      <c r="H267" s="1357">
        <f t="shared" si="8"/>
        <v>1.5434052290763889E-2</v>
      </c>
      <c r="I267" s="1351">
        <v>2384.1999510000001</v>
      </c>
      <c r="J267" s="146">
        <f t="shared" si="9"/>
        <v>9.0912085493182193E-3</v>
      </c>
      <c r="K267" s="851"/>
      <c r="L267" s="851"/>
    </row>
    <row r="268" spans="2:12">
      <c r="B268" s="145">
        <v>42856</v>
      </c>
      <c r="C268" s="1356">
        <v>14.5992</v>
      </c>
      <c r="D268" s="1127">
        <v>15.0528</v>
      </c>
      <c r="E268" s="1127">
        <v>13.142200000000001</v>
      </c>
      <c r="F268" s="1127">
        <v>13.3</v>
      </c>
      <c r="G268" s="1127">
        <v>12.676716000000001</v>
      </c>
      <c r="H268" s="1357">
        <f t="shared" si="8"/>
        <v>-8.8991177598772508E-2</v>
      </c>
      <c r="I268" s="1351">
        <v>2411.8000489999999</v>
      </c>
      <c r="J268" s="146">
        <f t="shared" si="9"/>
        <v>1.157625139134133E-2</v>
      </c>
      <c r="K268" s="851"/>
      <c r="L268" s="851"/>
    </row>
    <row r="269" spans="2:12">
      <c r="B269" s="145">
        <v>42887</v>
      </c>
      <c r="C269" s="1356">
        <v>13.28</v>
      </c>
      <c r="D269" s="1127">
        <v>14.27</v>
      </c>
      <c r="E269" s="1127">
        <v>12.91</v>
      </c>
      <c r="F269" s="1127">
        <v>13.86</v>
      </c>
      <c r="G269" s="1127">
        <v>13.86</v>
      </c>
      <c r="H269" s="1357">
        <f t="shared" si="8"/>
        <v>4.2105263157894646E-2</v>
      </c>
      <c r="I269" s="1351">
        <v>2423.4099120000001</v>
      </c>
      <c r="J269" s="146">
        <f t="shared" si="9"/>
        <v>4.8137750908554544E-3</v>
      </c>
      <c r="K269" s="851"/>
      <c r="L269" s="851"/>
    </row>
    <row r="270" spans="2:12">
      <c r="B270" s="145">
        <v>42917</v>
      </c>
      <c r="C270" s="1356">
        <v>13.99</v>
      </c>
      <c r="D270" s="1127">
        <v>15.25</v>
      </c>
      <c r="E270" s="1127">
        <v>13.99</v>
      </c>
      <c r="F270" s="1127">
        <v>14.88</v>
      </c>
      <c r="G270" s="1127">
        <v>14.88</v>
      </c>
      <c r="H270" s="1357">
        <f t="shared" si="8"/>
        <v>7.3593073593073655E-2</v>
      </c>
      <c r="I270" s="1351">
        <v>2470.3000489999999</v>
      </c>
      <c r="J270" s="146">
        <f t="shared" si="9"/>
        <v>1.9348826118030571E-2</v>
      </c>
      <c r="K270" s="851"/>
      <c r="L270" s="851"/>
    </row>
    <row r="271" spans="2:12">
      <c r="B271" s="145">
        <v>42948</v>
      </c>
      <c r="C271" s="1356">
        <v>14.88</v>
      </c>
      <c r="D271" s="1127">
        <v>15.28</v>
      </c>
      <c r="E271" s="1127">
        <v>13.95</v>
      </c>
      <c r="F271" s="1127">
        <v>14.1</v>
      </c>
      <c r="G271" s="1127">
        <v>14.1</v>
      </c>
      <c r="H271" s="1357">
        <f t="shared" si="8"/>
        <v>-5.2419354838709742E-2</v>
      </c>
      <c r="I271" s="1351">
        <v>2471.6499020000001</v>
      </c>
      <c r="J271" s="146">
        <f t="shared" si="9"/>
        <v>5.4643281108557318E-4</v>
      </c>
      <c r="K271" s="851"/>
      <c r="L271" s="851"/>
    </row>
    <row r="272" spans="2:12">
      <c r="B272" s="145">
        <v>42979</v>
      </c>
      <c r="C272" s="1356">
        <v>14.14</v>
      </c>
      <c r="D272" s="1127">
        <v>15.46</v>
      </c>
      <c r="E272" s="1127">
        <v>13.65</v>
      </c>
      <c r="F272" s="1127">
        <v>15.33</v>
      </c>
      <c r="G272" s="1127">
        <v>15.33</v>
      </c>
      <c r="H272" s="1357">
        <f t="shared" si="8"/>
        <v>8.7234042553191449E-2</v>
      </c>
      <c r="I272" s="1351">
        <v>2519.360107</v>
      </c>
      <c r="J272" s="146">
        <f t="shared" si="9"/>
        <v>1.9302978533243698E-2</v>
      </c>
      <c r="K272" s="851"/>
      <c r="L272" s="851"/>
    </row>
    <row r="273" spans="2:12">
      <c r="B273" s="145">
        <v>43009</v>
      </c>
      <c r="C273" s="1356">
        <v>15.3</v>
      </c>
      <c r="D273" s="1127">
        <v>16.18</v>
      </c>
      <c r="E273" s="1127">
        <v>15.27</v>
      </c>
      <c r="F273" s="1127">
        <v>15.73</v>
      </c>
      <c r="G273" s="1127">
        <v>15.73</v>
      </c>
      <c r="H273" s="1357">
        <f t="shared" si="8"/>
        <v>2.6092628832354858E-2</v>
      </c>
      <c r="I273" s="1351">
        <v>2575.26001</v>
      </c>
      <c r="J273" s="146">
        <f t="shared" si="9"/>
        <v>2.218813533034969E-2</v>
      </c>
      <c r="K273" s="851"/>
      <c r="L273" s="851"/>
    </row>
    <row r="274" spans="2:12">
      <c r="B274" s="145">
        <v>43040</v>
      </c>
      <c r="C274" s="1356">
        <v>15.78</v>
      </c>
      <c r="D274" s="1127">
        <v>17.059999000000001</v>
      </c>
      <c r="E274" s="1127">
        <v>15.46</v>
      </c>
      <c r="F274" s="1127">
        <v>16.66</v>
      </c>
      <c r="G274" s="1127">
        <v>16.66</v>
      </c>
      <c r="H274" s="1357">
        <f t="shared" si="8"/>
        <v>5.9122695486331756E-2</v>
      </c>
      <c r="I274" s="1351">
        <v>2584.8400879999999</v>
      </c>
      <c r="J274" s="146">
        <f t="shared" si="9"/>
        <v>3.7200430103365711E-3</v>
      </c>
      <c r="K274" s="851"/>
      <c r="L274" s="851"/>
    </row>
    <row r="275" spans="2:12">
      <c r="B275" s="145">
        <v>43070</v>
      </c>
      <c r="C275" s="1356">
        <v>16.670000000000002</v>
      </c>
      <c r="D275" s="1127">
        <v>17.530000999999999</v>
      </c>
      <c r="E275" s="1127">
        <v>16.5</v>
      </c>
      <c r="F275" s="1127">
        <v>17.389999</v>
      </c>
      <c r="G275" s="1127">
        <v>17.389999</v>
      </c>
      <c r="H275" s="1357">
        <f t="shared" si="8"/>
        <v>4.3817466986794784E-2</v>
      </c>
      <c r="I275" s="1351">
        <v>2652.01001</v>
      </c>
      <c r="J275" s="146">
        <f t="shared" si="9"/>
        <v>2.5986103477670941E-2</v>
      </c>
      <c r="K275" s="851"/>
      <c r="L275" s="851"/>
    </row>
    <row r="276" spans="2:12">
      <c r="K276" s="851"/>
      <c r="L276" s="851"/>
    </row>
    <row r="277" spans="2:12">
      <c r="I277" t="s">
        <v>821</v>
      </c>
      <c r="J277" s="146">
        <f>(I275/I11)^(1/23)-1</f>
        <v>6.5533533557328605E-2</v>
      </c>
      <c r="K277" s="851"/>
      <c r="L277" s="851"/>
    </row>
    <row r="278" spans="2:12">
      <c r="I278" t="s">
        <v>421</v>
      </c>
      <c r="J278" s="860">
        <v>2.3699999999999999E-2</v>
      </c>
      <c r="K278" s="851"/>
      <c r="L278" s="851"/>
    </row>
    <row r="279" spans="2:12">
      <c r="I279" t="s">
        <v>823</v>
      </c>
      <c r="J279" s="860">
        <f>J277-J278</f>
        <v>4.1833533557328606E-2</v>
      </c>
      <c r="K279" s="851"/>
      <c r="L279" s="851"/>
    </row>
    <row r="280" spans="2:12">
      <c r="K280" s="851"/>
      <c r="L280" s="851"/>
    </row>
    <row r="281" spans="2:12">
      <c r="K281" s="851"/>
      <c r="L281" s="851"/>
    </row>
    <row r="282" spans="2:12">
      <c r="K282" s="851"/>
      <c r="L282" s="851"/>
    </row>
    <row r="283" spans="2:12">
      <c r="K283" s="851"/>
      <c r="L283" s="851"/>
    </row>
    <row r="284" spans="2:12">
      <c r="K284" s="851"/>
      <c r="L284" s="851"/>
    </row>
    <row r="285" spans="2:12">
      <c r="K285" s="851"/>
      <c r="L285" s="851"/>
    </row>
    <row r="286" spans="2:12">
      <c r="K286" s="851"/>
      <c r="L286" s="851"/>
    </row>
    <row r="287" spans="2:12">
      <c r="K287" s="851"/>
      <c r="L287" s="851"/>
    </row>
    <row r="288" spans="2:12">
      <c r="K288" s="851"/>
      <c r="L288" s="851"/>
    </row>
    <row r="289" spans="11:12">
      <c r="K289" s="851"/>
      <c r="L289" s="851"/>
    </row>
    <row r="290" spans="11:12">
      <c r="K290" s="851"/>
      <c r="L290" s="851"/>
    </row>
    <row r="291" spans="11:12">
      <c r="K291" s="851"/>
      <c r="L291" s="851"/>
    </row>
    <row r="292" spans="11:12">
      <c r="K292" s="851"/>
      <c r="L292" s="851"/>
    </row>
    <row r="293" spans="11:12">
      <c r="K293" s="851"/>
      <c r="L293" s="851"/>
    </row>
    <row r="294" spans="11:12">
      <c r="K294" s="851"/>
      <c r="L294" s="851"/>
    </row>
    <row r="295" spans="11:12">
      <c r="K295" s="851"/>
      <c r="L295" s="851"/>
    </row>
    <row r="296" spans="11:12">
      <c r="K296" s="851"/>
      <c r="L296" s="851"/>
    </row>
    <row r="297" spans="11:12">
      <c r="K297" s="851"/>
      <c r="L297" s="851"/>
    </row>
    <row r="298" spans="11:12">
      <c r="K298" s="851"/>
      <c r="L298" s="851"/>
    </row>
    <row r="299" spans="11:12">
      <c r="K299" s="851"/>
      <c r="L299" s="851"/>
    </row>
    <row r="300" spans="11:12">
      <c r="K300" s="851"/>
      <c r="L300" s="851"/>
    </row>
    <row r="301" spans="11:12">
      <c r="K301" s="851"/>
      <c r="L301" s="851"/>
    </row>
    <row r="302" spans="11:12">
      <c r="K302" s="851"/>
      <c r="L302" s="851"/>
    </row>
    <row r="303" spans="11:12">
      <c r="K303" s="851"/>
      <c r="L303" s="851"/>
    </row>
    <row r="304" spans="11:12">
      <c r="K304" s="851"/>
      <c r="L304" s="851"/>
    </row>
    <row r="305" spans="11:12">
      <c r="K305" s="851"/>
      <c r="L305" s="851"/>
    </row>
    <row r="306" spans="11:12">
      <c r="K306" s="851"/>
      <c r="L306" s="851"/>
    </row>
    <row r="307" spans="11:12">
      <c r="K307" s="851"/>
      <c r="L307" s="851"/>
    </row>
    <row r="308" spans="11:12">
      <c r="K308" s="851"/>
      <c r="L308" s="851"/>
    </row>
    <row r="309" spans="11:12">
      <c r="K309" s="851"/>
      <c r="L309" s="851"/>
    </row>
    <row r="310" spans="11:12">
      <c r="K310" s="851"/>
      <c r="L310" s="851"/>
    </row>
    <row r="311" spans="11:12">
      <c r="K311" s="851"/>
      <c r="L311" s="851"/>
    </row>
    <row r="312" spans="11:12">
      <c r="K312" s="851"/>
      <c r="L312" s="851"/>
    </row>
    <row r="313" spans="11:12">
      <c r="K313" s="851"/>
      <c r="L313" s="851"/>
    </row>
    <row r="314" spans="11:12">
      <c r="K314" s="851"/>
      <c r="L314" s="851"/>
    </row>
    <row r="315" spans="11:12">
      <c r="K315" s="851"/>
      <c r="L315" s="851"/>
    </row>
    <row r="316" spans="11:12">
      <c r="K316" s="851"/>
      <c r="L316" s="851"/>
    </row>
    <row r="317" spans="11:12">
      <c r="K317" s="851"/>
      <c r="L317" s="851"/>
    </row>
    <row r="318" spans="11:12">
      <c r="K318" s="851"/>
      <c r="L318" s="851"/>
    </row>
    <row r="319" spans="11:12">
      <c r="K319" s="851"/>
      <c r="L319" s="851"/>
    </row>
    <row r="320" spans="11:12">
      <c r="K320" s="851"/>
      <c r="L320" s="851"/>
    </row>
    <row r="321" spans="11:12">
      <c r="K321" s="851"/>
      <c r="L321" s="851"/>
    </row>
    <row r="322" spans="11:12">
      <c r="K322" s="851"/>
      <c r="L322" s="851"/>
    </row>
    <row r="323" spans="11:12">
      <c r="K323" s="851"/>
      <c r="L323" s="851"/>
    </row>
    <row r="324" spans="11:12">
      <c r="K324" s="851"/>
      <c r="L324" s="851"/>
    </row>
    <row r="325" spans="11:12">
      <c r="K325" s="851"/>
      <c r="L325" s="851"/>
    </row>
    <row r="326" spans="11:12">
      <c r="K326" s="851"/>
      <c r="L326" s="851"/>
    </row>
    <row r="327" spans="11:12">
      <c r="K327" s="851"/>
      <c r="L327" s="851"/>
    </row>
    <row r="328" spans="11:12">
      <c r="K328" s="851"/>
      <c r="L328" s="851"/>
    </row>
    <row r="329" spans="11:12">
      <c r="K329" s="851"/>
      <c r="L329" s="851"/>
    </row>
    <row r="330" spans="11:12">
      <c r="K330" s="851"/>
      <c r="L330" s="851"/>
    </row>
    <row r="331" spans="11:12">
      <c r="K331" s="851"/>
      <c r="L331" s="851"/>
    </row>
    <row r="332" spans="11:12">
      <c r="K332" s="851"/>
      <c r="L332" s="851"/>
    </row>
    <row r="333" spans="11:12">
      <c r="K333" s="851"/>
      <c r="L333" s="851"/>
    </row>
    <row r="334" spans="11:12">
      <c r="K334" s="851"/>
      <c r="L334" s="851"/>
    </row>
    <row r="335" spans="11:12">
      <c r="K335" s="851"/>
      <c r="L335" s="851"/>
    </row>
    <row r="336" spans="11:12">
      <c r="K336" s="851"/>
      <c r="L336" s="851"/>
    </row>
    <row r="337" spans="11:12">
      <c r="K337" s="851"/>
      <c r="L337" s="851"/>
    </row>
    <row r="338" spans="11:12">
      <c r="K338" s="851"/>
      <c r="L338" s="851"/>
    </row>
    <row r="339" spans="11:12">
      <c r="K339" s="851"/>
      <c r="L339" s="851"/>
    </row>
    <row r="340" spans="11:12">
      <c r="K340" s="851"/>
      <c r="L340" s="851"/>
    </row>
    <row r="341" spans="11:12">
      <c r="K341" s="851"/>
      <c r="L341" s="851"/>
    </row>
    <row r="342" spans="11:12">
      <c r="K342" s="851"/>
      <c r="L342" s="851"/>
    </row>
    <row r="343" spans="11:12">
      <c r="K343" s="851"/>
      <c r="L343" s="851"/>
    </row>
    <row r="344" spans="11:12">
      <c r="K344" s="851"/>
      <c r="L344" s="851"/>
    </row>
    <row r="345" spans="11:12">
      <c r="K345" s="851"/>
      <c r="L345" s="851"/>
    </row>
    <row r="346" spans="11:12">
      <c r="K346" s="851"/>
      <c r="L346" s="851"/>
    </row>
    <row r="347" spans="11:12">
      <c r="K347" s="851"/>
      <c r="L347" s="851"/>
    </row>
    <row r="348" spans="11:12">
      <c r="K348" s="851"/>
      <c r="L348" s="851"/>
    </row>
    <row r="349" spans="11:12">
      <c r="K349" s="851"/>
      <c r="L349" s="851"/>
    </row>
    <row r="350" spans="11:12">
      <c r="K350" s="851"/>
      <c r="L350" s="851"/>
    </row>
    <row r="351" spans="11:12">
      <c r="K351" s="851"/>
      <c r="L351" s="851"/>
    </row>
    <row r="352" spans="11:12">
      <c r="K352" s="851"/>
      <c r="L352" s="851"/>
    </row>
    <row r="353" spans="11:12">
      <c r="K353" s="851"/>
      <c r="L353" s="851"/>
    </row>
    <row r="354" spans="11:12">
      <c r="K354" s="851"/>
      <c r="L354" s="851"/>
    </row>
    <row r="355" spans="11:12">
      <c r="K355" s="851"/>
      <c r="L355" s="851"/>
    </row>
    <row r="356" spans="11:12">
      <c r="K356" s="851"/>
      <c r="L356" s="851"/>
    </row>
    <row r="357" spans="11:12">
      <c r="K357" s="851"/>
      <c r="L357" s="851"/>
    </row>
    <row r="358" spans="11:12">
      <c r="K358" s="851"/>
      <c r="L358" s="851"/>
    </row>
    <row r="359" spans="11:12">
      <c r="K359" s="851"/>
      <c r="L359" s="851"/>
    </row>
    <row r="360" spans="11:12">
      <c r="K360" s="851"/>
      <c r="L360" s="851"/>
    </row>
    <row r="361" spans="11:12">
      <c r="K361" s="851"/>
      <c r="L361" s="851"/>
    </row>
    <row r="362" spans="11:12">
      <c r="K362" s="851"/>
      <c r="L362" s="851"/>
    </row>
    <row r="363" spans="11:12">
      <c r="K363" s="851"/>
      <c r="L363" s="851"/>
    </row>
    <row r="364" spans="11:12">
      <c r="K364" s="851"/>
      <c r="L364" s="851"/>
    </row>
    <row r="365" spans="11:12">
      <c r="K365" s="851"/>
      <c r="L365" s="851"/>
    </row>
    <row r="366" spans="11:12">
      <c r="K366" s="851"/>
      <c r="L366" s="851"/>
    </row>
    <row r="367" spans="11:12">
      <c r="K367" s="851"/>
      <c r="L367" s="851"/>
    </row>
    <row r="368" spans="11:12">
      <c r="K368" s="851"/>
      <c r="L368" s="851"/>
    </row>
    <row r="369" spans="11:12">
      <c r="K369" s="851"/>
      <c r="L369" s="851"/>
    </row>
    <row r="370" spans="11:12">
      <c r="K370" s="851"/>
      <c r="L370" s="851"/>
    </row>
    <row r="371" spans="11:12">
      <c r="K371" s="851"/>
      <c r="L371" s="851"/>
    </row>
    <row r="372" spans="11:12">
      <c r="K372" s="851"/>
      <c r="L372" s="851"/>
    </row>
    <row r="373" spans="11:12">
      <c r="K373" s="851"/>
      <c r="L373" s="851"/>
    </row>
    <row r="374" spans="11:12">
      <c r="K374" s="851"/>
      <c r="L374" s="851"/>
    </row>
    <row r="375" spans="11:12">
      <c r="K375" s="851"/>
      <c r="L375" s="851"/>
    </row>
    <row r="376" spans="11:12">
      <c r="K376" s="851"/>
      <c r="L376" s="851"/>
    </row>
    <row r="377" spans="11:12">
      <c r="K377" s="851"/>
      <c r="L377" s="851"/>
    </row>
    <row r="378" spans="11:12">
      <c r="K378" s="851"/>
      <c r="L378" s="851"/>
    </row>
    <row r="379" spans="11:12">
      <c r="K379" s="851"/>
      <c r="L379" s="851"/>
    </row>
    <row r="380" spans="11:12">
      <c r="K380" s="851"/>
      <c r="L380" s="851"/>
    </row>
    <row r="381" spans="11:12">
      <c r="K381" s="851"/>
      <c r="L381" s="851"/>
    </row>
    <row r="382" spans="11:12">
      <c r="K382" s="851"/>
      <c r="L382" s="851"/>
    </row>
    <row r="383" spans="11:12">
      <c r="K383" s="851"/>
      <c r="L383" s="851"/>
    </row>
    <row r="384" spans="11:12">
      <c r="K384" s="851"/>
      <c r="L384" s="851"/>
    </row>
    <row r="385" spans="11:12">
      <c r="K385" s="851"/>
      <c r="L385" s="851"/>
    </row>
    <row r="386" spans="11:12">
      <c r="K386" s="851"/>
      <c r="L386" s="851"/>
    </row>
    <row r="387" spans="11:12">
      <c r="K387" s="851"/>
      <c r="L387" s="851"/>
    </row>
    <row r="388" spans="11:12">
      <c r="K388" s="851"/>
      <c r="L388" s="851"/>
    </row>
    <row r="389" spans="11:12">
      <c r="K389" s="851"/>
      <c r="L389" s="851"/>
    </row>
    <row r="390" spans="11:12">
      <c r="K390" s="851"/>
      <c r="L390" s="851"/>
    </row>
    <row r="391" spans="11:12">
      <c r="K391" s="851"/>
      <c r="L391" s="851"/>
    </row>
    <row r="392" spans="11:12">
      <c r="K392" s="851"/>
      <c r="L392" s="851"/>
    </row>
    <row r="393" spans="11:12">
      <c r="K393" s="851"/>
      <c r="L393" s="851"/>
    </row>
    <row r="394" spans="11:12">
      <c r="K394" s="851"/>
      <c r="L394" s="851"/>
    </row>
    <row r="395" spans="11:12">
      <c r="K395" s="851"/>
      <c r="L395" s="851"/>
    </row>
    <row r="396" spans="11:12">
      <c r="K396" s="851"/>
      <c r="L396" s="851"/>
    </row>
    <row r="397" spans="11:12">
      <c r="K397" s="851"/>
      <c r="L397" s="851"/>
    </row>
    <row r="398" spans="11:12">
      <c r="K398" s="851"/>
      <c r="L398" s="851"/>
    </row>
    <row r="399" spans="11:12">
      <c r="K399" s="851"/>
      <c r="L399" s="851"/>
    </row>
    <row r="400" spans="11:12">
      <c r="K400" s="851"/>
      <c r="L400" s="851"/>
    </row>
    <row r="401" spans="11:12">
      <c r="K401" s="851"/>
      <c r="L401" s="851"/>
    </row>
    <row r="402" spans="11:12">
      <c r="K402" s="851"/>
      <c r="L402" s="851"/>
    </row>
    <row r="403" spans="11:12">
      <c r="K403" s="851"/>
      <c r="L403" s="851"/>
    </row>
    <row r="404" spans="11:12">
      <c r="K404" s="851"/>
      <c r="L404" s="851"/>
    </row>
    <row r="405" spans="11:12">
      <c r="K405" s="851"/>
      <c r="L405" s="851"/>
    </row>
    <row r="406" spans="11:12">
      <c r="K406" s="851"/>
      <c r="L406" s="851"/>
    </row>
    <row r="407" spans="11:12">
      <c r="K407" s="851"/>
      <c r="L407" s="851"/>
    </row>
    <row r="408" spans="11:12">
      <c r="K408" s="851"/>
      <c r="L408" s="851"/>
    </row>
    <row r="409" spans="11:12">
      <c r="K409" s="851"/>
      <c r="L409" s="851"/>
    </row>
    <row r="410" spans="11:12">
      <c r="K410" s="851"/>
      <c r="L410" s="851"/>
    </row>
    <row r="411" spans="11:12">
      <c r="K411" s="851"/>
      <c r="L411" s="851"/>
    </row>
    <row r="412" spans="11:12">
      <c r="K412" s="851"/>
      <c r="L412" s="851"/>
    </row>
    <row r="413" spans="11:12">
      <c r="K413" s="851"/>
      <c r="L413" s="851"/>
    </row>
    <row r="414" spans="11:12">
      <c r="K414" s="851"/>
      <c r="L414" s="851"/>
    </row>
    <row r="415" spans="11:12">
      <c r="K415" s="851"/>
      <c r="L415" s="851"/>
    </row>
    <row r="416" spans="11:12">
      <c r="K416" s="851"/>
      <c r="L416" s="851"/>
    </row>
    <row r="417" spans="11:12">
      <c r="K417" s="851"/>
      <c r="L417" s="851"/>
    </row>
    <row r="418" spans="11:12">
      <c r="K418" s="851"/>
      <c r="L418" s="851"/>
    </row>
    <row r="419" spans="11:12">
      <c r="K419" s="851"/>
      <c r="L419" s="851"/>
    </row>
    <row r="420" spans="11:12">
      <c r="K420" s="851"/>
      <c r="L420" s="851"/>
    </row>
    <row r="421" spans="11:12">
      <c r="K421" s="851"/>
      <c r="L421" s="851"/>
    </row>
    <row r="422" spans="11:12">
      <c r="K422" s="851"/>
      <c r="L422" s="851"/>
    </row>
    <row r="423" spans="11:12">
      <c r="K423" s="851"/>
      <c r="L423" s="851"/>
    </row>
    <row r="424" spans="11:12">
      <c r="K424" s="851"/>
      <c r="L424" s="851"/>
    </row>
    <row r="425" spans="11:12">
      <c r="K425" s="851"/>
      <c r="L425" s="851"/>
    </row>
    <row r="426" spans="11:12">
      <c r="K426" s="851"/>
      <c r="L426" s="851"/>
    </row>
    <row r="427" spans="11:12">
      <c r="K427" s="851"/>
      <c r="L427" s="851"/>
    </row>
    <row r="428" spans="11:12">
      <c r="K428" s="851"/>
      <c r="L428" s="851"/>
    </row>
    <row r="429" spans="11:12">
      <c r="K429" s="851"/>
      <c r="L429" s="851"/>
    </row>
    <row r="430" spans="11:12">
      <c r="K430" s="851"/>
      <c r="L430" s="851"/>
    </row>
    <row r="431" spans="11:12">
      <c r="K431" s="851"/>
      <c r="L431" s="851"/>
    </row>
    <row r="432" spans="11:12">
      <c r="K432" s="851"/>
      <c r="L432" s="851"/>
    </row>
    <row r="433" spans="11:12">
      <c r="K433" s="851"/>
      <c r="L433" s="851"/>
    </row>
    <row r="434" spans="11:12">
      <c r="K434" s="851"/>
      <c r="L434" s="851"/>
    </row>
    <row r="435" spans="11:12">
      <c r="K435" s="851"/>
      <c r="L435" s="851"/>
    </row>
    <row r="436" spans="11:12">
      <c r="K436" s="851"/>
      <c r="L436" s="851"/>
    </row>
    <row r="437" spans="11:12">
      <c r="K437" s="851"/>
      <c r="L437" s="851"/>
    </row>
    <row r="438" spans="11:12">
      <c r="K438" s="851"/>
      <c r="L438" s="851"/>
    </row>
    <row r="439" spans="11:12">
      <c r="K439" s="851"/>
      <c r="L439" s="851"/>
    </row>
    <row r="440" spans="11:12">
      <c r="K440" s="851"/>
      <c r="L440" s="851"/>
    </row>
    <row r="441" spans="11:12">
      <c r="K441" s="851"/>
      <c r="L441" s="851"/>
    </row>
    <row r="442" spans="11:12">
      <c r="K442" s="851"/>
      <c r="L442" s="851"/>
    </row>
    <row r="443" spans="11:12">
      <c r="K443" s="851"/>
      <c r="L443" s="851"/>
    </row>
    <row r="444" spans="11:12">
      <c r="K444" s="851"/>
      <c r="L444" s="851"/>
    </row>
    <row r="445" spans="11:12">
      <c r="K445" s="851"/>
      <c r="L445" s="851"/>
    </row>
    <row r="446" spans="11:12">
      <c r="K446" s="851"/>
      <c r="L446" s="851"/>
    </row>
    <row r="447" spans="11:12">
      <c r="K447" s="851"/>
      <c r="L447" s="851"/>
    </row>
    <row r="448" spans="11:12">
      <c r="K448" s="851"/>
      <c r="L448" s="851"/>
    </row>
    <row r="449" spans="11:12">
      <c r="K449" s="851"/>
      <c r="L449" s="851"/>
    </row>
    <row r="450" spans="11:12">
      <c r="K450" s="851"/>
      <c r="L450" s="851"/>
    </row>
    <row r="451" spans="11:12">
      <c r="K451" s="851"/>
      <c r="L451" s="851"/>
    </row>
    <row r="452" spans="11:12">
      <c r="K452" s="851"/>
      <c r="L452" s="851"/>
    </row>
    <row r="453" spans="11:12">
      <c r="K453" s="851"/>
      <c r="L453" s="851"/>
    </row>
    <row r="454" spans="11:12">
      <c r="K454" s="851"/>
      <c r="L454" s="851"/>
    </row>
    <row r="455" spans="11:12">
      <c r="K455" s="851"/>
      <c r="L455" s="851"/>
    </row>
    <row r="456" spans="11:12">
      <c r="K456" s="851"/>
      <c r="L456" s="851"/>
    </row>
    <row r="457" spans="11:12">
      <c r="K457" s="851"/>
      <c r="L457" s="851"/>
    </row>
    <row r="458" spans="11:12">
      <c r="K458" s="851"/>
      <c r="L458" s="851"/>
    </row>
    <row r="459" spans="11:12">
      <c r="K459" s="851"/>
      <c r="L459" s="851"/>
    </row>
    <row r="460" spans="11:12">
      <c r="K460" s="851"/>
      <c r="L460" s="851"/>
    </row>
    <row r="461" spans="11:12">
      <c r="K461" s="851"/>
      <c r="L461" s="851"/>
    </row>
    <row r="462" spans="11:12">
      <c r="K462" s="851"/>
      <c r="L462" s="851"/>
    </row>
    <row r="463" spans="11:12">
      <c r="K463" s="851"/>
      <c r="L463" s="851"/>
    </row>
    <row r="464" spans="11:12">
      <c r="K464" s="851"/>
      <c r="L464" s="851"/>
    </row>
    <row r="465" spans="11:12">
      <c r="K465" s="851"/>
      <c r="L465" s="851"/>
    </row>
    <row r="466" spans="11:12">
      <c r="K466" s="851"/>
      <c r="L466" s="851"/>
    </row>
    <row r="467" spans="11:12">
      <c r="K467" s="851"/>
      <c r="L467" s="851"/>
    </row>
    <row r="468" spans="11:12">
      <c r="K468" s="851"/>
      <c r="L468" s="851"/>
    </row>
    <row r="469" spans="11:12">
      <c r="K469" s="851"/>
      <c r="L469" s="851"/>
    </row>
    <row r="470" spans="11:12">
      <c r="K470" s="851"/>
      <c r="L470" s="851"/>
    </row>
    <row r="471" spans="11:12">
      <c r="K471" s="851"/>
      <c r="L471" s="851"/>
    </row>
    <row r="472" spans="11:12">
      <c r="K472" s="851"/>
      <c r="L472" s="851"/>
    </row>
    <row r="473" spans="11:12">
      <c r="K473" s="851"/>
      <c r="L473" s="851"/>
    </row>
    <row r="474" spans="11:12">
      <c r="K474" s="851"/>
      <c r="L474" s="851"/>
    </row>
    <row r="475" spans="11:12">
      <c r="K475" s="851"/>
      <c r="L475" s="851"/>
    </row>
    <row r="476" spans="11:12">
      <c r="K476" s="851"/>
      <c r="L476" s="851"/>
    </row>
    <row r="477" spans="11:12">
      <c r="K477" s="851"/>
      <c r="L477" s="851"/>
    </row>
    <row r="478" spans="11:12">
      <c r="K478" s="851"/>
      <c r="L478" s="851"/>
    </row>
    <row r="479" spans="11:12">
      <c r="K479" s="851"/>
      <c r="L479" s="851"/>
    </row>
    <row r="480" spans="11:12">
      <c r="K480" s="851"/>
      <c r="L480" s="851"/>
    </row>
    <row r="481" spans="11:12">
      <c r="K481" s="851"/>
      <c r="L481" s="851"/>
    </row>
    <row r="482" spans="11:12">
      <c r="K482" s="851"/>
      <c r="L482" s="851"/>
    </row>
    <row r="483" spans="11:12">
      <c r="K483" s="851"/>
      <c r="L483" s="851"/>
    </row>
    <row r="484" spans="11:12">
      <c r="K484" s="851"/>
      <c r="L484" s="851"/>
    </row>
    <row r="485" spans="11:12">
      <c r="K485" s="851"/>
      <c r="L485" s="851"/>
    </row>
    <row r="486" spans="11:12">
      <c r="K486" s="851"/>
      <c r="L486" s="851"/>
    </row>
    <row r="487" spans="11:12">
      <c r="K487" s="851"/>
      <c r="L487" s="851"/>
    </row>
    <row r="488" spans="11:12">
      <c r="K488" s="851"/>
      <c r="L488" s="851"/>
    </row>
    <row r="489" spans="11:12">
      <c r="K489" s="851"/>
      <c r="L489" s="851"/>
    </row>
    <row r="490" spans="11:12">
      <c r="K490" s="851"/>
      <c r="L490" s="851"/>
    </row>
    <row r="491" spans="11:12">
      <c r="K491" s="851"/>
      <c r="L491" s="851"/>
    </row>
    <row r="492" spans="11:12">
      <c r="K492" s="851"/>
      <c r="L492" s="851"/>
    </row>
    <row r="493" spans="11:12">
      <c r="K493" s="851"/>
      <c r="L493" s="851"/>
    </row>
    <row r="494" spans="11:12">
      <c r="K494" s="851"/>
      <c r="L494" s="851"/>
    </row>
    <row r="495" spans="11:12">
      <c r="K495" s="851"/>
      <c r="L495" s="851"/>
    </row>
    <row r="496" spans="11:12">
      <c r="K496" s="851"/>
      <c r="L496" s="851"/>
    </row>
    <row r="497" spans="11:12">
      <c r="K497" s="851"/>
      <c r="L497" s="851"/>
    </row>
    <row r="498" spans="11:12">
      <c r="K498" s="851"/>
      <c r="L498" s="851"/>
    </row>
    <row r="499" spans="11:12">
      <c r="K499" s="851"/>
      <c r="L499" s="851"/>
    </row>
    <row r="500" spans="11:12">
      <c r="K500" s="851"/>
      <c r="L500" s="851"/>
    </row>
    <row r="501" spans="11:12">
      <c r="K501" s="851"/>
      <c r="L501" s="851"/>
    </row>
    <row r="502" spans="11:12">
      <c r="K502" s="851"/>
      <c r="L502" s="851"/>
    </row>
    <row r="503" spans="11:12">
      <c r="K503" s="851"/>
      <c r="L503" s="851"/>
    </row>
    <row r="504" spans="11:12">
      <c r="K504" s="851"/>
      <c r="L504" s="851"/>
    </row>
    <row r="505" spans="11:12">
      <c r="K505" s="851"/>
      <c r="L505" s="851"/>
    </row>
    <row r="506" spans="11:12">
      <c r="K506" s="851"/>
      <c r="L506" s="851"/>
    </row>
    <row r="507" spans="11:12">
      <c r="K507" s="851"/>
      <c r="L507" s="851"/>
    </row>
    <row r="508" spans="11:12">
      <c r="K508" s="851"/>
      <c r="L508" s="851"/>
    </row>
    <row r="509" spans="11:12">
      <c r="K509" s="851"/>
      <c r="L509" s="851"/>
    </row>
    <row r="510" spans="11:12">
      <c r="K510" s="851"/>
      <c r="L510" s="851"/>
    </row>
    <row r="511" spans="11:12">
      <c r="K511" s="851"/>
      <c r="L511" s="851"/>
    </row>
    <row r="512" spans="11:12">
      <c r="K512" s="851"/>
      <c r="L512" s="851"/>
    </row>
    <row r="513" spans="11:12">
      <c r="K513" s="851"/>
      <c r="L513" s="851"/>
    </row>
    <row r="514" spans="11:12">
      <c r="K514" s="851"/>
      <c r="L514" s="851"/>
    </row>
    <row r="515" spans="11:12">
      <c r="K515" s="851"/>
      <c r="L515" s="851"/>
    </row>
    <row r="516" spans="11:12">
      <c r="K516" s="851"/>
      <c r="L516" s="851"/>
    </row>
    <row r="517" spans="11:12">
      <c r="K517" s="851"/>
      <c r="L517" s="851"/>
    </row>
    <row r="518" spans="11:12">
      <c r="K518" s="851"/>
      <c r="L518" s="851"/>
    </row>
    <row r="519" spans="11:12">
      <c r="K519" s="851"/>
      <c r="L519" s="851"/>
    </row>
    <row r="520" spans="11:12">
      <c r="K520" s="851"/>
      <c r="L520" s="851"/>
    </row>
    <row r="521" spans="11:12">
      <c r="K521" s="851"/>
      <c r="L521" s="851"/>
    </row>
    <row r="522" spans="11:12">
      <c r="K522" s="851"/>
      <c r="L522" s="851"/>
    </row>
    <row r="523" spans="11:12">
      <c r="K523" s="851"/>
      <c r="L523" s="851"/>
    </row>
    <row r="524" spans="11:12">
      <c r="K524" s="851"/>
      <c r="L524" s="851"/>
    </row>
    <row r="525" spans="11:12">
      <c r="K525" s="851"/>
      <c r="L525" s="851"/>
    </row>
    <row r="526" spans="11:12">
      <c r="K526" s="851"/>
      <c r="L526" s="851"/>
    </row>
    <row r="527" spans="11:12">
      <c r="K527" s="851"/>
      <c r="L527" s="851"/>
    </row>
    <row r="528" spans="11:12">
      <c r="K528" s="851"/>
      <c r="L528" s="851"/>
    </row>
    <row r="529" spans="11:12">
      <c r="K529" s="851"/>
      <c r="L529" s="851"/>
    </row>
    <row r="530" spans="11:12">
      <c r="K530" s="851"/>
      <c r="L530" s="851"/>
    </row>
    <row r="531" spans="11:12">
      <c r="K531" s="851"/>
      <c r="L531" s="851"/>
    </row>
    <row r="532" spans="11:12">
      <c r="K532" s="851"/>
      <c r="L532" s="851"/>
    </row>
    <row r="533" spans="11:12">
      <c r="K533" s="851"/>
      <c r="L533" s="851"/>
    </row>
    <row r="534" spans="11:12">
      <c r="K534" s="851"/>
      <c r="L534" s="851"/>
    </row>
    <row r="535" spans="11:12">
      <c r="K535" s="851"/>
      <c r="L535" s="851"/>
    </row>
    <row r="536" spans="11:12">
      <c r="K536" s="851"/>
      <c r="L536" s="851"/>
    </row>
    <row r="537" spans="11:12">
      <c r="K537" s="851"/>
      <c r="L537" s="851"/>
    </row>
    <row r="538" spans="11:12">
      <c r="K538" s="851"/>
      <c r="L538" s="851"/>
    </row>
    <row r="539" spans="11:12">
      <c r="K539" s="851"/>
      <c r="L539" s="851"/>
    </row>
    <row r="540" spans="11:12">
      <c r="K540" s="851"/>
      <c r="L540" s="851"/>
    </row>
    <row r="541" spans="11:12">
      <c r="K541" s="851"/>
      <c r="L541" s="851"/>
    </row>
    <row r="542" spans="11:12">
      <c r="K542" s="851"/>
      <c r="L542" s="851"/>
    </row>
    <row r="543" spans="11:12">
      <c r="K543" s="851"/>
      <c r="L543" s="851"/>
    </row>
    <row r="544" spans="11:12">
      <c r="K544" s="851"/>
      <c r="L544" s="851"/>
    </row>
    <row r="545" spans="11:12">
      <c r="K545" s="851"/>
      <c r="L545" s="851"/>
    </row>
    <row r="546" spans="11:12">
      <c r="K546" s="851"/>
      <c r="L546" s="851"/>
    </row>
    <row r="547" spans="11:12">
      <c r="K547" s="851"/>
      <c r="L547" s="851"/>
    </row>
    <row r="548" spans="11:12">
      <c r="K548" s="851"/>
      <c r="L548" s="851"/>
    </row>
    <row r="549" spans="11:12">
      <c r="K549" s="851"/>
      <c r="L549" s="851"/>
    </row>
    <row r="550" spans="11:12">
      <c r="K550" s="851"/>
      <c r="L550" s="851"/>
    </row>
    <row r="551" spans="11:12">
      <c r="K551" s="851"/>
      <c r="L551" s="851"/>
    </row>
    <row r="552" spans="11:12">
      <c r="K552" s="851"/>
      <c r="L552" s="851"/>
    </row>
    <row r="553" spans="11:12">
      <c r="K553" s="851"/>
      <c r="L553" s="851"/>
    </row>
    <row r="554" spans="11:12">
      <c r="K554" s="851"/>
      <c r="L554" s="851"/>
    </row>
    <row r="555" spans="11:12">
      <c r="K555" s="851"/>
      <c r="L555" s="851"/>
    </row>
    <row r="556" spans="11:12">
      <c r="K556" s="851"/>
      <c r="L556" s="851"/>
    </row>
    <row r="557" spans="11:12">
      <c r="K557" s="851"/>
      <c r="L557" s="851"/>
    </row>
    <row r="558" spans="11:12">
      <c r="K558" s="851"/>
      <c r="L558" s="851"/>
    </row>
    <row r="559" spans="11:12">
      <c r="K559" s="851"/>
      <c r="L559" s="851"/>
    </row>
    <row r="560" spans="11:12">
      <c r="K560" s="851"/>
      <c r="L560" s="851"/>
    </row>
    <row r="561" spans="11:12">
      <c r="K561" s="851"/>
      <c r="L561" s="851"/>
    </row>
    <row r="562" spans="11:12">
      <c r="K562" s="851"/>
      <c r="L562" s="851"/>
    </row>
    <row r="563" spans="11:12">
      <c r="K563" s="851"/>
      <c r="L563" s="851"/>
    </row>
    <row r="564" spans="11:12">
      <c r="K564" s="851"/>
      <c r="L564" s="851"/>
    </row>
    <row r="565" spans="11:12">
      <c r="K565" s="851"/>
      <c r="L565" s="851"/>
    </row>
    <row r="566" spans="11:12">
      <c r="K566" s="851"/>
      <c r="L566" s="851"/>
    </row>
    <row r="567" spans="11:12">
      <c r="K567" s="851"/>
      <c r="L567" s="851"/>
    </row>
    <row r="568" spans="11:12">
      <c r="K568" s="851"/>
      <c r="L568" s="851"/>
    </row>
    <row r="569" spans="11:12">
      <c r="K569" s="851"/>
      <c r="L569" s="851"/>
    </row>
    <row r="570" spans="11:12">
      <c r="K570" s="851"/>
      <c r="L570" s="851"/>
    </row>
    <row r="571" spans="11:12">
      <c r="K571" s="851"/>
      <c r="L571" s="851"/>
    </row>
    <row r="572" spans="11:12">
      <c r="K572" s="851"/>
      <c r="L572" s="851"/>
    </row>
    <row r="573" spans="11:12">
      <c r="K573" s="851"/>
      <c r="L573" s="851"/>
    </row>
    <row r="574" spans="11:12">
      <c r="K574" s="851"/>
      <c r="L574" s="851"/>
    </row>
    <row r="575" spans="11:12">
      <c r="K575" s="851"/>
      <c r="L575" s="851"/>
    </row>
    <row r="576" spans="11:12">
      <c r="K576" s="851"/>
      <c r="L576" s="851"/>
    </row>
    <row r="577" spans="11:12">
      <c r="K577" s="851"/>
      <c r="L577" s="851"/>
    </row>
    <row r="578" spans="11:12">
      <c r="K578" s="851"/>
      <c r="L578" s="851"/>
    </row>
    <row r="579" spans="11:12">
      <c r="K579" s="851"/>
      <c r="L579" s="851"/>
    </row>
    <row r="580" spans="11:12">
      <c r="K580" s="851"/>
      <c r="L580" s="851"/>
    </row>
    <row r="581" spans="11:12">
      <c r="K581" s="851"/>
      <c r="L581" s="851"/>
    </row>
    <row r="582" spans="11:12">
      <c r="K582" s="851"/>
      <c r="L582" s="851"/>
    </row>
    <row r="583" spans="11:12">
      <c r="K583" s="851"/>
      <c r="L583" s="851"/>
    </row>
    <row r="584" spans="11:12">
      <c r="K584" s="851"/>
      <c r="L584" s="851"/>
    </row>
    <row r="585" spans="11:12">
      <c r="K585" s="851"/>
      <c r="L585" s="851"/>
    </row>
    <row r="586" spans="11:12">
      <c r="K586" s="851"/>
      <c r="L586" s="851"/>
    </row>
    <row r="587" spans="11:12">
      <c r="K587" s="851"/>
      <c r="L587" s="851"/>
    </row>
    <row r="588" spans="11:12">
      <c r="K588" s="851"/>
      <c r="L588" s="851"/>
    </row>
    <row r="589" spans="11:12">
      <c r="K589" s="851"/>
      <c r="L589" s="851"/>
    </row>
    <row r="590" spans="11:12">
      <c r="K590" s="851"/>
      <c r="L590" s="851"/>
    </row>
    <row r="591" spans="11:12">
      <c r="K591" s="851"/>
      <c r="L591" s="851"/>
    </row>
    <row r="592" spans="11:12">
      <c r="K592" s="851"/>
      <c r="L592" s="851"/>
    </row>
    <row r="593" spans="11:12">
      <c r="K593" s="851"/>
      <c r="L593" s="851"/>
    </row>
    <row r="594" spans="11:12">
      <c r="K594" s="851"/>
      <c r="L594" s="851"/>
    </row>
    <row r="595" spans="11:12">
      <c r="K595" s="851"/>
      <c r="L595" s="851"/>
    </row>
    <row r="596" spans="11:12">
      <c r="K596" s="851"/>
      <c r="L596" s="851"/>
    </row>
    <row r="597" spans="11:12">
      <c r="K597" s="851"/>
      <c r="L597" s="851"/>
    </row>
    <row r="598" spans="11:12">
      <c r="K598" s="851"/>
      <c r="L598" s="851"/>
    </row>
    <row r="599" spans="11:12">
      <c r="K599" s="851"/>
      <c r="L599" s="851"/>
    </row>
    <row r="600" spans="11:12">
      <c r="K600" s="851"/>
      <c r="L600" s="851"/>
    </row>
    <row r="601" spans="11:12">
      <c r="K601" s="851"/>
      <c r="L601" s="851"/>
    </row>
    <row r="602" spans="11:12">
      <c r="K602" s="851"/>
      <c r="L602" s="851"/>
    </row>
    <row r="603" spans="11:12">
      <c r="K603" s="851"/>
      <c r="L603" s="851"/>
    </row>
    <row r="604" spans="11:12">
      <c r="K604" s="851"/>
      <c r="L604" s="851"/>
    </row>
    <row r="605" spans="11:12">
      <c r="K605" s="851"/>
      <c r="L605" s="851"/>
    </row>
    <row r="606" spans="11:12">
      <c r="K606" s="851"/>
      <c r="L606" s="851"/>
    </row>
    <row r="607" spans="11:12">
      <c r="K607" s="851"/>
      <c r="L607" s="851"/>
    </row>
    <row r="608" spans="11:12">
      <c r="K608" s="851"/>
      <c r="L608" s="851"/>
    </row>
    <row r="609" spans="11:12">
      <c r="K609" s="851"/>
      <c r="L609" s="851"/>
    </row>
    <row r="610" spans="11:12">
      <c r="K610" s="851"/>
      <c r="L610" s="851"/>
    </row>
    <row r="611" spans="11:12">
      <c r="K611" s="851"/>
      <c r="L611" s="851"/>
    </row>
    <row r="612" spans="11:12">
      <c r="K612" s="851"/>
      <c r="L612" s="851"/>
    </row>
    <row r="613" spans="11:12">
      <c r="K613" s="851"/>
      <c r="L613" s="851"/>
    </row>
    <row r="614" spans="11:12">
      <c r="K614" s="851"/>
      <c r="L614" s="851"/>
    </row>
    <row r="615" spans="11:12">
      <c r="K615" s="851"/>
      <c r="L615" s="851"/>
    </row>
    <row r="616" spans="11:12">
      <c r="K616" s="851"/>
      <c r="L616" s="851"/>
    </row>
    <row r="617" spans="11:12">
      <c r="K617" s="851"/>
      <c r="L617" s="851"/>
    </row>
    <row r="618" spans="11:12">
      <c r="K618" s="851"/>
      <c r="L618" s="851"/>
    </row>
    <row r="619" spans="11:12">
      <c r="K619" s="851"/>
      <c r="L619" s="851"/>
    </row>
    <row r="620" spans="11:12">
      <c r="K620" s="851"/>
      <c r="L620" s="851"/>
    </row>
    <row r="621" spans="11:12">
      <c r="K621" s="851"/>
      <c r="L621" s="851"/>
    </row>
    <row r="622" spans="11:12">
      <c r="K622" s="851"/>
      <c r="L622" s="851"/>
    </row>
    <row r="623" spans="11:12">
      <c r="K623" s="851"/>
      <c r="L623" s="851"/>
    </row>
    <row r="624" spans="11:12">
      <c r="K624" s="851"/>
      <c r="L624" s="851"/>
    </row>
    <row r="625" spans="11:12">
      <c r="K625" s="851"/>
      <c r="L625" s="851"/>
    </row>
    <row r="626" spans="11:12">
      <c r="K626" s="851"/>
      <c r="L626" s="851"/>
    </row>
    <row r="627" spans="11:12">
      <c r="K627" s="851"/>
      <c r="L627" s="851"/>
    </row>
    <row r="628" spans="11:12">
      <c r="K628" s="851"/>
      <c r="L628" s="851"/>
    </row>
    <row r="629" spans="11:12">
      <c r="K629" s="851"/>
      <c r="L629" s="851"/>
    </row>
    <row r="630" spans="11:12">
      <c r="K630" s="851"/>
      <c r="L630" s="851"/>
    </row>
    <row r="631" spans="11:12">
      <c r="K631" s="851"/>
      <c r="L631" s="851"/>
    </row>
    <row r="632" spans="11:12">
      <c r="K632" s="851"/>
      <c r="L632" s="851"/>
    </row>
    <row r="633" spans="11:12">
      <c r="K633" s="851"/>
      <c r="L633" s="851"/>
    </row>
    <row r="634" spans="11:12">
      <c r="K634" s="851"/>
      <c r="L634" s="851"/>
    </row>
    <row r="635" spans="11:12">
      <c r="K635" s="851"/>
      <c r="L635" s="851"/>
    </row>
    <row r="636" spans="11:12">
      <c r="K636" s="851"/>
      <c r="L636" s="851"/>
    </row>
    <row r="637" spans="11:12">
      <c r="K637" s="851"/>
      <c r="L637" s="851"/>
    </row>
    <row r="638" spans="11:12">
      <c r="K638" s="851"/>
      <c r="L638" s="851"/>
    </row>
    <row r="639" spans="11:12">
      <c r="K639" s="851"/>
      <c r="L639" s="851"/>
    </row>
    <row r="640" spans="11:12">
      <c r="K640" s="851"/>
      <c r="L640" s="851"/>
    </row>
    <row r="641" spans="11:12">
      <c r="K641" s="851"/>
      <c r="L641" s="851"/>
    </row>
    <row r="642" spans="11:12">
      <c r="K642" s="851"/>
      <c r="L642" s="851"/>
    </row>
    <row r="643" spans="11:12">
      <c r="K643" s="851"/>
      <c r="L643" s="851"/>
    </row>
    <row r="644" spans="11:12">
      <c r="K644" s="851"/>
      <c r="L644" s="851"/>
    </row>
    <row r="645" spans="11:12">
      <c r="K645" s="851"/>
      <c r="L645" s="851"/>
    </row>
    <row r="646" spans="11:12">
      <c r="K646" s="851"/>
      <c r="L646" s="851"/>
    </row>
    <row r="647" spans="11:12">
      <c r="K647" s="851"/>
      <c r="L647" s="851"/>
    </row>
    <row r="648" spans="11:12">
      <c r="K648" s="851"/>
      <c r="L648" s="851"/>
    </row>
    <row r="649" spans="11:12">
      <c r="K649" s="851"/>
      <c r="L649" s="851"/>
    </row>
    <row r="650" spans="11:12">
      <c r="K650" s="851"/>
      <c r="L650" s="851"/>
    </row>
    <row r="651" spans="11:12">
      <c r="K651" s="851"/>
      <c r="L651" s="851"/>
    </row>
    <row r="652" spans="11:12">
      <c r="K652" s="851"/>
      <c r="L652" s="851"/>
    </row>
    <row r="653" spans="11:12">
      <c r="K653" s="851"/>
      <c r="L653" s="851"/>
    </row>
    <row r="654" spans="11:12">
      <c r="K654" s="851"/>
      <c r="L654" s="851"/>
    </row>
    <row r="655" spans="11:12">
      <c r="K655" s="851"/>
      <c r="L655" s="851"/>
    </row>
    <row r="656" spans="11:12">
      <c r="K656" s="851"/>
      <c r="L656" s="851"/>
    </row>
    <row r="657" spans="11:12">
      <c r="K657" s="851"/>
      <c r="L657" s="851"/>
    </row>
    <row r="658" spans="11:12">
      <c r="K658" s="851"/>
      <c r="L658" s="851"/>
    </row>
    <row r="659" spans="11:12">
      <c r="K659" s="851"/>
      <c r="L659" s="851"/>
    </row>
    <row r="660" spans="11:12">
      <c r="K660" s="851"/>
      <c r="L660" s="851"/>
    </row>
    <row r="661" spans="11:12">
      <c r="K661" s="851"/>
      <c r="L661" s="851"/>
    </row>
    <row r="662" spans="11:12">
      <c r="K662" s="851"/>
      <c r="L662" s="851"/>
    </row>
    <row r="663" spans="11:12">
      <c r="K663" s="851"/>
      <c r="L663" s="851"/>
    </row>
    <row r="664" spans="11:12">
      <c r="K664" s="851"/>
      <c r="L664" s="851"/>
    </row>
    <row r="665" spans="11:12">
      <c r="K665" s="851"/>
      <c r="L665" s="851"/>
    </row>
    <row r="666" spans="11:12">
      <c r="K666" s="851"/>
      <c r="L666" s="851"/>
    </row>
    <row r="667" spans="11:12">
      <c r="K667" s="851"/>
      <c r="L667" s="851"/>
    </row>
    <row r="668" spans="11:12">
      <c r="K668" s="851"/>
      <c r="L668" s="851"/>
    </row>
    <row r="669" spans="11:12">
      <c r="K669" s="851"/>
      <c r="L669" s="851"/>
    </row>
    <row r="670" spans="11:12">
      <c r="K670" s="851"/>
      <c r="L670" s="851"/>
    </row>
    <row r="671" spans="11:12">
      <c r="K671" s="851"/>
      <c r="L671" s="851"/>
    </row>
    <row r="672" spans="11:12">
      <c r="K672" s="851"/>
      <c r="L672" s="851"/>
    </row>
    <row r="673" spans="11:12">
      <c r="K673" s="851"/>
      <c r="L673" s="851"/>
    </row>
    <row r="674" spans="11:12">
      <c r="K674" s="851"/>
      <c r="L674" s="851"/>
    </row>
    <row r="675" spans="11:12">
      <c r="K675" s="851"/>
      <c r="L675" s="851"/>
    </row>
    <row r="676" spans="11:12">
      <c r="K676" s="851"/>
      <c r="L676" s="851"/>
    </row>
    <row r="677" spans="11:12">
      <c r="K677" s="851"/>
      <c r="L677" s="851"/>
    </row>
    <row r="678" spans="11:12">
      <c r="K678" s="851"/>
      <c r="L678" s="851"/>
    </row>
    <row r="679" spans="11:12">
      <c r="K679" s="851"/>
      <c r="L679" s="851"/>
    </row>
    <row r="680" spans="11:12">
      <c r="K680" s="851"/>
      <c r="L680" s="851"/>
    </row>
    <row r="681" spans="11:12">
      <c r="K681" s="851"/>
      <c r="L681" s="851"/>
    </row>
    <row r="682" spans="11:12">
      <c r="K682" s="851"/>
      <c r="L682" s="851"/>
    </row>
    <row r="683" spans="11:12">
      <c r="K683" s="851"/>
      <c r="L683" s="851"/>
    </row>
    <row r="684" spans="11:12">
      <c r="K684" s="851"/>
      <c r="L684" s="851"/>
    </row>
    <row r="685" spans="11:12">
      <c r="K685" s="851"/>
      <c r="L685" s="851"/>
    </row>
    <row r="686" spans="11:12">
      <c r="K686" s="851"/>
      <c r="L686" s="851"/>
    </row>
    <row r="687" spans="11:12">
      <c r="K687" s="851"/>
      <c r="L687" s="851"/>
    </row>
    <row r="688" spans="11:12">
      <c r="K688" s="851"/>
      <c r="L688" s="851"/>
    </row>
    <row r="689" spans="11:12">
      <c r="K689" s="851"/>
      <c r="L689" s="851"/>
    </row>
    <row r="690" spans="11:12">
      <c r="K690" s="851"/>
      <c r="L690" s="851"/>
    </row>
    <row r="691" spans="11:12">
      <c r="K691" s="851"/>
      <c r="L691" s="851"/>
    </row>
    <row r="692" spans="11:12">
      <c r="K692" s="851"/>
      <c r="L692" s="851"/>
    </row>
    <row r="693" spans="11:12">
      <c r="K693" s="851"/>
      <c r="L693" s="851"/>
    </row>
    <row r="694" spans="11:12">
      <c r="K694" s="851"/>
      <c r="L694" s="851"/>
    </row>
    <row r="695" spans="11:12">
      <c r="K695" s="851"/>
      <c r="L695" s="851"/>
    </row>
    <row r="696" spans="11:12">
      <c r="K696" s="851"/>
      <c r="L696" s="851"/>
    </row>
    <row r="697" spans="11:12">
      <c r="K697" s="851"/>
      <c r="L697" s="851"/>
    </row>
    <row r="698" spans="11:12">
      <c r="K698" s="851"/>
      <c r="L698" s="851"/>
    </row>
    <row r="699" spans="11:12">
      <c r="K699" s="851"/>
      <c r="L699" s="851"/>
    </row>
    <row r="700" spans="11:12">
      <c r="K700" s="851"/>
      <c r="L700" s="851"/>
    </row>
    <row r="701" spans="11:12">
      <c r="K701" s="851"/>
      <c r="L701" s="851"/>
    </row>
    <row r="702" spans="11:12">
      <c r="K702" s="851"/>
      <c r="L702" s="851"/>
    </row>
    <row r="703" spans="11:12">
      <c r="K703" s="851"/>
      <c r="L703" s="851"/>
    </row>
    <row r="704" spans="11:12">
      <c r="K704" s="851"/>
      <c r="L704" s="851"/>
    </row>
    <row r="705" spans="11:12">
      <c r="K705" s="851"/>
      <c r="L705" s="851"/>
    </row>
    <row r="706" spans="11:12">
      <c r="K706" s="851"/>
      <c r="L706" s="851"/>
    </row>
    <row r="707" spans="11:12">
      <c r="K707" s="851"/>
      <c r="L707" s="851"/>
    </row>
    <row r="708" spans="11:12">
      <c r="K708" s="851"/>
      <c r="L708" s="851"/>
    </row>
    <row r="709" spans="11:12">
      <c r="K709" s="851"/>
      <c r="L709" s="851"/>
    </row>
    <row r="710" spans="11:12">
      <c r="K710" s="851"/>
      <c r="L710" s="851"/>
    </row>
    <row r="711" spans="11:12">
      <c r="K711" s="851"/>
      <c r="L711" s="851"/>
    </row>
    <row r="712" spans="11:12">
      <c r="K712" s="851"/>
      <c r="L712" s="851"/>
    </row>
    <row r="713" spans="11:12">
      <c r="K713" s="851"/>
      <c r="L713" s="851"/>
    </row>
    <row r="714" spans="11:12">
      <c r="K714" s="851"/>
      <c r="L714" s="851"/>
    </row>
    <row r="715" spans="11:12">
      <c r="K715" s="851"/>
      <c r="L715" s="851"/>
    </row>
    <row r="716" spans="11:12">
      <c r="K716" s="851"/>
      <c r="L716" s="851"/>
    </row>
    <row r="717" spans="11:12">
      <c r="K717" s="851"/>
      <c r="L717" s="851"/>
    </row>
    <row r="718" spans="11:12">
      <c r="K718" s="851"/>
      <c r="L718" s="851"/>
    </row>
    <row r="719" spans="11:12">
      <c r="K719" s="851"/>
      <c r="L719" s="851"/>
    </row>
    <row r="720" spans="11:12">
      <c r="K720" s="851"/>
      <c r="L720" s="851"/>
    </row>
    <row r="721" spans="11:12">
      <c r="K721" s="851"/>
      <c r="L721" s="851"/>
    </row>
    <row r="722" spans="11:12">
      <c r="K722" s="851"/>
      <c r="L722" s="851"/>
    </row>
    <row r="723" spans="11:12">
      <c r="K723" s="851"/>
      <c r="L723" s="851"/>
    </row>
    <row r="724" spans="11:12">
      <c r="K724" s="851"/>
      <c r="L724" s="851"/>
    </row>
    <row r="725" spans="11:12">
      <c r="K725" s="851"/>
      <c r="L725" s="851"/>
    </row>
    <row r="726" spans="11:12">
      <c r="K726" s="851"/>
      <c r="L726" s="851"/>
    </row>
    <row r="727" spans="11:12">
      <c r="K727" s="851"/>
      <c r="L727" s="851"/>
    </row>
    <row r="728" spans="11:12">
      <c r="K728" s="851"/>
      <c r="L728" s="851"/>
    </row>
    <row r="729" spans="11:12">
      <c r="K729" s="851"/>
      <c r="L729" s="851"/>
    </row>
    <row r="730" spans="11:12">
      <c r="K730" s="851"/>
      <c r="L730" s="851"/>
    </row>
    <row r="731" spans="11:12">
      <c r="K731" s="851"/>
      <c r="L731" s="851"/>
    </row>
    <row r="732" spans="11:12">
      <c r="K732" s="851"/>
      <c r="L732" s="851"/>
    </row>
    <row r="733" spans="11:12">
      <c r="K733" s="851"/>
      <c r="L733" s="851"/>
    </row>
    <row r="734" spans="11:12">
      <c r="K734" s="851"/>
      <c r="L734" s="851"/>
    </row>
    <row r="735" spans="11:12">
      <c r="K735" s="851"/>
      <c r="L735" s="851"/>
    </row>
    <row r="736" spans="11:12">
      <c r="K736" s="851"/>
      <c r="L736" s="851"/>
    </row>
    <row r="737" spans="11:12">
      <c r="K737" s="851"/>
      <c r="L737" s="851"/>
    </row>
    <row r="738" spans="11:12">
      <c r="K738" s="851"/>
      <c r="L738" s="851"/>
    </row>
    <row r="739" spans="11:12">
      <c r="K739" s="851"/>
      <c r="L739" s="851"/>
    </row>
    <row r="740" spans="11:12">
      <c r="K740" s="851"/>
      <c r="L740" s="851"/>
    </row>
    <row r="741" spans="11:12">
      <c r="K741" s="851"/>
      <c r="L741" s="851"/>
    </row>
    <row r="742" spans="11:12">
      <c r="K742" s="851"/>
      <c r="L742" s="851"/>
    </row>
    <row r="743" spans="11:12">
      <c r="K743" s="851"/>
      <c r="L743" s="851"/>
    </row>
    <row r="744" spans="11:12">
      <c r="K744" s="851"/>
      <c r="L744" s="851"/>
    </row>
    <row r="745" spans="11:12">
      <c r="K745" s="851"/>
      <c r="L745" s="851"/>
    </row>
    <row r="746" spans="11:12">
      <c r="K746" s="851"/>
      <c r="L746" s="851"/>
    </row>
    <row r="747" spans="11:12">
      <c r="K747" s="851"/>
      <c r="L747" s="851"/>
    </row>
    <row r="748" spans="11:12">
      <c r="K748" s="851"/>
      <c r="L748" s="851"/>
    </row>
    <row r="749" spans="11:12">
      <c r="K749" s="851"/>
      <c r="L749" s="851"/>
    </row>
    <row r="750" spans="11:12">
      <c r="K750" s="851"/>
      <c r="L750" s="851"/>
    </row>
    <row r="751" spans="11:12">
      <c r="K751" s="851"/>
      <c r="L751" s="851"/>
    </row>
    <row r="752" spans="11:12">
      <c r="K752" s="851"/>
      <c r="L752" s="851"/>
    </row>
    <row r="753" spans="11:12">
      <c r="K753" s="851"/>
      <c r="L753" s="851"/>
    </row>
    <row r="754" spans="11:12">
      <c r="K754" s="851"/>
      <c r="L754" s="851"/>
    </row>
    <row r="755" spans="11:12">
      <c r="K755" s="851"/>
      <c r="L755" s="851"/>
    </row>
    <row r="756" spans="11:12">
      <c r="K756" s="851"/>
      <c r="L756" s="851"/>
    </row>
    <row r="757" spans="11:12">
      <c r="K757" s="851"/>
      <c r="L757" s="851"/>
    </row>
    <row r="758" spans="11:12">
      <c r="K758" s="851"/>
      <c r="L758" s="851"/>
    </row>
    <row r="759" spans="11:12">
      <c r="K759" s="851"/>
      <c r="L759" s="851"/>
    </row>
    <row r="760" spans="11:12">
      <c r="K760" s="851"/>
      <c r="L760" s="851"/>
    </row>
    <row r="761" spans="11:12">
      <c r="K761" s="851"/>
      <c r="L761" s="851"/>
    </row>
    <row r="762" spans="11:12">
      <c r="K762" s="851"/>
      <c r="L762" s="851"/>
    </row>
    <row r="763" spans="11:12">
      <c r="K763" s="851"/>
      <c r="L763" s="851"/>
    </row>
    <row r="764" spans="11:12">
      <c r="K764" s="851"/>
      <c r="L764" s="851"/>
    </row>
    <row r="765" spans="11:12">
      <c r="K765" s="851"/>
      <c r="L765" s="851"/>
    </row>
    <row r="766" spans="11:12">
      <c r="K766" s="851"/>
      <c r="L766" s="851"/>
    </row>
    <row r="767" spans="11:12">
      <c r="K767" s="851"/>
      <c r="L767" s="851"/>
    </row>
    <row r="768" spans="11:12">
      <c r="K768" s="851"/>
      <c r="L768" s="851"/>
    </row>
    <row r="769" spans="11:12">
      <c r="K769" s="851"/>
      <c r="L769" s="851"/>
    </row>
    <row r="770" spans="11:12">
      <c r="K770" s="851"/>
      <c r="L770" s="851"/>
    </row>
    <row r="771" spans="11:12">
      <c r="K771" s="851"/>
      <c r="L771" s="851"/>
    </row>
    <row r="772" spans="11:12">
      <c r="K772" s="851"/>
      <c r="L772" s="851"/>
    </row>
    <row r="773" spans="11:12">
      <c r="K773" s="851"/>
      <c r="L773" s="851"/>
    </row>
    <row r="774" spans="11:12">
      <c r="K774" s="851"/>
      <c r="L774" s="851"/>
    </row>
    <row r="775" spans="11:12">
      <c r="K775" s="851"/>
      <c r="L775" s="851"/>
    </row>
    <row r="776" spans="11:12">
      <c r="K776" s="851"/>
      <c r="L776" s="851"/>
    </row>
    <row r="777" spans="11:12">
      <c r="K777" s="851"/>
      <c r="L777" s="851"/>
    </row>
    <row r="778" spans="11:12">
      <c r="K778" s="851"/>
      <c r="L778" s="851"/>
    </row>
    <row r="779" spans="11:12">
      <c r="K779" s="851"/>
      <c r="L779" s="851"/>
    </row>
    <row r="780" spans="11:12">
      <c r="K780" s="851"/>
      <c r="L780" s="851"/>
    </row>
    <row r="781" spans="11:12">
      <c r="K781" s="851"/>
      <c r="L781" s="851"/>
    </row>
    <row r="782" spans="11:12">
      <c r="K782" s="851"/>
      <c r="L782" s="851"/>
    </row>
    <row r="783" spans="11:12">
      <c r="K783" s="851"/>
      <c r="L783" s="851"/>
    </row>
    <row r="784" spans="11:12">
      <c r="K784" s="851"/>
      <c r="L784" s="851"/>
    </row>
    <row r="785" spans="11:12">
      <c r="K785" s="851"/>
      <c r="L785" s="851"/>
    </row>
    <row r="786" spans="11:12">
      <c r="K786" s="851"/>
      <c r="L786" s="851"/>
    </row>
    <row r="787" spans="11:12">
      <c r="K787" s="851"/>
      <c r="L787" s="851"/>
    </row>
    <row r="788" spans="11:12">
      <c r="K788" s="851"/>
      <c r="L788" s="851"/>
    </row>
    <row r="789" spans="11:12">
      <c r="K789" s="851"/>
      <c r="L789" s="851"/>
    </row>
    <row r="790" spans="11:12">
      <c r="K790" s="851"/>
      <c r="L790" s="851"/>
    </row>
    <row r="791" spans="11:12">
      <c r="K791" s="851"/>
      <c r="L791" s="851"/>
    </row>
    <row r="792" spans="11:12">
      <c r="K792" s="851"/>
      <c r="L792" s="851"/>
    </row>
    <row r="793" spans="11:12">
      <c r="K793" s="851"/>
      <c r="L793" s="851"/>
    </row>
    <row r="794" spans="11:12">
      <c r="K794" s="851"/>
      <c r="L794" s="851"/>
    </row>
    <row r="795" spans="11:12">
      <c r="K795" s="851"/>
      <c r="L795" s="851"/>
    </row>
    <row r="796" spans="11:12">
      <c r="K796" s="851"/>
      <c r="L796" s="851"/>
    </row>
    <row r="797" spans="11:12">
      <c r="K797" s="851"/>
      <c r="L797" s="851"/>
    </row>
    <row r="798" spans="11:12">
      <c r="K798" s="851"/>
      <c r="L798" s="851"/>
    </row>
    <row r="799" spans="11:12">
      <c r="K799" s="851"/>
      <c r="L799" s="851"/>
    </row>
    <row r="800" spans="11:12">
      <c r="K800" s="851"/>
      <c r="L800" s="851"/>
    </row>
    <row r="801" spans="11:12">
      <c r="K801" s="851"/>
      <c r="L801" s="851"/>
    </row>
    <row r="802" spans="11:12">
      <c r="K802" s="851"/>
      <c r="L802" s="851"/>
    </row>
    <row r="803" spans="11:12">
      <c r="K803" s="851"/>
      <c r="L803" s="851"/>
    </row>
    <row r="804" spans="11:12">
      <c r="K804" s="851"/>
      <c r="L804" s="851"/>
    </row>
    <row r="805" spans="11:12">
      <c r="K805" s="851"/>
      <c r="L805" s="851"/>
    </row>
    <row r="806" spans="11:12">
      <c r="K806" s="851"/>
      <c r="L806" s="851"/>
    </row>
    <row r="807" spans="11:12">
      <c r="K807" s="851"/>
      <c r="L807" s="851"/>
    </row>
    <row r="808" spans="11:12">
      <c r="K808" s="851"/>
      <c r="L808" s="851"/>
    </row>
    <row r="809" spans="11:12">
      <c r="K809" s="851"/>
      <c r="L809" s="851"/>
    </row>
    <row r="810" spans="11:12">
      <c r="K810" s="851"/>
      <c r="L810" s="851"/>
    </row>
    <row r="811" spans="11:12">
      <c r="K811" s="851"/>
      <c r="L811" s="851"/>
    </row>
    <row r="812" spans="11:12">
      <c r="K812" s="851"/>
      <c r="L812" s="851"/>
    </row>
    <row r="813" spans="11:12">
      <c r="K813" s="851"/>
      <c r="L813" s="851"/>
    </row>
    <row r="814" spans="11:12">
      <c r="K814" s="851"/>
      <c r="L814" s="851"/>
    </row>
    <row r="815" spans="11:12">
      <c r="K815" s="851"/>
      <c r="L815" s="851"/>
    </row>
    <row r="816" spans="11:12">
      <c r="K816" s="851"/>
      <c r="L816" s="851"/>
    </row>
    <row r="817" spans="11:12">
      <c r="K817" s="851"/>
      <c r="L817" s="851"/>
    </row>
    <row r="818" spans="11:12">
      <c r="K818" s="851"/>
      <c r="L818" s="851"/>
    </row>
    <row r="819" spans="11:12">
      <c r="K819" s="851"/>
      <c r="L819" s="851"/>
    </row>
    <row r="820" spans="11:12">
      <c r="K820" s="851"/>
      <c r="L820" s="851"/>
    </row>
    <row r="821" spans="11:12">
      <c r="K821" s="851"/>
      <c r="L821" s="851"/>
    </row>
    <row r="822" spans="11:12">
      <c r="K822" s="851"/>
      <c r="L822" s="851"/>
    </row>
    <row r="823" spans="11:12">
      <c r="K823" s="851"/>
      <c r="L823" s="851"/>
    </row>
    <row r="824" spans="11:12">
      <c r="K824" s="851"/>
      <c r="L824" s="851"/>
    </row>
    <row r="825" spans="11:12">
      <c r="K825" s="851"/>
      <c r="L825" s="851"/>
    </row>
    <row r="826" spans="11:12">
      <c r="K826" s="851"/>
      <c r="L826" s="851"/>
    </row>
    <row r="827" spans="11:12">
      <c r="K827" s="851"/>
      <c r="L827" s="851"/>
    </row>
    <row r="828" spans="11:12">
      <c r="K828" s="851"/>
      <c r="L828" s="851"/>
    </row>
    <row r="829" spans="11:12">
      <c r="K829" s="851"/>
      <c r="L829" s="851"/>
    </row>
    <row r="830" spans="11:12">
      <c r="K830" s="851"/>
      <c r="L830" s="851"/>
    </row>
    <row r="831" spans="11:12">
      <c r="K831" s="851"/>
      <c r="L831" s="851"/>
    </row>
    <row r="832" spans="11:12">
      <c r="K832" s="851"/>
      <c r="L832" s="851"/>
    </row>
    <row r="833" spans="11:12">
      <c r="K833" s="851"/>
      <c r="L833" s="851"/>
    </row>
    <row r="834" spans="11:12">
      <c r="K834" s="851"/>
      <c r="L834" s="851"/>
    </row>
    <row r="835" spans="11:12">
      <c r="K835" s="851"/>
      <c r="L835" s="851"/>
    </row>
    <row r="836" spans="11:12">
      <c r="K836" s="851"/>
      <c r="L836" s="851"/>
    </row>
    <row r="837" spans="11:12">
      <c r="K837" s="851"/>
      <c r="L837" s="851"/>
    </row>
    <row r="838" spans="11:12">
      <c r="K838" s="851"/>
      <c r="L838" s="851"/>
    </row>
    <row r="839" spans="11:12">
      <c r="K839" s="851"/>
      <c r="L839" s="851"/>
    </row>
    <row r="840" spans="11:12">
      <c r="K840" s="851"/>
      <c r="L840" s="851"/>
    </row>
    <row r="841" spans="11:12">
      <c r="K841" s="851"/>
      <c r="L841" s="851"/>
    </row>
    <row r="842" spans="11:12">
      <c r="K842" s="851"/>
      <c r="L842" s="851"/>
    </row>
    <row r="843" spans="11:12">
      <c r="K843" s="851"/>
      <c r="L843" s="851"/>
    </row>
    <row r="844" spans="11:12">
      <c r="K844" s="851"/>
      <c r="L844" s="851"/>
    </row>
    <row r="845" spans="11:12">
      <c r="K845" s="851"/>
      <c r="L845" s="851"/>
    </row>
    <row r="846" spans="11:12">
      <c r="K846" s="851"/>
      <c r="L846" s="851"/>
    </row>
    <row r="847" spans="11:12">
      <c r="K847" s="851"/>
      <c r="L847" s="851"/>
    </row>
    <row r="848" spans="11:12">
      <c r="K848" s="851"/>
      <c r="L848" s="851"/>
    </row>
    <row r="849" spans="11:12">
      <c r="K849" s="851"/>
      <c r="L849" s="851"/>
    </row>
    <row r="850" spans="11:12">
      <c r="K850" s="851"/>
      <c r="L850" s="851"/>
    </row>
    <row r="851" spans="11:12">
      <c r="K851" s="851"/>
      <c r="L851" s="851"/>
    </row>
    <row r="852" spans="11:12">
      <c r="K852" s="851"/>
      <c r="L852" s="851"/>
    </row>
    <row r="853" spans="11:12">
      <c r="K853" s="851"/>
      <c r="L853" s="851"/>
    </row>
    <row r="854" spans="11:12">
      <c r="K854" s="851"/>
      <c r="L854" s="851"/>
    </row>
    <row r="855" spans="11:12">
      <c r="K855" s="851"/>
      <c r="L855" s="851"/>
    </row>
    <row r="856" spans="11:12">
      <c r="K856" s="851"/>
      <c r="L856" s="851"/>
    </row>
    <row r="857" spans="11:12">
      <c r="K857" s="851"/>
      <c r="L857" s="851"/>
    </row>
    <row r="858" spans="11:12">
      <c r="K858" s="851"/>
      <c r="L858" s="851"/>
    </row>
    <row r="859" spans="11:12">
      <c r="K859" s="851"/>
      <c r="L859" s="851"/>
    </row>
    <row r="860" spans="11:12">
      <c r="K860" s="851"/>
      <c r="L860" s="851"/>
    </row>
    <row r="861" spans="11:12">
      <c r="K861" s="851"/>
      <c r="L861" s="851"/>
    </row>
    <row r="862" spans="11:12">
      <c r="K862" s="851"/>
      <c r="L862" s="851"/>
    </row>
    <row r="863" spans="11:12">
      <c r="K863" s="851"/>
      <c r="L863" s="851"/>
    </row>
    <row r="864" spans="11:12">
      <c r="K864" s="851"/>
      <c r="L864" s="851"/>
    </row>
    <row r="865" spans="11:12">
      <c r="K865" s="851"/>
      <c r="L865" s="851"/>
    </row>
    <row r="866" spans="11:12">
      <c r="K866" s="851"/>
      <c r="L866" s="851"/>
    </row>
    <row r="867" spans="11:12">
      <c r="K867" s="851"/>
      <c r="L867" s="851"/>
    </row>
    <row r="868" spans="11:12">
      <c r="K868" s="851"/>
      <c r="L868" s="851"/>
    </row>
    <row r="869" spans="11:12">
      <c r="K869" s="851"/>
      <c r="L869" s="851"/>
    </row>
    <row r="870" spans="11:12">
      <c r="K870" s="851"/>
      <c r="L870" s="851"/>
    </row>
    <row r="871" spans="11:12">
      <c r="K871" s="851"/>
      <c r="L871" s="851"/>
    </row>
    <row r="872" spans="11:12">
      <c r="K872" s="851"/>
      <c r="L872" s="851"/>
    </row>
    <row r="873" spans="11:12">
      <c r="K873" s="851"/>
      <c r="L873" s="851"/>
    </row>
    <row r="874" spans="11:12">
      <c r="K874" s="851"/>
      <c r="L874" s="851"/>
    </row>
    <row r="875" spans="11:12">
      <c r="K875" s="851"/>
      <c r="L875" s="851"/>
    </row>
    <row r="876" spans="11:12">
      <c r="K876" s="851"/>
      <c r="L876" s="851"/>
    </row>
    <row r="877" spans="11:12">
      <c r="K877" s="851"/>
      <c r="L877" s="851"/>
    </row>
    <row r="878" spans="11:12">
      <c r="K878" s="851"/>
      <c r="L878" s="851"/>
    </row>
    <row r="879" spans="11:12">
      <c r="K879" s="851"/>
      <c r="L879" s="851"/>
    </row>
    <row r="880" spans="11:12">
      <c r="K880" s="851"/>
      <c r="L880" s="851"/>
    </row>
    <row r="881" spans="11:12">
      <c r="K881" s="851"/>
      <c r="L881" s="851"/>
    </row>
    <row r="882" spans="11:12">
      <c r="K882" s="851"/>
      <c r="L882" s="851"/>
    </row>
    <row r="883" spans="11:12">
      <c r="K883" s="851"/>
      <c r="L883" s="851"/>
    </row>
    <row r="884" spans="11:12">
      <c r="K884" s="851"/>
      <c r="L884" s="851"/>
    </row>
    <row r="885" spans="11:12">
      <c r="K885" s="851"/>
      <c r="L885" s="851"/>
    </row>
    <row r="886" spans="11:12">
      <c r="K886" s="851"/>
      <c r="L886" s="851"/>
    </row>
    <row r="887" spans="11:12">
      <c r="K887" s="851"/>
      <c r="L887" s="851"/>
    </row>
    <row r="888" spans="11:12">
      <c r="K888" s="851"/>
      <c r="L888" s="851"/>
    </row>
    <row r="889" spans="11:12">
      <c r="K889" s="851"/>
      <c r="L889" s="851"/>
    </row>
    <row r="890" spans="11:12">
      <c r="K890" s="851"/>
      <c r="L890" s="851"/>
    </row>
    <row r="891" spans="11:12">
      <c r="K891" s="851"/>
      <c r="L891" s="851"/>
    </row>
    <row r="892" spans="11:12">
      <c r="K892" s="851"/>
      <c r="L892" s="851"/>
    </row>
    <row r="893" spans="11:12">
      <c r="K893" s="851"/>
      <c r="L893" s="851"/>
    </row>
    <row r="894" spans="11:12">
      <c r="K894" s="851"/>
      <c r="L894" s="851"/>
    </row>
    <row r="895" spans="11:12">
      <c r="K895" s="851"/>
      <c r="L895" s="851"/>
    </row>
    <row r="896" spans="11:12">
      <c r="K896" s="851"/>
      <c r="L896" s="851"/>
    </row>
    <row r="897" spans="11:12">
      <c r="K897" s="851"/>
      <c r="L897" s="851"/>
    </row>
    <row r="898" spans="11:12">
      <c r="K898" s="851"/>
      <c r="L898" s="851"/>
    </row>
    <row r="899" spans="11:12">
      <c r="K899" s="851"/>
      <c r="L899" s="851"/>
    </row>
    <row r="900" spans="11:12">
      <c r="K900" s="851"/>
      <c r="L900" s="851"/>
    </row>
    <row r="901" spans="11:12">
      <c r="K901" s="851"/>
      <c r="L901" s="851"/>
    </row>
    <row r="902" spans="11:12">
      <c r="K902" s="851"/>
      <c r="L902" s="851"/>
    </row>
    <row r="903" spans="11:12">
      <c r="K903" s="851"/>
      <c r="L903" s="851"/>
    </row>
    <row r="904" spans="11:12">
      <c r="K904" s="851"/>
      <c r="L904" s="851"/>
    </row>
    <row r="905" spans="11:12">
      <c r="K905" s="851"/>
      <c r="L905" s="851"/>
    </row>
    <row r="906" spans="11:12">
      <c r="K906" s="851"/>
      <c r="L906" s="851"/>
    </row>
    <row r="907" spans="11:12">
      <c r="K907" s="851"/>
      <c r="L907" s="851"/>
    </row>
    <row r="908" spans="11:12">
      <c r="K908" s="851"/>
      <c r="L908" s="851"/>
    </row>
    <row r="909" spans="11:12">
      <c r="K909" s="851"/>
      <c r="L909" s="851"/>
    </row>
    <row r="910" spans="11:12">
      <c r="K910" s="851"/>
      <c r="L910" s="851"/>
    </row>
    <row r="911" spans="11:12">
      <c r="K911" s="851"/>
      <c r="L911" s="851"/>
    </row>
    <row r="912" spans="11:12">
      <c r="K912" s="851"/>
      <c r="L912" s="851"/>
    </row>
    <row r="913" spans="11:12">
      <c r="K913" s="851"/>
      <c r="L913" s="851"/>
    </row>
    <row r="914" spans="11:12">
      <c r="K914" s="851"/>
      <c r="L914" s="851"/>
    </row>
    <row r="915" spans="11:12">
      <c r="K915" s="851"/>
      <c r="L915" s="851"/>
    </row>
    <row r="916" spans="11:12">
      <c r="K916" s="851"/>
      <c r="L916" s="851"/>
    </row>
    <row r="917" spans="11:12">
      <c r="K917" s="851"/>
      <c r="L917" s="851"/>
    </row>
    <row r="918" spans="11:12">
      <c r="K918" s="851"/>
      <c r="L918" s="851"/>
    </row>
    <row r="919" spans="11:12">
      <c r="K919" s="851"/>
      <c r="L919" s="851"/>
    </row>
    <row r="920" spans="11:12">
      <c r="K920" s="851"/>
      <c r="L920" s="851"/>
    </row>
    <row r="921" spans="11:12">
      <c r="K921" s="851"/>
      <c r="L921" s="851"/>
    </row>
    <row r="922" spans="11:12">
      <c r="K922" s="851"/>
      <c r="L922" s="851"/>
    </row>
    <row r="923" spans="11:12">
      <c r="K923" s="851"/>
      <c r="L923" s="851"/>
    </row>
    <row r="924" spans="11:12">
      <c r="K924" s="851"/>
      <c r="L924" s="851"/>
    </row>
    <row r="925" spans="11:12">
      <c r="K925" s="851"/>
      <c r="L925" s="851"/>
    </row>
    <row r="926" spans="11:12">
      <c r="K926" s="851"/>
      <c r="L926" s="851"/>
    </row>
    <row r="927" spans="11:12">
      <c r="K927" s="851"/>
      <c r="L927" s="851"/>
    </row>
    <row r="928" spans="11:12">
      <c r="K928" s="851"/>
      <c r="L928" s="851"/>
    </row>
    <row r="929" spans="11:12">
      <c r="K929" s="851"/>
      <c r="L929" s="851"/>
    </row>
    <row r="930" spans="11:12">
      <c r="K930" s="851"/>
      <c r="L930" s="851"/>
    </row>
    <row r="931" spans="11:12">
      <c r="K931" s="851"/>
      <c r="L931" s="851"/>
    </row>
    <row r="932" spans="11:12">
      <c r="K932" s="851"/>
      <c r="L932" s="851"/>
    </row>
    <row r="933" spans="11:12">
      <c r="K933" s="851"/>
      <c r="L933" s="851"/>
    </row>
    <row r="934" spans="11:12">
      <c r="K934" s="851"/>
      <c r="L934" s="851"/>
    </row>
    <row r="935" spans="11:12">
      <c r="K935" s="851"/>
      <c r="L935" s="851"/>
    </row>
    <row r="936" spans="11:12">
      <c r="K936" s="851"/>
      <c r="L936" s="851"/>
    </row>
    <row r="937" spans="11:12">
      <c r="K937" s="851"/>
      <c r="L937" s="851"/>
    </row>
    <row r="938" spans="11:12">
      <c r="K938" s="851"/>
      <c r="L938" s="851"/>
    </row>
    <row r="939" spans="11:12">
      <c r="K939" s="851"/>
      <c r="L939" s="851"/>
    </row>
    <row r="940" spans="11:12">
      <c r="K940" s="851"/>
      <c r="L940" s="851"/>
    </row>
    <row r="941" spans="11:12">
      <c r="K941" s="851"/>
      <c r="L941" s="851"/>
    </row>
    <row r="942" spans="11:12">
      <c r="K942" s="851"/>
      <c r="L942" s="851"/>
    </row>
    <row r="943" spans="11:12">
      <c r="K943" s="851"/>
      <c r="L943" s="851"/>
    </row>
    <row r="944" spans="11:12">
      <c r="K944" s="851"/>
      <c r="L944" s="851"/>
    </row>
    <row r="945" spans="11:12">
      <c r="K945" s="851"/>
      <c r="L945" s="851"/>
    </row>
    <row r="946" spans="11:12">
      <c r="K946" s="851"/>
      <c r="L946" s="851"/>
    </row>
    <row r="947" spans="11:12">
      <c r="K947" s="851"/>
      <c r="L947" s="851"/>
    </row>
    <row r="948" spans="11:12">
      <c r="K948" s="851"/>
      <c r="L948" s="851"/>
    </row>
    <row r="949" spans="11:12">
      <c r="K949" s="851"/>
      <c r="L949" s="851"/>
    </row>
    <row r="950" spans="11:12">
      <c r="K950" s="851"/>
      <c r="L950" s="851"/>
    </row>
    <row r="951" spans="11:12">
      <c r="K951" s="851"/>
      <c r="L951" s="851"/>
    </row>
    <row r="952" spans="11:12">
      <c r="K952" s="851"/>
      <c r="L952" s="851"/>
    </row>
    <row r="953" spans="11:12">
      <c r="K953" s="851"/>
      <c r="L953" s="851"/>
    </row>
    <row r="954" spans="11:12">
      <c r="K954" s="851"/>
      <c r="L954" s="851"/>
    </row>
    <row r="955" spans="11:12">
      <c r="K955" s="851"/>
      <c r="L955" s="851"/>
    </row>
    <row r="956" spans="11:12">
      <c r="K956" s="851"/>
      <c r="L956" s="851"/>
    </row>
    <row r="957" spans="11:12">
      <c r="K957" s="851"/>
      <c r="L957" s="851"/>
    </row>
    <row r="958" spans="11:12">
      <c r="K958" s="851"/>
      <c r="L958" s="851"/>
    </row>
    <row r="959" spans="11:12">
      <c r="K959" s="851"/>
      <c r="L959" s="851"/>
    </row>
    <row r="960" spans="11:12">
      <c r="K960" s="851"/>
      <c r="L960" s="851"/>
    </row>
    <row r="961" spans="11:12">
      <c r="K961" s="851"/>
      <c r="L961" s="851"/>
    </row>
    <row r="962" spans="11:12">
      <c r="K962" s="851"/>
      <c r="L962" s="851"/>
    </row>
    <row r="963" spans="11:12">
      <c r="K963" s="851"/>
      <c r="L963" s="851"/>
    </row>
    <row r="964" spans="11:12">
      <c r="K964" s="851"/>
      <c r="L964" s="851"/>
    </row>
    <row r="965" spans="11:12">
      <c r="K965" s="851"/>
      <c r="L965" s="851"/>
    </row>
    <row r="966" spans="11:12">
      <c r="K966" s="851"/>
      <c r="L966" s="851"/>
    </row>
    <row r="967" spans="11:12">
      <c r="K967" s="851"/>
      <c r="L967" s="851"/>
    </row>
    <row r="968" spans="11:12">
      <c r="K968" s="851"/>
      <c r="L968" s="851"/>
    </row>
    <row r="969" spans="11:12">
      <c r="K969" s="851"/>
      <c r="L969" s="851"/>
    </row>
    <row r="970" spans="11:12">
      <c r="K970" s="851"/>
      <c r="L970" s="851"/>
    </row>
    <row r="971" spans="11:12">
      <c r="K971" s="851"/>
      <c r="L971" s="851"/>
    </row>
    <row r="972" spans="11:12">
      <c r="K972" s="851"/>
      <c r="L972" s="851"/>
    </row>
    <row r="973" spans="11:12">
      <c r="K973" s="851"/>
      <c r="L973" s="851"/>
    </row>
    <row r="974" spans="11:12">
      <c r="K974" s="851"/>
      <c r="L974" s="851"/>
    </row>
    <row r="975" spans="11:12">
      <c r="K975" s="851"/>
      <c r="L975" s="851"/>
    </row>
    <row r="976" spans="11:12">
      <c r="K976" s="851"/>
      <c r="L976" s="851"/>
    </row>
    <row r="977" spans="11:12">
      <c r="K977" s="851"/>
      <c r="L977" s="851"/>
    </row>
    <row r="978" spans="11:12">
      <c r="K978" s="851"/>
      <c r="L978" s="851"/>
    </row>
    <row r="979" spans="11:12">
      <c r="K979" s="851"/>
      <c r="L979" s="851"/>
    </row>
    <row r="980" spans="11:12">
      <c r="K980" s="851"/>
      <c r="L980" s="851"/>
    </row>
    <row r="981" spans="11:12">
      <c r="K981" s="851"/>
      <c r="L981" s="851"/>
    </row>
    <row r="982" spans="11:12">
      <c r="K982" s="851"/>
      <c r="L982" s="851"/>
    </row>
    <row r="983" spans="11:12">
      <c r="K983" s="851"/>
      <c r="L983" s="851"/>
    </row>
    <row r="984" spans="11:12">
      <c r="K984" s="851"/>
      <c r="L984" s="851"/>
    </row>
    <row r="985" spans="11:12">
      <c r="K985" s="851"/>
      <c r="L985" s="851"/>
    </row>
    <row r="986" spans="11:12">
      <c r="K986" s="851"/>
      <c r="L986" s="851"/>
    </row>
    <row r="987" spans="11:12">
      <c r="K987" s="851"/>
      <c r="L987" s="851"/>
    </row>
    <row r="988" spans="11:12">
      <c r="K988" s="851"/>
      <c r="L988" s="851"/>
    </row>
    <row r="989" spans="11:12">
      <c r="K989" s="851"/>
      <c r="L989" s="851"/>
    </row>
    <row r="990" spans="11:12">
      <c r="K990" s="851"/>
      <c r="L990" s="851"/>
    </row>
    <row r="991" spans="11:12">
      <c r="K991" s="851"/>
      <c r="L991" s="851"/>
    </row>
    <row r="992" spans="11:12">
      <c r="K992" s="851"/>
      <c r="L992" s="851"/>
    </row>
    <row r="993" spans="11:12">
      <c r="K993" s="851"/>
      <c r="L993" s="851"/>
    </row>
    <row r="994" spans="11:12">
      <c r="K994" s="851"/>
      <c r="L994" s="851"/>
    </row>
    <row r="995" spans="11:12">
      <c r="K995" s="851"/>
      <c r="L995" s="851"/>
    </row>
    <row r="996" spans="11:12">
      <c r="K996" s="851"/>
      <c r="L996" s="851"/>
    </row>
    <row r="997" spans="11:12">
      <c r="K997" s="851"/>
      <c r="L997" s="851"/>
    </row>
    <row r="998" spans="11:12">
      <c r="K998" s="851"/>
      <c r="L998" s="851"/>
    </row>
    <row r="999" spans="11:12">
      <c r="K999" s="851"/>
      <c r="L999" s="851"/>
    </row>
    <row r="1000" spans="11:12">
      <c r="K1000" s="851"/>
      <c r="L1000" s="851"/>
    </row>
    <row r="1001" spans="11:12">
      <c r="K1001" s="851"/>
      <c r="L1001" s="851"/>
    </row>
    <row r="1002" spans="11:12">
      <c r="K1002" s="851"/>
      <c r="L1002" s="851"/>
    </row>
    <row r="1003" spans="11:12">
      <c r="K1003" s="851"/>
      <c r="L1003" s="851"/>
    </row>
    <row r="1004" spans="11:12">
      <c r="K1004" s="851"/>
      <c r="L1004" s="851"/>
    </row>
    <row r="1005" spans="11:12">
      <c r="K1005" s="851"/>
      <c r="L1005" s="851"/>
    </row>
    <row r="1006" spans="11:12">
      <c r="K1006" s="851"/>
      <c r="L1006" s="851"/>
    </row>
    <row r="1007" spans="11:12">
      <c r="K1007" s="851"/>
      <c r="L1007" s="851"/>
    </row>
    <row r="1008" spans="11:12">
      <c r="K1008" s="851"/>
      <c r="L1008" s="851"/>
    </row>
    <row r="1009" spans="11:12">
      <c r="K1009" s="851"/>
      <c r="L1009" s="851"/>
    </row>
    <row r="1010" spans="11:12">
      <c r="K1010" s="851"/>
      <c r="L1010" s="851"/>
    </row>
    <row r="1011" spans="11:12">
      <c r="K1011" s="851"/>
      <c r="L1011" s="851"/>
    </row>
    <row r="1012" spans="11:12">
      <c r="K1012" s="851"/>
      <c r="L1012" s="851"/>
    </row>
    <row r="1013" spans="11:12">
      <c r="K1013" s="851"/>
      <c r="L1013" s="851"/>
    </row>
    <row r="1014" spans="11:12">
      <c r="K1014" s="851"/>
      <c r="L1014" s="851"/>
    </row>
    <row r="1015" spans="11:12">
      <c r="K1015" s="851"/>
      <c r="L1015" s="851"/>
    </row>
    <row r="1016" spans="11:12">
      <c r="K1016" s="851"/>
      <c r="L1016" s="851"/>
    </row>
    <row r="1017" spans="11:12">
      <c r="K1017" s="851"/>
      <c r="L1017" s="851"/>
    </row>
    <row r="1018" spans="11:12">
      <c r="K1018" s="851"/>
      <c r="L1018" s="851"/>
    </row>
    <row r="1019" spans="11:12">
      <c r="K1019" s="851"/>
      <c r="L1019" s="851"/>
    </row>
    <row r="1020" spans="11:12">
      <c r="K1020" s="851"/>
      <c r="L1020" s="851"/>
    </row>
    <row r="1021" spans="11:12">
      <c r="K1021" s="851"/>
      <c r="L1021" s="851"/>
    </row>
    <row r="1022" spans="11:12">
      <c r="K1022" s="851"/>
      <c r="L1022" s="851"/>
    </row>
    <row r="1023" spans="11:12">
      <c r="K1023" s="851"/>
      <c r="L1023" s="851"/>
    </row>
    <row r="1024" spans="11:12">
      <c r="K1024" s="851"/>
      <c r="L1024" s="851"/>
    </row>
    <row r="1025" spans="11:12">
      <c r="K1025" s="851"/>
      <c r="L1025" s="851"/>
    </row>
    <row r="1026" spans="11:12">
      <c r="K1026" s="851"/>
      <c r="L1026" s="851"/>
    </row>
    <row r="1027" spans="11:12">
      <c r="K1027" s="851"/>
      <c r="L1027" s="851"/>
    </row>
    <row r="1028" spans="11:12">
      <c r="K1028" s="851"/>
      <c r="L1028" s="851"/>
    </row>
    <row r="1029" spans="11:12">
      <c r="K1029" s="851"/>
      <c r="L1029" s="851"/>
    </row>
    <row r="1030" spans="11:12">
      <c r="K1030" s="851"/>
      <c r="L1030" s="851"/>
    </row>
    <row r="1031" spans="11:12">
      <c r="K1031" s="851"/>
      <c r="L1031" s="851"/>
    </row>
    <row r="1032" spans="11:12">
      <c r="K1032" s="851"/>
      <c r="L1032" s="851"/>
    </row>
    <row r="1033" spans="11:12">
      <c r="K1033" s="851"/>
      <c r="L1033" s="851"/>
    </row>
    <row r="1034" spans="11:12">
      <c r="K1034" s="851"/>
      <c r="L1034" s="851"/>
    </row>
    <row r="1035" spans="11:12">
      <c r="K1035" s="851"/>
      <c r="L1035" s="851"/>
    </row>
    <row r="1036" spans="11:12">
      <c r="K1036" s="851"/>
      <c r="L1036" s="851"/>
    </row>
    <row r="1037" spans="11:12">
      <c r="K1037" s="851"/>
      <c r="L1037" s="851"/>
    </row>
    <row r="1038" spans="11:12">
      <c r="K1038" s="851"/>
      <c r="L1038" s="851"/>
    </row>
    <row r="1039" spans="11:12">
      <c r="K1039" s="851"/>
      <c r="L1039" s="851"/>
    </row>
    <row r="1040" spans="11:12">
      <c r="K1040" s="851"/>
      <c r="L1040" s="851"/>
    </row>
    <row r="1041" spans="11:12">
      <c r="K1041" s="851"/>
      <c r="L1041" s="851"/>
    </row>
    <row r="1042" spans="11:12">
      <c r="K1042" s="851"/>
      <c r="L1042" s="851"/>
    </row>
    <row r="1043" spans="11:12">
      <c r="K1043" s="851"/>
      <c r="L1043" s="851"/>
    </row>
    <row r="1044" spans="11:12">
      <c r="K1044" s="851"/>
      <c r="L1044" s="851"/>
    </row>
    <row r="1045" spans="11:12">
      <c r="K1045" s="851"/>
      <c r="L1045" s="851"/>
    </row>
    <row r="1046" spans="11:12">
      <c r="K1046" s="851"/>
      <c r="L1046" s="851"/>
    </row>
    <row r="1047" spans="11:12">
      <c r="K1047" s="851"/>
      <c r="L1047" s="851"/>
    </row>
    <row r="1048" spans="11:12">
      <c r="K1048" s="851"/>
      <c r="L1048" s="851"/>
    </row>
    <row r="1049" spans="11:12">
      <c r="K1049" s="851"/>
      <c r="L1049" s="851"/>
    </row>
    <row r="1050" spans="11:12">
      <c r="K1050" s="851"/>
      <c r="L1050" s="851"/>
    </row>
    <row r="1051" spans="11:12">
      <c r="K1051" s="851"/>
      <c r="L1051" s="851"/>
    </row>
    <row r="1052" spans="11:12">
      <c r="K1052" s="851"/>
      <c r="L1052" s="851"/>
    </row>
    <row r="1053" spans="11:12">
      <c r="K1053" s="851"/>
      <c r="L1053" s="851"/>
    </row>
    <row r="1054" spans="11:12">
      <c r="K1054" s="851"/>
      <c r="L1054" s="851"/>
    </row>
    <row r="1055" spans="11:12">
      <c r="K1055" s="851"/>
      <c r="L1055" s="851"/>
    </row>
    <row r="1056" spans="11:12">
      <c r="K1056" s="851"/>
      <c r="L1056" s="851"/>
    </row>
    <row r="1057" spans="11:12">
      <c r="K1057" s="851"/>
      <c r="L1057" s="851"/>
    </row>
    <row r="1058" spans="11:12">
      <c r="K1058" s="851"/>
      <c r="L1058" s="851"/>
    </row>
    <row r="1059" spans="11:12">
      <c r="K1059" s="851"/>
      <c r="L1059" s="851"/>
    </row>
    <row r="1060" spans="11:12">
      <c r="K1060" s="851"/>
      <c r="L1060" s="851"/>
    </row>
    <row r="1061" spans="11:12">
      <c r="K1061" s="851"/>
      <c r="L1061" s="851"/>
    </row>
    <row r="1062" spans="11:12">
      <c r="K1062" s="851"/>
      <c r="L1062" s="851"/>
    </row>
    <row r="1063" spans="11:12">
      <c r="K1063" s="851"/>
      <c r="L1063" s="851"/>
    </row>
    <row r="1064" spans="11:12">
      <c r="K1064" s="851"/>
      <c r="L1064" s="851"/>
    </row>
    <row r="1065" spans="11:12">
      <c r="K1065" s="851"/>
      <c r="L1065" s="851"/>
    </row>
    <row r="1066" spans="11:12">
      <c r="K1066" s="851"/>
      <c r="L1066" s="851"/>
    </row>
    <row r="1067" spans="11:12">
      <c r="K1067" s="851"/>
      <c r="L1067" s="851"/>
    </row>
    <row r="1068" spans="11:12">
      <c r="K1068" s="851"/>
      <c r="L1068" s="851"/>
    </row>
    <row r="1069" spans="11:12">
      <c r="K1069" s="851"/>
      <c r="L1069" s="851"/>
    </row>
    <row r="1070" spans="11:12">
      <c r="K1070" s="851"/>
      <c r="L1070" s="851"/>
    </row>
    <row r="1071" spans="11:12">
      <c r="K1071" s="851"/>
      <c r="L1071" s="851"/>
    </row>
    <row r="1072" spans="11:12">
      <c r="K1072" s="851"/>
      <c r="L1072" s="851"/>
    </row>
    <row r="1073" spans="11:12">
      <c r="K1073" s="851"/>
      <c r="L1073" s="851"/>
    </row>
    <row r="1074" spans="11:12">
      <c r="K1074" s="851"/>
      <c r="L1074" s="851"/>
    </row>
    <row r="1075" spans="11:12">
      <c r="K1075" s="851"/>
      <c r="L1075" s="851"/>
    </row>
    <row r="1076" spans="11:12">
      <c r="K1076" s="851"/>
      <c r="L1076" s="851"/>
    </row>
    <row r="1077" spans="11:12">
      <c r="K1077" s="851"/>
      <c r="L1077" s="851"/>
    </row>
    <row r="1078" spans="11:12">
      <c r="K1078" s="851"/>
      <c r="L1078" s="851"/>
    </row>
    <row r="1079" spans="11:12">
      <c r="K1079" s="851"/>
      <c r="L1079" s="851"/>
    </row>
    <row r="1080" spans="11:12">
      <c r="K1080" s="851"/>
      <c r="L1080" s="851"/>
    </row>
    <row r="1081" spans="11:12">
      <c r="K1081" s="851"/>
      <c r="L1081" s="851"/>
    </row>
    <row r="1082" spans="11:12">
      <c r="K1082" s="851"/>
      <c r="L1082" s="851"/>
    </row>
    <row r="1083" spans="11:12">
      <c r="K1083" s="851"/>
      <c r="L1083" s="851"/>
    </row>
    <row r="1084" spans="11:12">
      <c r="K1084" s="851"/>
      <c r="L1084" s="851"/>
    </row>
    <row r="1085" spans="11:12">
      <c r="K1085" s="851"/>
      <c r="L1085" s="851"/>
    </row>
    <row r="1086" spans="11:12">
      <c r="K1086" s="851"/>
      <c r="L1086" s="851"/>
    </row>
    <row r="1087" spans="11:12">
      <c r="K1087" s="851"/>
      <c r="L1087" s="851"/>
    </row>
    <row r="1088" spans="11:12">
      <c r="K1088" s="851"/>
      <c r="L1088" s="851"/>
    </row>
    <row r="1089" spans="11:12">
      <c r="K1089" s="851"/>
      <c r="L1089" s="851"/>
    </row>
    <row r="1090" spans="11:12">
      <c r="K1090" s="851"/>
      <c r="L1090" s="851"/>
    </row>
    <row r="1091" spans="11:12">
      <c r="K1091" s="851"/>
      <c r="L1091" s="851"/>
    </row>
    <row r="1092" spans="11:12">
      <c r="K1092" s="851"/>
      <c r="L1092" s="851"/>
    </row>
    <row r="1093" spans="11:12">
      <c r="K1093" s="851"/>
      <c r="L1093" s="851"/>
    </row>
    <row r="1094" spans="11:12">
      <c r="K1094" s="851"/>
      <c r="L1094" s="851"/>
    </row>
    <row r="1095" spans="11:12">
      <c r="K1095" s="851"/>
      <c r="L1095" s="851"/>
    </row>
    <row r="1096" spans="11:12">
      <c r="K1096" s="851"/>
      <c r="L1096" s="851"/>
    </row>
    <row r="1097" spans="11:12">
      <c r="K1097" s="851"/>
      <c r="L1097" s="851"/>
    </row>
    <row r="1098" spans="11:12">
      <c r="K1098" s="851"/>
      <c r="L1098" s="851"/>
    </row>
    <row r="1099" spans="11:12">
      <c r="K1099" s="851"/>
      <c r="L1099" s="851"/>
    </row>
    <row r="1100" spans="11:12">
      <c r="K1100" s="851"/>
      <c r="L1100" s="851"/>
    </row>
    <row r="1101" spans="11:12">
      <c r="K1101" s="851"/>
      <c r="L1101" s="851"/>
    </row>
    <row r="1102" spans="11:12">
      <c r="K1102" s="851"/>
      <c r="L1102" s="851"/>
    </row>
    <row r="1103" spans="11:12">
      <c r="K1103" s="851"/>
      <c r="L1103" s="851"/>
    </row>
    <row r="1104" spans="11:12">
      <c r="K1104" s="851"/>
      <c r="L1104" s="851"/>
    </row>
    <row r="1105" spans="11:12">
      <c r="K1105" s="851"/>
      <c r="L1105" s="851"/>
    </row>
    <row r="1106" spans="11:12">
      <c r="K1106" s="851"/>
      <c r="L1106" s="851"/>
    </row>
    <row r="1107" spans="11:12">
      <c r="K1107" s="851"/>
      <c r="L1107" s="851"/>
    </row>
    <row r="1108" spans="11:12">
      <c r="K1108" s="851"/>
      <c r="L1108" s="851"/>
    </row>
    <row r="1109" spans="11:12">
      <c r="K1109" s="851"/>
      <c r="L1109" s="851"/>
    </row>
    <row r="1110" spans="11:12">
      <c r="K1110" s="851"/>
      <c r="L1110" s="851"/>
    </row>
    <row r="1111" spans="11:12">
      <c r="K1111" s="851"/>
      <c r="L1111" s="851"/>
    </row>
    <row r="1112" spans="11:12">
      <c r="K1112" s="851"/>
      <c r="L1112" s="851"/>
    </row>
    <row r="1113" spans="11:12">
      <c r="K1113" s="851"/>
      <c r="L1113" s="851"/>
    </row>
    <row r="1114" spans="11:12">
      <c r="K1114" s="851"/>
      <c r="L1114" s="851"/>
    </row>
    <row r="1115" spans="11:12">
      <c r="K1115" s="851"/>
      <c r="L1115" s="851"/>
    </row>
    <row r="1116" spans="11:12">
      <c r="K1116" s="851"/>
      <c r="L1116" s="851"/>
    </row>
    <row r="1117" spans="11:12">
      <c r="K1117" s="851"/>
      <c r="L1117" s="851"/>
    </row>
    <row r="1118" spans="11:12">
      <c r="K1118" s="851"/>
      <c r="L1118" s="851"/>
    </row>
    <row r="1119" spans="11:12">
      <c r="K1119" s="851"/>
      <c r="L1119" s="851"/>
    </row>
    <row r="1120" spans="11:12">
      <c r="K1120" s="851"/>
      <c r="L1120" s="851"/>
    </row>
    <row r="1121" spans="11:12">
      <c r="K1121" s="851"/>
      <c r="L1121" s="851"/>
    </row>
    <row r="1122" spans="11:12">
      <c r="K1122" s="851"/>
      <c r="L1122" s="851"/>
    </row>
    <row r="1123" spans="11:12">
      <c r="K1123" s="851"/>
      <c r="L1123" s="851"/>
    </row>
    <row r="1124" spans="11:12">
      <c r="K1124" s="851"/>
      <c r="L1124" s="851"/>
    </row>
    <row r="1125" spans="11:12">
      <c r="K1125" s="851"/>
      <c r="L1125" s="851"/>
    </row>
    <row r="1126" spans="11:12">
      <c r="K1126" s="851"/>
      <c r="L1126" s="851"/>
    </row>
    <row r="1127" spans="11:12">
      <c r="K1127" s="851"/>
      <c r="L1127" s="851"/>
    </row>
    <row r="1128" spans="11:12">
      <c r="K1128" s="851"/>
      <c r="L1128" s="851"/>
    </row>
    <row r="1129" spans="11:12">
      <c r="K1129" s="851"/>
      <c r="L1129" s="851"/>
    </row>
    <row r="1130" spans="11:12">
      <c r="K1130" s="851"/>
      <c r="L1130" s="851"/>
    </row>
    <row r="1131" spans="11:12">
      <c r="K1131" s="851"/>
      <c r="L1131" s="851"/>
    </row>
    <row r="1132" spans="11:12">
      <c r="K1132" s="851"/>
      <c r="L1132" s="851"/>
    </row>
    <row r="1133" spans="11:12">
      <c r="K1133" s="851"/>
      <c r="L1133" s="851"/>
    </row>
    <row r="1134" spans="11:12">
      <c r="K1134" s="851"/>
      <c r="L1134" s="851"/>
    </row>
    <row r="1135" spans="11:12">
      <c r="K1135" s="851"/>
      <c r="L1135" s="851"/>
    </row>
    <row r="1136" spans="11:12">
      <c r="K1136" s="851"/>
      <c r="L1136" s="851"/>
    </row>
    <row r="1137" spans="11:12">
      <c r="K1137" s="851"/>
      <c r="L1137" s="851"/>
    </row>
    <row r="1138" spans="11:12">
      <c r="K1138" s="851"/>
      <c r="L1138" s="851"/>
    </row>
    <row r="1139" spans="11:12">
      <c r="K1139" s="851"/>
      <c r="L1139" s="851"/>
    </row>
    <row r="1140" spans="11:12">
      <c r="K1140" s="851"/>
      <c r="L1140" s="851"/>
    </row>
    <row r="1141" spans="11:12">
      <c r="K1141" s="851"/>
      <c r="L1141" s="851"/>
    </row>
    <row r="1142" spans="11:12">
      <c r="K1142" s="851"/>
      <c r="L1142" s="851"/>
    </row>
    <row r="1143" spans="11:12">
      <c r="K1143" s="851"/>
      <c r="L1143" s="851"/>
    </row>
    <row r="1144" spans="11:12">
      <c r="K1144" s="851"/>
      <c r="L1144" s="851"/>
    </row>
    <row r="1145" spans="11:12">
      <c r="K1145" s="851"/>
      <c r="L1145" s="851"/>
    </row>
    <row r="1146" spans="11:12">
      <c r="K1146" s="851"/>
      <c r="L1146" s="851"/>
    </row>
    <row r="1147" spans="11:12">
      <c r="K1147" s="851"/>
      <c r="L1147" s="851"/>
    </row>
    <row r="1148" spans="11:12">
      <c r="K1148" s="851"/>
      <c r="L1148" s="851"/>
    </row>
    <row r="1149" spans="11:12">
      <c r="K1149" s="851"/>
      <c r="L1149" s="851"/>
    </row>
    <row r="1150" spans="11:12">
      <c r="K1150" s="851"/>
      <c r="L1150" s="851"/>
    </row>
    <row r="1151" spans="11:12">
      <c r="K1151" s="851"/>
      <c r="L1151" s="851"/>
    </row>
    <row r="1152" spans="11:12">
      <c r="K1152" s="851"/>
      <c r="L1152" s="851"/>
    </row>
    <row r="1153" spans="11:12">
      <c r="K1153" s="851"/>
      <c r="L1153" s="851"/>
    </row>
    <row r="1154" spans="11:12">
      <c r="K1154" s="851"/>
      <c r="L1154" s="851"/>
    </row>
    <row r="1155" spans="11:12">
      <c r="K1155" s="851"/>
      <c r="L1155" s="851"/>
    </row>
    <row r="1156" spans="11:12">
      <c r="K1156" s="851"/>
      <c r="L1156" s="851"/>
    </row>
    <row r="1157" spans="11:12">
      <c r="K1157" s="851"/>
      <c r="L1157" s="851"/>
    </row>
    <row r="1158" spans="11:12">
      <c r="K1158" s="851"/>
      <c r="L1158" s="851"/>
    </row>
    <row r="1159" spans="11:12">
      <c r="K1159" s="851"/>
      <c r="L1159" s="851"/>
    </row>
    <row r="1160" spans="11:12">
      <c r="K1160" s="851"/>
      <c r="L1160" s="851"/>
    </row>
    <row r="1161" spans="11:12">
      <c r="K1161" s="851"/>
      <c r="L1161" s="851"/>
    </row>
    <row r="1162" spans="11:12">
      <c r="K1162" s="851"/>
      <c r="L1162" s="851"/>
    </row>
    <row r="1163" spans="11:12">
      <c r="K1163" s="851"/>
      <c r="L1163" s="851"/>
    </row>
    <row r="1164" spans="11:12">
      <c r="K1164" s="851"/>
      <c r="L1164" s="851"/>
    </row>
    <row r="1165" spans="11:12">
      <c r="K1165" s="851"/>
      <c r="L1165" s="851"/>
    </row>
    <row r="1166" spans="11:12">
      <c r="K1166" s="851"/>
      <c r="L1166" s="851"/>
    </row>
    <row r="1167" spans="11:12">
      <c r="K1167" s="851"/>
      <c r="L1167" s="851"/>
    </row>
    <row r="1168" spans="11:12">
      <c r="K1168" s="851"/>
      <c r="L1168" s="851"/>
    </row>
    <row r="1169" spans="11:12">
      <c r="K1169" s="851"/>
      <c r="L1169" s="851"/>
    </row>
    <row r="1170" spans="11:12">
      <c r="K1170" s="851"/>
      <c r="L1170" s="851"/>
    </row>
    <row r="1171" spans="11:12">
      <c r="K1171" s="851"/>
      <c r="L1171" s="851"/>
    </row>
    <row r="1172" spans="11:12">
      <c r="K1172" s="851"/>
      <c r="L1172" s="851"/>
    </row>
    <row r="1173" spans="11:12">
      <c r="K1173" s="851"/>
      <c r="L1173" s="851"/>
    </row>
    <row r="1174" spans="11:12">
      <c r="K1174" s="851"/>
      <c r="L1174" s="851"/>
    </row>
    <row r="1175" spans="11:12">
      <c r="K1175" s="851"/>
      <c r="L1175" s="851"/>
    </row>
    <row r="1176" spans="11:12">
      <c r="K1176" s="851"/>
      <c r="L1176" s="851"/>
    </row>
    <row r="1177" spans="11:12">
      <c r="K1177" s="851"/>
      <c r="L1177" s="851"/>
    </row>
    <row r="1178" spans="11:12">
      <c r="K1178" s="851"/>
      <c r="L1178" s="851"/>
    </row>
    <row r="1179" spans="11:12">
      <c r="K1179" s="851"/>
      <c r="L1179" s="851"/>
    </row>
    <row r="1180" spans="11:12">
      <c r="K1180" s="851"/>
      <c r="L1180" s="851"/>
    </row>
    <row r="1181" spans="11:12">
      <c r="K1181" s="851"/>
      <c r="L1181" s="851"/>
    </row>
    <row r="1182" spans="11:12">
      <c r="K1182" s="851"/>
      <c r="L1182" s="851"/>
    </row>
    <row r="1183" spans="11:12">
      <c r="K1183" s="851"/>
      <c r="L1183" s="851"/>
    </row>
    <row r="1184" spans="11:12">
      <c r="K1184" s="851"/>
      <c r="L1184" s="851"/>
    </row>
    <row r="1185" spans="11:12">
      <c r="K1185" s="851"/>
      <c r="L1185" s="851"/>
    </row>
    <row r="1186" spans="11:12">
      <c r="K1186" s="851"/>
      <c r="L1186" s="851"/>
    </row>
    <row r="1187" spans="11:12">
      <c r="K1187" s="851"/>
      <c r="L1187" s="851"/>
    </row>
    <row r="1188" spans="11:12">
      <c r="K1188" s="851"/>
      <c r="L1188" s="851"/>
    </row>
    <row r="1189" spans="11:12">
      <c r="K1189" s="851"/>
      <c r="L1189" s="851"/>
    </row>
    <row r="1190" spans="11:12">
      <c r="K1190" s="851"/>
      <c r="L1190" s="851"/>
    </row>
    <row r="1191" spans="11:12">
      <c r="K1191" s="851"/>
      <c r="L1191" s="851"/>
    </row>
    <row r="1192" spans="11:12">
      <c r="K1192" s="851"/>
      <c r="L1192" s="851"/>
    </row>
    <row r="1193" spans="11:12">
      <c r="K1193" s="851"/>
      <c r="L1193" s="851"/>
    </row>
    <row r="1194" spans="11:12">
      <c r="K1194" s="851"/>
      <c r="L1194" s="851"/>
    </row>
    <row r="1195" spans="11:12">
      <c r="K1195" s="851"/>
      <c r="L1195" s="851"/>
    </row>
    <row r="1196" spans="11:12">
      <c r="K1196" s="851"/>
      <c r="L1196" s="851"/>
    </row>
    <row r="1197" spans="11:12">
      <c r="K1197" s="851"/>
      <c r="L1197" s="851"/>
    </row>
    <row r="1198" spans="11:12">
      <c r="K1198" s="851"/>
      <c r="L1198" s="851"/>
    </row>
    <row r="1199" spans="11:12">
      <c r="K1199" s="851"/>
      <c r="L1199" s="851"/>
    </row>
    <row r="1200" spans="11:12">
      <c r="K1200" s="851"/>
      <c r="L1200" s="851"/>
    </row>
    <row r="1201" spans="11:12">
      <c r="K1201" s="851"/>
      <c r="L1201" s="851"/>
    </row>
    <row r="1202" spans="11:12">
      <c r="K1202" s="851"/>
      <c r="L1202" s="851"/>
    </row>
    <row r="1203" spans="11:12">
      <c r="K1203" s="851"/>
      <c r="L1203" s="851"/>
    </row>
    <row r="1204" spans="11:12">
      <c r="K1204" s="851"/>
      <c r="L1204" s="851"/>
    </row>
    <row r="1205" spans="11:12">
      <c r="K1205" s="851"/>
      <c r="L1205" s="851"/>
    </row>
    <row r="1206" spans="11:12">
      <c r="K1206" s="851"/>
      <c r="L1206" s="851"/>
    </row>
    <row r="1207" spans="11:12">
      <c r="K1207" s="851"/>
      <c r="L1207" s="851"/>
    </row>
    <row r="1208" spans="11:12">
      <c r="K1208" s="851"/>
      <c r="L1208" s="851"/>
    </row>
    <row r="1209" spans="11:12">
      <c r="K1209" s="851"/>
      <c r="L1209" s="851"/>
    </row>
    <row r="1210" spans="11:12">
      <c r="K1210" s="851"/>
      <c r="L1210" s="851"/>
    </row>
    <row r="1211" spans="11:12">
      <c r="K1211" s="851"/>
      <c r="L1211" s="851"/>
    </row>
    <row r="1212" spans="11:12">
      <c r="K1212" s="851"/>
      <c r="L1212" s="851"/>
    </row>
    <row r="1213" spans="11:12">
      <c r="K1213" s="851"/>
      <c r="L1213" s="851"/>
    </row>
    <row r="1214" spans="11:12">
      <c r="K1214" s="851"/>
      <c r="L1214" s="851"/>
    </row>
    <row r="1215" spans="11:12">
      <c r="K1215" s="851"/>
      <c r="L1215" s="851"/>
    </row>
    <row r="1216" spans="11:12">
      <c r="K1216" s="851"/>
      <c r="L1216" s="851"/>
    </row>
    <row r="1217" spans="11:12">
      <c r="K1217" s="851"/>
      <c r="L1217" s="851"/>
    </row>
    <row r="1218" spans="11:12">
      <c r="K1218" s="851"/>
      <c r="L1218" s="851"/>
    </row>
    <row r="1219" spans="11:12">
      <c r="K1219" s="851"/>
      <c r="L1219" s="851"/>
    </row>
    <row r="1220" spans="11:12">
      <c r="K1220" s="851"/>
      <c r="L1220" s="851"/>
    </row>
    <row r="1221" spans="11:12">
      <c r="K1221" s="851"/>
      <c r="L1221" s="851"/>
    </row>
    <row r="1222" spans="11:12">
      <c r="K1222" s="851"/>
      <c r="L1222" s="851"/>
    </row>
    <row r="1223" spans="11:12">
      <c r="K1223" s="851"/>
      <c r="L1223" s="851"/>
    </row>
    <row r="1224" spans="11:12">
      <c r="K1224" s="851"/>
      <c r="L1224" s="851"/>
    </row>
    <row r="1225" spans="11:12">
      <c r="K1225" s="851"/>
      <c r="L1225" s="851"/>
    </row>
    <row r="1226" spans="11:12">
      <c r="K1226" s="851"/>
      <c r="L1226" s="851"/>
    </row>
    <row r="1227" spans="11:12">
      <c r="K1227" s="851"/>
      <c r="L1227" s="851"/>
    </row>
    <row r="1228" spans="11:12">
      <c r="K1228" s="851"/>
      <c r="L1228" s="851"/>
    </row>
    <row r="1229" spans="11:12">
      <c r="K1229" s="851"/>
      <c r="L1229" s="851"/>
    </row>
    <row r="1230" spans="11:12">
      <c r="K1230" s="851"/>
      <c r="L1230" s="851"/>
    </row>
    <row r="1231" spans="11:12">
      <c r="K1231" s="851"/>
      <c r="L1231" s="851"/>
    </row>
    <row r="1232" spans="11:12">
      <c r="K1232" s="851"/>
      <c r="L1232" s="851"/>
    </row>
    <row r="1233" spans="11:12">
      <c r="K1233" s="851"/>
      <c r="L1233" s="851"/>
    </row>
    <row r="1234" spans="11:12">
      <c r="K1234" s="851"/>
      <c r="L1234" s="851"/>
    </row>
    <row r="1235" spans="11:12">
      <c r="K1235" s="851"/>
      <c r="L1235" s="851"/>
    </row>
    <row r="1236" spans="11:12">
      <c r="K1236" s="851"/>
      <c r="L1236" s="851"/>
    </row>
    <row r="1237" spans="11:12">
      <c r="K1237" s="851"/>
      <c r="L1237" s="851"/>
    </row>
    <row r="1238" spans="11:12">
      <c r="K1238" s="851"/>
      <c r="L1238" s="851"/>
    </row>
    <row r="1239" spans="11:12">
      <c r="K1239" s="851"/>
      <c r="L1239" s="851"/>
    </row>
    <row r="1240" spans="11:12">
      <c r="K1240" s="851"/>
      <c r="L1240" s="851"/>
    </row>
    <row r="1241" spans="11:12">
      <c r="K1241" s="851"/>
      <c r="L1241" s="851"/>
    </row>
    <row r="1242" spans="11:12">
      <c r="K1242" s="851"/>
      <c r="L1242" s="851"/>
    </row>
    <row r="1243" spans="11:12">
      <c r="K1243" s="851"/>
      <c r="L1243" s="851"/>
    </row>
    <row r="1244" spans="11:12">
      <c r="K1244" s="851"/>
      <c r="L1244" s="851"/>
    </row>
    <row r="1245" spans="11:12">
      <c r="K1245" s="851"/>
      <c r="L1245" s="851"/>
    </row>
    <row r="1246" spans="11:12">
      <c r="K1246" s="851"/>
      <c r="L1246" s="851"/>
    </row>
    <row r="1247" spans="11:12">
      <c r="K1247" s="851"/>
      <c r="L1247" s="851"/>
    </row>
    <row r="1248" spans="11:12">
      <c r="K1248" s="851"/>
      <c r="L1248" s="851"/>
    </row>
    <row r="1249" spans="11:12">
      <c r="K1249" s="851"/>
      <c r="L1249" s="851"/>
    </row>
    <row r="1250" spans="11:12">
      <c r="K1250" s="851"/>
      <c r="L1250" s="851"/>
    </row>
    <row r="1251" spans="11:12">
      <c r="K1251" s="851"/>
      <c r="L1251" s="851"/>
    </row>
    <row r="1252" spans="11:12">
      <c r="K1252" s="851"/>
      <c r="L1252" s="851"/>
    </row>
    <row r="1253" spans="11:12">
      <c r="K1253" s="851"/>
      <c r="L1253" s="851"/>
    </row>
    <row r="1254" spans="11:12">
      <c r="K1254" s="851"/>
      <c r="L1254" s="851"/>
    </row>
    <row r="1255" spans="11:12">
      <c r="K1255" s="851"/>
      <c r="L1255" s="851"/>
    </row>
    <row r="1256" spans="11:12">
      <c r="K1256" s="851"/>
      <c r="L1256" s="851"/>
    </row>
    <row r="1257" spans="11:12">
      <c r="K1257" s="851"/>
      <c r="L1257" s="851"/>
    </row>
    <row r="1258" spans="11:12">
      <c r="K1258" s="851"/>
      <c r="L1258" s="851"/>
    </row>
    <row r="1259" spans="11:12">
      <c r="K1259" s="851"/>
      <c r="L1259" s="851"/>
    </row>
    <row r="1260" spans="11:12">
      <c r="K1260" s="851"/>
      <c r="L1260" s="851"/>
    </row>
    <row r="1261" spans="11:12">
      <c r="K1261" s="851"/>
      <c r="L1261" s="851"/>
    </row>
    <row r="1262" spans="11:12">
      <c r="K1262" s="851"/>
      <c r="L1262" s="851"/>
    </row>
    <row r="1263" spans="11:12">
      <c r="K1263" s="851"/>
      <c r="L1263" s="851"/>
    </row>
    <row r="1264" spans="11:12">
      <c r="K1264" s="851"/>
      <c r="L1264" s="851"/>
    </row>
    <row r="1265" spans="11:12">
      <c r="K1265" s="851"/>
      <c r="L1265" s="851"/>
    </row>
    <row r="1266" spans="11:12">
      <c r="K1266" s="851"/>
      <c r="L1266" s="851"/>
    </row>
    <row r="1267" spans="11:12">
      <c r="K1267" s="851"/>
      <c r="L1267" s="851"/>
    </row>
    <row r="1268" spans="11:12">
      <c r="K1268" s="851"/>
      <c r="L1268" s="851"/>
    </row>
    <row r="1269" spans="11:12">
      <c r="K1269" s="851"/>
      <c r="L1269" s="851"/>
    </row>
    <row r="1270" spans="11:12">
      <c r="K1270" s="851"/>
      <c r="L1270" s="851"/>
    </row>
    <row r="1271" spans="11:12">
      <c r="K1271" s="851"/>
      <c r="L1271" s="851"/>
    </row>
    <row r="1272" spans="11:12">
      <c r="K1272" s="851"/>
      <c r="L1272" s="851"/>
    </row>
    <row r="1273" spans="11:12">
      <c r="K1273" s="851"/>
      <c r="L1273" s="851"/>
    </row>
    <row r="1274" spans="11:12">
      <c r="K1274" s="851"/>
      <c r="L1274" s="851"/>
    </row>
    <row r="1275" spans="11:12">
      <c r="K1275" s="851"/>
      <c r="L1275" s="851"/>
    </row>
    <row r="1276" spans="11:12">
      <c r="K1276" s="851"/>
      <c r="L1276" s="851"/>
    </row>
    <row r="1277" spans="11:12">
      <c r="K1277" s="851"/>
      <c r="L1277" s="851"/>
    </row>
    <row r="1278" spans="11:12">
      <c r="K1278" s="851"/>
      <c r="L1278" s="851"/>
    </row>
    <row r="1279" spans="11:12">
      <c r="K1279" s="851"/>
      <c r="L1279" s="851"/>
    </row>
    <row r="1280" spans="11:12">
      <c r="K1280" s="851"/>
      <c r="L1280" s="851"/>
    </row>
    <row r="1281" spans="11:12">
      <c r="K1281" s="851"/>
      <c r="L1281" s="851"/>
    </row>
    <row r="1282" spans="11:12">
      <c r="K1282" s="851"/>
      <c r="L1282" s="851"/>
    </row>
    <row r="1283" spans="11:12">
      <c r="K1283" s="851"/>
      <c r="L1283" s="851"/>
    </row>
    <row r="1284" spans="11:12">
      <c r="K1284" s="851"/>
      <c r="L1284" s="851"/>
    </row>
    <row r="1285" spans="11:12">
      <c r="K1285" s="851"/>
      <c r="L1285" s="851"/>
    </row>
    <row r="1286" spans="11:12">
      <c r="K1286" s="851"/>
      <c r="L1286" s="851"/>
    </row>
    <row r="1287" spans="11:12">
      <c r="K1287" s="851"/>
      <c r="L1287" s="851"/>
    </row>
    <row r="1288" spans="11:12">
      <c r="K1288" s="851"/>
      <c r="L1288" s="851"/>
    </row>
    <row r="1289" spans="11:12">
      <c r="K1289" s="851"/>
      <c r="L1289" s="851"/>
    </row>
    <row r="1290" spans="11:12">
      <c r="K1290" s="851"/>
      <c r="L1290" s="851"/>
    </row>
    <row r="1291" spans="11:12">
      <c r="K1291" s="851"/>
      <c r="L1291" s="851"/>
    </row>
    <row r="1292" spans="11:12">
      <c r="K1292" s="851"/>
      <c r="L1292" s="851"/>
    </row>
    <row r="1293" spans="11:12">
      <c r="K1293" s="851"/>
      <c r="L1293" s="851"/>
    </row>
    <row r="1294" spans="11:12">
      <c r="K1294" s="851"/>
      <c r="L1294" s="851"/>
    </row>
    <row r="1295" spans="11:12">
      <c r="K1295" s="851"/>
      <c r="L1295" s="851"/>
    </row>
    <row r="1296" spans="11:12">
      <c r="K1296" s="851"/>
      <c r="L1296" s="851"/>
    </row>
    <row r="1297" spans="11:12">
      <c r="K1297" s="851"/>
      <c r="L1297" s="851"/>
    </row>
    <row r="1298" spans="11:12">
      <c r="K1298" s="851"/>
      <c r="L1298" s="851"/>
    </row>
    <row r="1299" spans="11:12">
      <c r="K1299" s="851"/>
      <c r="L1299" s="851"/>
    </row>
    <row r="1300" spans="11:12">
      <c r="K1300" s="851"/>
      <c r="L1300" s="851"/>
    </row>
    <row r="1301" spans="11:12">
      <c r="K1301" s="851"/>
      <c r="L1301" s="851"/>
    </row>
    <row r="1302" spans="11:12">
      <c r="K1302" s="851"/>
      <c r="L1302" s="851"/>
    </row>
    <row r="1303" spans="11:12">
      <c r="K1303" s="851"/>
      <c r="L1303" s="851"/>
    </row>
    <row r="1304" spans="11:12">
      <c r="K1304" s="851"/>
      <c r="L1304" s="851"/>
    </row>
    <row r="1305" spans="11:12">
      <c r="K1305" s="851"/>
      <c r="L1305" s="851"/>
    </row>
    <row r="1306" spans="11:12">
      <c r="K1306" s="851"/>
      <c r="L1306" s="851"/>
    </row>
    <row r="1307" spans="11:12">
      <c r="K1307" s="851"/>
      <c r="L1307" s="851"/>
    </row>
    <row r="1308" spans="11:12">
      <c r="K1308" s="851"/>
      <c r="L1308" s="851"/>
    </row>
    <row r="1309" spans="11:12">
      <c r="K1309" s="851"/>
      <c r="L1309" s="851"/>
    </row>
    <row r="1310" spans="11:12">
      <c r="K1310" s="851"/>
      <c r="L1310" s="851"/>
    </row>
    <row r="1311" spans="11:12">
      <c r="K1311" s="851"/>
      <c r="L1311" s="851"/>
    </row>
    <row r="1312" spans="11:12">
      <c r="K1312" s="851"/>
      <c r="L1312" s="851"/>
    </row>
    <row r="1313" spans="11:12">
      <c r="K1313" s="851"/>
      <c r="L1313" s="851"/>
    </row>
    <row r="1314" spans="11:12">
      <c r="K1314" s="851"/>
      <c r="L1314" s="851"/>
    </row>
    <row r="1315" spans="11:12">
      <c r="K1315" s="851"/>
      <c r="L1315" s="851"/>
    </row>
    <row r="1316" spans="11:12">
      <c r="K1316" s="851"/>
      <c r="L1316" s="851"/>
    </row>
    <row r="1317" spans="11:12">
      <c r="K1317" s="851"/>
      <c r="L1317" s="851"/>
    </row>
    <row r="1318" spans="11:12">
      <c r="K1318" s="851"/>
      <c r="L1318" s="851"/>
    </row>
    <row r="1319" spans="11:12">
      <c r="K1319" s="851"/>
      <c r="L1319" s="851"/>
    </row>
    <row r="1320" spans="11:12">
      <c r="K1320" s="851"/>
      <c r="L1320" s="851"/>
    </row>
    <row r="1321" spans="11:12">
      <c r="K1321" s="851"/>
      <c r="L1321" s="851"/>
    </row>
    <row r="1322" spans="11:12">
      <c r="K1322" s="851"/>
      <c r="L1322" s="851"/>
    </row>
    <row r="1323" spans="11:12">
      <c r="K1323" s="851"/>
      <c r="L1323" s="851"/>
    </row>
    <row r="1324" spans="11:12">
      <c r="K1324" s="851"/>
      <c r="L1324" s="851"/>
    </row>
    <row r="1325" spans="11:12">
      <c r="K1325" s="851"/>
      <c r="L1325" s="851"/>
    </row>
    <row r="1326" spans="11:12">
      <c r="K1326" s="851"/>
      <c r="L1326" s="851"/>
    </row>
    <row r="1327" spans="11:12">
      <c r="K1327" s="851"/>
      <c r="L1327" s="851"/>
    </row>
    <row r="1328" spans="11:12">
      <c r="K1328" s="851"/>
      <c r="L1328" s="851"/>
    </row>
    <row r="1329" spans="11:12">
      <c r="K1329" s="851"/>
      <c r="L1329" s="851"/>
    </row>
    <row r="1330" spans="11:12">
      <c r="K1330" s="851"/>
      <c r="L1330" s="851"/>
    </row>
    <row r="1331" spans="11:12">
      <c r="K1331" s="851"/>
      <c r="L1331" s="851"/>
    </row>
    <row r="1332" spans="11:12">
      <c r="K1332" s="851"/>
      <c r="L1332" s="851"/>
    </row>
    <row r="1333" spans="11:12">
      <c r="K1333" s="851"/>
      <c r="L1333" s="851"/>
    </row>
    <row r="1334" spans="11:12">
      <c r="K1334" s="851"/>
      <c r="L1334" s="851"/>
    </row>
    <row r="1335" spans="11:12">
      <c r="K1335" s="851"/>
      <c r="L1335" s="851"/>
    </row>
    <row r="1336" spans="11:12">
      <c r="K1336" s="851"/>
      <c r="L1336" s="851"/>
    </row>
    <row r="1337" spans="11:12">
      <c r="K1337" s="851"/>
      <c r="L1337" s="851"/>
    </row>
    <row r="1338" spans="11:12">
      <c r="K1338" s="851"/>
      <c r="L1338" s="851"/>
    </row>
    <row r="1339" spans="11:12">
      <c r="K1339" s="851"/>
      <c r="L1339" s="851"/>
    </row>
    <row r="1340" spans="11:12">
      <c r="K1340" s="851"/>
      <c r="L1340" s="851"/>
    </row>
    <row r="1341" spans="11:12">
      <c r="K1341" s="851"/>
      <c r="L1341" s="851"/>
    </row>
    <row r="1342" spans="11:12">
      <c r="K1342" s="851"/>
      <c r="L1342" s="851"/>
    </row>
    <row r="1343" spans="11:12">
      <c r="K1343" s="851"/>
      <c r="L1343" s="851"/>
    </row>
    <row r="1344" spans="11:12">
      <c r="K1344" s="851"/>
      <c r="L1344" s="851"/>
    </row>
    <row r="1345" spans="11:12">
      <c r="K1345" s="851"/>
      <c r="L1345" s="851"/>
    </row>
    <row r="1346" spans="11:12">
      <c r="K1346" s="851"/>
      <c r="L1346" s="851"/>
    </row>
    <row r="1347" spans="11:12">
      <c r="K1347" s="851"/>
      <c r="L1347" s="851"/>
    </row>
    <row r="1348" spans="11:12">
      <c r="K1348" s="851"/>
      <c r="L1348" s="851"/>
    </row>
    <row r="1349" spans="11:12">
      <c r="K1349" s="851"/>
      <c r="L1349" s="851"/>
    </row>
    <row r="1350" spans="11:12">
      <c r="K1350" s="851"/>
      <c r="L1350" s="851"/>
    </row>
    <row r="1351" spans="11:12">
      <c r="K1351" s="851"/>
      <c r="L1351" s="851"/>
    </row>
    <row r="1352" spans="11:12">
      <c r="K1352" s="851"/>
      <c r="L1352" s="851"/>
    </row>
    <row r="1353" spans="11:12">
      <c r="K1353" s="851"/>
      <c r="L1353" s="851"/>
    </row>
    <row r="1354" spans="11:12">
      <c r="K1354" s="851"/>
      <c r="L1354" s="851"/>
    </row>
    <row r="1355" spans="11:12">
      <c r="K1355" s="851"/>
      <c r="L1355" s="851"/>
    </row>
    <row r="1356" spans="11:12">
      <c r="K1356" s="851"/>
      <c r="L1356" s="851"/>
    </row>
    <row r="1357" spans="11:12">
      <c r="K1357" s="851"/>
      <c r="L1357" s="851"/>
    </row>
    <row r="1358" spans="11:12">
      <c r="K1358" s="851"/>
      <c r="L1358" s="851"/>
    </row>
    <row r="1359" spans="11:12">
      <c r="K1359" s="851"/>
      <c r="L1359" s="851"/>
    </row>
    <row r="1360" spans="11:12">
      <c r="K1360" s="851"/>
      <c r="L1360" s="851"/>
    </row>
    <row r="1361" spans="11:12">
      <c r="K1361" s="851"/>
      <c r="L1361" s="851"/>
    </row>
    <row r="1362" spans="11:12">
      <c r="K1362" s="851"/>
      <c r="L1362" s="851"/>
    </row>
    <row r="1363" spans="11:12">
      <c r="K1363" s="851"/>
      <c r="L1363" s="851"/>
    </row>
    <row r="1364" spans="11:12">
      <c r="K1364" s="851"/>
      <c r="L1364" s="851"/>
    </row>
    <row r="1365" spans="11:12">
      <c r="K1365" s="851"/>
      <c r="L1365" s="851"/>
    </row>
    <row r="1366" spans="11:12">
      <c r="K1366" s="851"/>
      <c r="L1366" s="851"/>
    </row>
    <row r="1367" spans="11:12">
      <c r="K1367" s="851"/>
      <c r="L1367" s="851"/>
    </row>
    <row r="1368" spans="11:12">
      <c r="K1368" s="851"/>
      <c r="L1368" s="851"/>
    </row>
    <row r="1369" spans="11:12">
      <c r="K1369" s="851"/>
      <c r="L1369" s="851"/>
    </row>
    <row r="1370" spans="11:12">
      <c r="K1370" s="851"/>
      <c r="L1370" s="851"/>
    </row>
    <row r="1371" spans="11:12">
      <c r="K1371" s="851"/>
      <c r="L1371" s="851"/>
    </row>
    <row r="1372" spans="11:12">
      <c r="K1372" s="851"/>
      <c r="L1372" s="851"/>
    </row>
    <row r="1373" spans="11:12">
      <c r="K1373" s="851"/>
      <c r="L1373" s="851"/>
    </row>
    <row r="1374" spans="11:12">
      <c r="K1374" s="851"/>
      <c r="L1374" s="851"/>
    </row>
    <row r="1375" spans="11:12">
      <c r="K1375" s="851"/>
      <c r="L1375" s="851"/>
    </row>
    <row r="1376" spans="11:12">
      <c r="K1376" s="851"/>
      <c r="L1376" s="851"/>
    </row>
    <row r="1377" spans="11:12">
      <c r="K1377" s="851"/>
      <c r="L1377" s="851"/>
    </row>
    <row r="1378" spans="11:12">
      <c r="K1378" s="851"/>
      <c r="L1378" s="851"/>
    </row>
    <row r="1379" spans="11:12">
      <c r="K1379" s="851"/>
      <c r="L1379" s="851"/>
    </row>
    <row r="1380" spans="11:12">
      <c r="K1380" s="851"/>
      <c r="L1380" s="851"/>
    </row>
    <row r="1381" spans="11:12">
      <c r="K1381" s="851"/>
      <c r="L1381" s="851"/>
    </row>
    <row r="1382" spans="11:12">
      <c r="K1382" s="851"/>
      <c r="L1382" s="851"/>
    </row>
    <row r="1383" spans="11:12">
      <c r="K1383" s="851"/>
      <c r="L1383" s="851"/>
    </row>
    <row r="1384" spans="11:12">
      <c r="K1384" s="851"/>
      <c r="L1384" s="851"/>
    </row>
    <row r="1385" spans="11:12">
      <c r="K1385" s="851"/>
      <c r="L1385" s="851"/>
    </row>
    <row r="1386" spans="11:12">
      <c r="K1386" s="851"/>
      <c r="L1386" s="851"/>
    </row>
    <row r="1387" spans="11:12">
      <c r="K1387" s="851"/>
      <c r="L1387" s="851"/>
    </row>
    <row r="1388" spans="11:12">
      <c r="K1388" s="851"/>
      <c r="L1388" s="851"/>
    </row>
    <row r="1389" spans="11:12">
      <c r="K1389" s="851"/>
      <c r="L1389" s="851"/>
    </row>
    <row r="1390" spans="11:12">
      <c r="K1390" s="851"/>
      <c r="L1390" s="851"/>
    </row>
    <row r="1391" spans="11:12">
      <c r="K1391" s="851"/>
      <c r="L1391" s="851"/>
    </row>
    <row r="1392" spans="11:12">
      <c r="K1392" s="851"/>
      <c r="L1392" s="851"/>
    </row>
    <row r="1393" spans="11:12">
      <c r="K1393" s="851"/>
      <c r="L1393" s="851"/>
    </row>
    <row r="1394" spans="11:12">
      <c r="K1394" s="851"/>
      <c r="L1394" s="851"/>
    </row>
    <row r="1395" spans="11:12">
      <c r="K1395" s="851"/>
      <c r="L1395" s="851"/>
    </row>
    <row r="1396" spans="11:12">
      <c r="K1396" s="851"/>
      <c r="L1396" s="851"/>
    </row>
    <row r="1397" spans="11:12">
      <c r="K1397" s="851"/>
      <c r="L1397" s="851"/>
    </row>
    <row r="1398" spans="11:12">
      <c r="K1398" s="851"/>
      <c r="L1398" s="851"/>
    </row>
    <row r="1399" spans="11:12">
      <c r="K1399" s="851"/>
      <c r="L1399" s="851"/>
    </row>
    <row r="1400" spans="11:12">
      <c r="K1400" s="851"/>
      <c r="L1400" s="851"/>
    </row>
    <row r="1401" spans="11:12">
      <c r="K1401" s="851"/>
      <c r="L1401" s="851"/>
    </row>
    <row r="1402" spans="11:12">
      <c r="K1402" s="851"/>
      <c r="L1402" s="851"/>
    </row>
    <row r="1403" spans="11:12">
      <c r="K1403" s="851"/>
      <c r="L1403" s="851"/>
    </row>
    <row r="1404" spans="11:12">
      <c r="K1404" s="851"/>
      <c r="L1404" s="851"/>
    </row>
    <row r="1405" spans="11:12">
      <c r="K1405" s="851"/>
      <c r="L1405" s="851"/>
    </row>
    <row r="1406" spans="11:12">
      <c r="K1406" s="851"/>
      <c r="L1406" s="851"/>
    </row>
    <row r="1407" spans="11:12">
      <c r="K1407" s="851"/>
      <c r="L1407" s="851"/>
    </row>
    <row r="1408" spans="11:12">
      <c r="K1408" s="851"/>
      <c r="L1408" s="851"/>
    </row>
    <row r="1409" spans="11:12">
      <c r="K1409" s="851"/>
      <c r="L1409" s="851"/>
    </row>
    <row r="1410" spans="11:12">
      <c r="K1410" s="851"/>
      <c r="L1410" s="851"/>
    </row>
    <row r="1411" spans="11:12">
      <c r="K1411" s="851"/>
      <c r="L1411" s="851"/>
    </row>
    <row r="1412" spans="11:12">
      <c r="K1412" s="851"/>
      <c r="L1412" s="851"/>
    </row>
    <row r="1413" spans="11:12">
      <c r="K1413" s="851"/>
      <c r="L1413" s="851"/>
    </row>
    <row r="1414" spans="11:12">
      <c r="K1414" s="851"/>
      <c r="L1414" s="851"/>
    </row>
    <row r="1415" spans="11:12">
      <c r="K1415" s="851"/>
      <c r="L1415" s="851"/>
    </row>
    <row r="1416" spans="11:12">
      <c r="K1416" s="851"/>
      <c r="L1416" s="851"/>
    </row>
    <row r="1417" spans="11:12">
      <c r="K1417" s="851"/>
      <c r="L1417" s="851"/>
    </row>
    <row r="1418" spans="11:12">
      <c r="K1418" s="851"/>
      <c r="L1418" s="851"/>
    </row>
    <row r="1419" spans="11:12">
      <c r="K1419" s="851"/>
      <c r="L1419" s="851"/>
    </row>
    <row r="1420" spans="11:12">
      <c r="K1420" s="851"/>
      <c r="L1420" s="851"/>
    </row>
    <row r="1421" spans="11:12">
      <c r="K1421" s="851"/>
      <c r="L1421" s="851"/>
    </row>
    <row r="1422" spans="11:12">
      <c r="K1422" s="851"/>
      <c r="L1422" s="851"/>
    </row>
    <row r="1423" spans="11:12">
      <c r="K1423" s="851"/>
      <c r="L1423" s="851"/>
    </row>
    <row r="1424" spans="11:12">
      <c r="K1424" s="851"/>
      <c r="L1424" s="851"/>
    </row>
    <row r="1425" spans="11:12">
      <c r="K1425" s="851"/>
      <c r="L1425" s="851"/>
    </row>
    <row r="1426" spans="11:12">
      <c r="K1426" s="851"/>
      <c r="L1426" s="851"/>
    </row>
    <row r="1427" spans="11:12">
      <c r="K1427" s="851"/>
      <c r="L1427" s="851"/>
    </row>
    <row r="1428" spans="11:12">
      <c r="K1428" s="851"/>
      <c r="L1428" s="851"/>
    </row>
    <row r="1429" spans="11:12">
      <c r="K1429" s="851"/>
      <c r="L1429" s="851"/>
    </row>
    <row r="1430" spans="11:12">
      <c r="K1430" s="851"/>
      <c r="L1430" s="851"/>
    </row>
    <row r="1431" spans="11:12">
      <c r="K1431" s="851"/>
      <c r="L1431" s="851"/>
    </row>
    <row r="1432" spans="11:12">
      <c r="K1432" s="851"/>
      <c r="L1432" s="851"/>
    </row>
    <row r="1433" spans="11:12">
      <c r="K1433" s="851"/>
      <c r="L1433" s="851"/>
    </row>
    <row r="1434" spans="11:12">
      <c r="K1434" s="851"/>
      <c r="L1434" s="851"/>
    </row>
    <row r="1435" spans="11:12">
      <c r="K1435" s="851"/>
      <c r="L1435" s="851"/>
    </row>
    <row r="1436" spans="11:12">
      <c r="K1436" s="851"/>
      <c r="L1436" s="851"/>
    </row>
    <row r="1437" spans="11:12">
      <c r="K1437" s="851"/>
      <c r="L1437" s="851"/>
    </row>
    <row r="1438" spans="11:12">
      <c r="K1438" s="851"/>
      <c r="L1438" s="851"/>
    </row>
    <row r="1439" spans="11:12">
      <c r="K1439" s="851"/>
      <c r="L1439" s="851"/>
    </row>
    <row r="1440" spans="11:12">
      <c r="K1440" s="851"/>
      <c r="L1440" s="851"/>
    </row>
    <row r="1441" spans="11:12">
      <c r="K1441" s="851"/>
      <c r="L1441" s="851"/>
    </row>
    <row r="1442" spans="11:12">
      <c r="K1442" s="851"/>
      <c r="L1442" s="851"/>
    </row>
    <row r="1443" spans="11:12">
      <c r="K1443" s="851"/>
      <c r="L1443" s="851"/>
    </row>
    <row r="1444" spans="11:12">
      <c r="K1444" s="851"/>
      <c r="L1444" s="851"/>
    </row>
    <row r="1445" spans="11:12">
      <c r="K1445" s="851"/>
      <c r="L1445" s="851"/>
    </row>
    <row r="1446" spans="11:12">
      <c r="K1446" s="851"/>
      <c r="L1446" s="851"/>
    </row>
    <row r="1447" spans="11:12">
      <c r="K1447" s="851"/>
      <c r="L1447" s="851"/>
    </row>
    <row r="1448" spans="11:12">
      <c r="K1448" s="851"/>
      <c r="L1448" s="851"/>
    </row>
    <row r="1449" spans="11:12">
      <c r="K1449" s="851"/>
      <c r="L1449" s="851"/>
    </row>
    <row r="1450" spans="11:12">
      <c r="K1450" s="851"/>
      <c r="L1450" s="851"/>
    </row>
    <row r="1451" spans="11:12">
      <c r="K1451" s="851"/>
      <c r="L1451" s="851"/>
    </row>
    <row r="1452" spans="11:12">
      <c r="K1452" s="851"/>
      <c r="L1452" s="851"/>
    </row>
    <row r="1453" spans="11:12">
      <c r="K1453" s="851"/>
      <c r="L1453" s="851"/>
    </row>
    <row r="1454" spans="11:12">
      <c r="K1454" s="851"/>
      <c r="L1454" s="851"/>
    </row>
    <row r="1455" spans="11:12">
      <c r="K1455" s="851"/>
      <c r="L1455" s="851"/>
    </row>
    <row r="1456" spans="11:12">
      <c r="K1456" s="851"/>
      <c r="L1456" s="851"/>
    </row>
    <row r="1457" spans="11:12">
      <c r="K1457" s="851"/>
      <c r="L1457" s="851"/>
    </row>
    <row r="1458" spans="11:12">
      <c r="K1458" s="851"/>
      <c r="L1458" s="851"/>
    </row>
    <row r="1459" spans="11:12">
      <c r="K1459" s="851"/>
      <c r="L1459" s="851"/>
    </row>
    <row r="1460" spans="11:12">
      <c r="K1460" s="851"/>
      <c r="L1460" s="851"/>
    </row>
    <row r="1461" spans="11:12">
      <c r="K1461" s="851"/>
      <c r="L1461" s="851"/>
    </row>
    <row r="1462" spans="11:12">
      <c r="K1462" s="851"/>
      <c r="L1462" s="851"/>
    </row>
    <row r="1463" spans="11:12">
      <c r="K1463" s="851"/>
      <c r="L1463" s="851"/>
    </row>
    <row r="1464" spans="11:12">
      <c r="K1464" s="851"/>
      <c r="L1464" s="851"/>
    </row>
    <row r="1465" spans="11:12">
      <c r="K1465" s="851"/>
      <c r="L1465" s="851"/>
    </row>
    <row r="1466" spans="11:12">
      <c r="K1466" s="851"/>
      <c r="L1466" s="851"/>
    </row>
    <row r="1467" spans="11:12">
      <c r="K1467" s="851"/>
      <c r="L1467" s="851"/>
    </row>
    <row r="1468" spans="11:12">
      <c r="K1468" s="851"/>
      <c r="L1468" s="851"/>
    </row>
    <row r="1469" spans="11:12">
      <c r="K1469" s="851"/>
      <c r="L1469" s="851"/>
    </row>
    <row r="1470" spans="11:12">
      <c r="K1470" s="851"/>
      <c r="L1470" s="851"/>
    </row>
    <row r="1471" spans="11:12">
      <c r="K1471" s="851"/>
      <c r="L1471" s="851"/>
    </row>
    <row r="1472" spans="11:12">
      <c r="K1472" s="851"/>
      <c r="L1472" s="851"/>
    </row>
    <row r="1473" spans="11:12">
      <c r="K1473" s="851"/>
      <c r="L1473" s="851"/>
    </row>
    <row r="1474" spans="11:12">
      <c r="K1474" s="851"/>
      <c r="L1474" s="851"/>
    </row>
    <row r="1475" spans="11:12">
      <c r="K1475" s="851"/>
      <c r="L1475" s="851"/>
    </row>
    <row r="1476" spans="11:12">
      <c r="K1476" s="851"/>
      <c r="L1476" s="851"/>
    </row>
    <row r="1477" spans="11:12">
      <c r="K1477" s="851"/>
      <c r="L1477" s="851"/>
    </row>
    <row r="1478" spans="11:12">
      <c r="K1478" s="851"/>
      <c r="L1478" s="851"/>
    </row>
    <row r="1479" spans="11:12">
      <c r="K1479" s="851"/>
      <c r="L1479" s="851"/>
    </row>
    <row r="1480" spans="11:12">
      <c r="K1480" s="851"/>
      <c r="L1480" s="851"/>
    </row>
    <row r="1481" spans="11:12">
      <c r="K1481" s="851"/>
      <c r="L1481" s="851"/>
    </row>
    <row r="1482" spans="11:12">
      <c r="K1482" s="851"/>
      <c r="L1482" s="851"/>
    </row>
    <row r="1483" spans="11:12">
      <c r="K1483" s="851"/>
      <c r="L1483" s="851"/>
    </row>
    <row r="1484" spans="11:12">
      <c r="K1484" s="851"/>
      <c r="L1484" s="851"/>
    </row>
    <row r="1485" spans="11:12">
      <c r="K1485" s="851"/>
      <c r="L1485" s="851"/>
    </row>
    <row r="1486" spans="11:12">
      <c r="K1486" s="851"/>
      <c r="L1486" s="851"/>
    </row>
    <row r="1487" spans="11:12">
      <c r="K1487" s="851"/>
      <c r="L1487" s="851"/>
    </row>
    <row r="1488" spans="11:12">
      <c r="K1488" s="851"/>
      <c r="L1488" s="851"/>
    </row>
    <row r="1489" spans="11:12">
      <c r="K1489" s="851"/>
      <c r="L1489" s="851"/>
    </row>
    <row r="1490" spans="11:12">
      <c r="K1490" s="851"/>
      <c r="L1490" s="851"/>
    </row>
    <row r="1491" spans="11:12">
      <c r="K1491" s="851"/>
      <c r="L1491" s="851"/>
    </row>
    <row r="1492" spans="11:12">
      <c r="K1492" s="851"/>
      <c r="L1492" s="851"/>
    </row>
    <row r="1493" spans="11:12">
      <c r="K1493" s="851"/>
      <c r="L1493" s="851"/>
    </row>
    <row r="1494" spans="11:12">
      <c r="K1494" s="851"/>
      <c r="L1494" s="851"/>
    </row>
    <row r="1495" spans="11:12">
      <c r="K1495" s="851"/>
      <c r="L1495" s="851"/>
    </row>
    <row r="1496" spans="11:12">
      <c r="K1496" s="851"/>
      <c r="L1496" s="851"/>
    </row>
    <row r="1497" spans="11:12">
      <c r="K1497" s="851"/>
      <c r="L1497" s="851"/>
    </row>
    <row r="1498" spans="11:12">
      <c r="K1498" s="851"/>
      <c r="L1498" s="851"/>
    </row>
    <row r="1499" spans="11:12">
      <c r="K1499" s="851"/>
      <c r="L1499" s="851"/>
    </row>
    <row r="1500" spans="11:12">
      <c r="K1500" s="851"/>
      <c r="L1500" s="851"/>
    </row>
    <row r="1501" spans="11:12">
      <c r="K1501" s="851"/>
      <c r="L1501" s="851"/>
    </row>
    <row r="1502" spans="11:12">
      <c r="K1502" s="851"/>
      <c r="L1502" s="851"/>
    </row>
    <row r="1503" spans="11:12">
      <c r="K1503" s="851"/>
      <c r="L1503" s="851"/>
    </row>
    <row r="1504" spans="11:12">
      <c r="K1504" s="851"/>
      <c r="L1504" s="851"/>
    </row>
    <row r="1505" spans="11:12">
      <c r="K1505" s="851"/>
      <c r="L1505" s="851"/>
    </row>
    <row r="1506" spans="11:12">
      <c r="K1506" s="851"/>
      <c r="L1506" s="851"/>
    </row>
    <row r="1507" spans="11:12">
      <c r="K1507" s="851"/>
      <c r="L1507" s="851"/>
    </row>
    <row r="1508" spans="11:12">
      <c r="K1508" s="851"/>
      <c r="L1508" s="851"/>
    </row>
    <row r="1509" spans="11:12">
      <c r="K1509" s="851"/>
      <c r="L1509" s="851"/>
    </row>
    <row r="1510" spans="11:12">
      <c r="K1510" s="851"/>
      <c r="L1510" s="851"/>
    </row>
    <row r="1511" spans="11:12">
      <c r="K1511" s="851"/>
      <c r="L1511" s="851"/>
    </row>
    <row r="1512" spans="11:12">
      <c r="K1512" s="851"/>
      <c r="L1512" s="851"/>
    </row>
    <row r="1513" spans="11:12">
      <c r="K1513" s="851"/>
      <c r="L1513" s="851"/>
    </row>
    <row r="1514" spans="11:12">
      <c r="K1514" s="851"/>
      <c r="L1514" s="851"/>
    </row>
    <row r="1515" spans="11:12">
      <c r="K1515" s="851"/>
      <c r="L1515" s="851"/>
    </row>
    <row r="1516" spans="11:12">
      <c r="K1516" s="851"/>
      <c r="L1516" s="851"/>
    </row>
    <row r="1517" spans="11:12">
      <c r="K1517" s="851"/>
      <c r="L1517" s="851"/>
    </row>
    <row r="1518" spans="11:12">
      <c r="K1518" s="851"/>
      <c r="L1518" s="851"/>
    </row>
    <row r="1519" spans="11:12">
      <c r="K1519" s="851"/>
      <c r="L1519" s="851"/>
    </row>
    <row r="1520" spans="11:12">
      <c r="K1520" s="851"/>
      <c r="L1520" s="851"/>
    </row>
    <row r="1521" spans="11:12">
      <c r="K1521" s="851"/>
      <c r="L1521" s="851"/>
    </row>
    <row r="1522" spans="11:12">
      <c r="K1522" s="851"/>
      <c r="L1522" s="851"/>
    </row>
    <row r="1523" spans="11:12">
      <c r="K1523" s="851"/>
      <c r="L1523" s="851"/>
    </row>
    <row r="1524" spans="11:12">
      <c r="K1524" s="851"/>
      <c r="L1524" s="851"/>
    </row>
    <row r="1525" spans="11:12">
      <c r="K1525" s="851"/>
      <c r="L1525" s="851"/>
    </row>
    <row r="1526" spans="11:12">
      <c r="K1526" s="851"/>
      <c r="L1526" s="851"/>
    </row>
    <row r="1527" spans="11:12">
      <c r="K1527" s="851"/>
      <c r="L1527" s="851"/>
    </row>
    <row r="1528" spans="11:12">
      <c r="K1528" s="851"/>
      <c r="L1528" s="851"/>
    </row>
    <row r="1529" spans="11:12">
      <c r="K1529" s="851"/>
      <c r="L1529" s="851"/>
    </row>
    <row r="1530" spans="11:12">
      <c r="K1530" s="851"/>
      <c r="L1530" s="851"/>
    </row>
    <row r="1531" spans="11:12">
      <c r="K1531" s="851"/>
      <c r="L1531" s="851"/>
    </row>
    <row r="1532" spans="11:12">
      <c r="K1532" s="851"/>
      <c r="L1532" s="851"/>
    </row>
    <row r="1533" spans="11:12">
      <c r="K1533" s="851"/>
      <c r="L1533" s="851"/>
    </row>
    <row r="1534" spans="11:12">
      <c r="K1534" s="851"/>
      <c r="L1534" s="851"/>
    </row>
    <row r="1535" spans="11:12">
      <c r="K1535" s="851"/>
      <c r="L1535" s="851"/>
    </row>
    <row r="1536" spans="11:12">
      <c r="K1536" s="851"/>
      <c r="L1536" s="851"/>
    </row>
    <row r="1537" spans="11:12">
      <c r="K1537" s="851"/>
      <c r="L1537" s="851"/>
    </row>
    <row r="1538" spans="11:12">
      <c r="K1538" s="851"/>
      <c r="L1538" s="851"/>
    </row>
    <row r="1539" spans="11:12">
      <c r="K1539" s="851"/>
      <c r="L1539" s="851"/>
    </row>
    <row r="1540" spans="11:12">
      <c r="K1540" s="851"/>
      <c r="L1540" s="851"/>
    </row>
    <row r="1541" spans="11:12">
      <c r="K1541" s="851"/>
      <c r="L1541" s="851"/>
    </row>
    <row r="1542" spans="11:12">
      <c r="K1542" s="851"/>
      <c r="L1542" s="851"/>
    </row>
    <row r="1543" spans="11:12">
      <c r="K1543" s="851"/>
      <c r="L1543" s="851"/>
    </row>
    <row r="1544" spans="11:12">
      <c r="K1544" s="851"/>
      <c r="L1544" s="851"/>
    </row>
    <row r="1545" spans="11:12">
      <c r="K1545" s="851"/>
      <c r="L1545" s="851"/>
    </row>
    <row r="1546" spans="11:12">
      <c r="K1546" s="851"/>
      <c r="L1546" s="851"/>
    </row>
    <row r="1547" spans="11:12">
      <c r="K1547" s="851"/>
      <c r="L1547" s="851"/>
    </row>
    <row r="1548" spans="11:12">
      <c r="K1548" s="851"/>
      <c r="L1548" s="851"/>
    </row>
    <row r="1549" spans="11:12">
      <c r="K1549" s="851"/>
      <c r="L1549" s="851"/>
    </row>
    <row r="1550" spans="11:12">
      <c r="K1550" s="851"/>
      <c r="L1550" s="851"/>
    </row>
    <row r="1551" spans="11:12">
      <c r="K1551" s="851"/>
      <c r="L1551" s="851"/>
    </row>
    <row r="1552" spans="11:12">
      <c r="K1552" s="851"/>
      <c r="L1552" s="851"/>
    </row>
    <row r="1553" spans="11:12">
      <c r="K1553" s="851"/>
      <c r="L1553" s="851"/>
    </row>
    <row r="1554" spans="11:12">
      <c r="K1554" s="851"/>
      <c r="L1554" s="851"/>
    </row>
    <row r="1555" spans="11:12">
      <c r="K1555" s="851"/>
      <c r="L1555" s="851"/>
    </row>
    <row r="1556" spans="11:12">
      <c r="K1556" s="851"/>
      <c r="L1556" s="851"/>
    </row>
    <row r="1557" spans="11:12">
      <c r="K1557" s="851"/>
      <c r="L1557" s="851"/>
    </row>
    <row r="1558" spans="11:12">
      <c r="K1558" s="851"/>
      <c r="L1558" s="851"/>
    </row>
    <row r="1559" spans="11:12">
      <c r="K1559" s="851"/>
      <c r="L1559" s="851"/>
    </row>
    <row r="1560" spans="11:12">
      <c r="K1560" s="851"/>
      <c r="L1560" s="851"/>
    </row>
    <row r="1561" spans="11:12">
      <c r="K1561" s="851"/>
      <c r="L1561" s="851"/>
    </row>
    <row r="1562" spans="11:12">
      <c r="K1562" s="851"/>
      <c r="L1562" s="851"/>
    </row>
    <row r="1563" spans="11:12">
      <c r="K1563" s="851"/>
      <c r="L1563" s="851"/>
    </row>
    <row r="1564" spans="11:12">
      <c r="K1564" s="851"/>
      <c r="L1564" s="851"/>
    </row>
    <row r="1565" spans="11:12">
      <c r="K1565" s="851"/>
      <c r="L1565" s="851"/>
    </row>
    <row r="1566" spans="11:12">
      <c r="K1566" s="851"/>
      <c r="L1566" s="851"/>
    </row>
    <row r="1567" spans="11:12">
      <c r="K1567" s="851"/>
      <c r="L1567" s="851"/>
    </row>
    <row r="1568" spans="11:12">
      <c r="K1568" s="851"/>
      <c r="L1568" s="851"/>
    </row>
    <row r="1569" spans="11:12">
      <c r="K1569" s="851"/>
      <c r="L1569" s="851"/>
    </row>
    <row r="1570" spans="11:12">
      <c r="K1570" s="851"/>
      <c r="L1570" s="851"/>
    </row>
    <row r="1571" spans="11:12">
      <c r="K1571" s="851"/>
      <c r="L1571" s="851"/>
    </row>
    <row r="1572" spans="11:12">
      <c r="K1572" s="851"/>
      <c r="L1572" s="851"/>
    </row>
    <row r="1573" spans="11:12">
      <c r="K1573" s="851"/>
      <c r="L1573" s="851"/>
    </row>
    <row r="1574" spans="11:12">
      <c r="K1574" s="851"/>
      <c r="L1574" s="851"/>
    </row>
    <row r="1575" spans="11:12">
      <c r="K1575" s="851"/>
      <c r="L1575" s="851"/>
    </row>
    <row r="1576" spans="11:12">
      <c r="K1576" s="851"/>
      <c r="L1576" s="851"/>
    </row>
    <row r="1577" spans="11:12">
      <c r="K1577" s="851"/>
      <c r="L1577" s="851"/>
    </row>
    <row r="1578" spans="11:12">
      <c r="K1578" s="851"/>
      <c r="L1578" s="851"/>
    </row>
    <row r="1579" spans="11:12">
      <c r="K1579" s="851"/>
      <c r="L1579" s="851"/>
    </row>
    <row r="1580" spans="11:12">
      <c r="K1580" s="851"/>
      <c r="L1580" s="851"/>
    </row>
    <row r="1581" spans="11:12">
      <c r="K1581" s="851"/>
      <c r="L1581" s="851"/>
    </row>
    <row r="1582" spans="11:12">
      <c r="K1582" s="851"/>
      <c r="L1582" s="851"/>
    </row>
    <row r="1583" spans="11:12">
      <c r="K1583" s="851"/>
      <c r="L1583" s="851"/>
    </row>
    <row r="1584" spans="11:12">
      <c r="K1584" s="851"/>
      <c r="L1584" s="851"/>
    </row>
    <row r="1585" spans="11:12">
      <c r="K1585" s="851"/>
      <c r="L1585" s="851"/>
    </row>
    <row r="1586" spans="11:12">
      <c r="K1586" s="851"/>
      <c r="L1586" s="851"/>
    </row>
    <row r="1587" spans="11:12">
      <c r="K1587" s="851"/>
      <c r="L1587" s="851"/>
    </row>
    <row r="1588" spans="11:12">
      <c r="K1588" s="851"/>
      <c r="L1588" s="851"/>
    </row>
    <row r="1589" spans="11:12">
      <c r="K1589" s="851"/>
      <c r="L1589" s="851"/>
    </row>
    <row r="1590" spans="11:12">
      <c r="K1590" s="851"/>
      <c r="L1590" s="851"/>
    </row>
    <row r="1591" spans="11:12">
      <c r="K1591" s="851"/>
      <c r="L1591" s="851"/>
    </row>
    <row r="1592" spans="11:12">
      <c r="K1592" s="851"/>
      <c r="L1592" s="851"/>
    </row>
    <row r="1593" spans="11:12">
      <c r="K1593" s="851"/>
      <c r="L1593" s="851"/>
    </row>
    <row r="1594" spans="11:12">
      <c r="K1594" s="851"/>
      <c r="L1594" s="851"/>
    </row>
    <row r="1595" spans="11:12">
      <c r="K1595" s="851"/>
      <c r="L1595" s="851"/>
    </row>
    <row r="1596" spans="11:12">
      <c r="K1596" s="851"/>
      <c r="L1596" s="851"/>
    </row>
    <row r="1597" spans="11:12">
      <c r="K1597" s="851"/>
      <c r="L1597" s="851"/>
    </row>
    <row r="1598" spans="11:12">
      <c r="K1598" s="851"/>
      <c r="L1598" s="851"/>
    </row>
    <row r="1599" spans="11:12">
      <c r="K1599" s="851"/>
      <c r="L1599" s="851"/>
    </row>
    <row r="1600" spans="11:12">
      <c r="K1600" s="851"/>
      <c r="L1600" s="851"/>
    </row>
    <row r="1601" spans="11:12">
      <c r="K1601" s="851"/>
      <c r="L1601" s="851"/>
    </row>
    <row r="1602" spans="11:12">
      <c r="K1602" s="851"/>
      <c r="L1602" s="851"/>
    </row>
    <row r="1603" spans="11:12">
      <c r="K1603" s="851"/>
      <c r="L1603" s="851"/>
    </row>
    <row r="1604" spans="11:12">
      <c r="K1604" s="851"/>
      <c r="L1604" s="851"/>
    </row>
    <row r="1605" spans="11:12">
      <c r="K1605" s="851"/>
      <c r="L1605" s="851"/>
    </row>
    <row r="1606" spans="11:12">
      <c r="K1606" s="851"/>
      <c r="L1606" s="851"/>
    </row>
    <row r="1607" spans="11:12">
      <c r="K1607" s="851"/>
      <c r="L1607" s="851"/>
    </row>
    <row r="1608" spans="11:12">
      <c r="K1608" s="851"/>
      <c r="L1608" s="851"/>
    </row>
    <row r="1609" spans="11:12">
      <c r="K1609" s="851"/>
      <c r="L1609" s="851"/>
    </row>
    <row r="1610" spans="11:12">
      <c r="K1610" s="851"/>
      <c r="L1610" s="851"/>
    </row>
    <row r="1611" spans="11:12">
      <c r="K1611" s="851"/>
      <c r="L1611" s="851"/>
    </row>
    <row r="1612" spans="11:12">
      <c r="K1612" s="851"/>
      <c r="L1612" s="851"/>
    </row>
    <row r="1613" spans="11:12">
      <c r="K1613" s="851"/>
      <c r="L1613" s="851"/>
    </row>
    <row r="1614" spans="11:12">
      <c r="K1614" s="851"/>
      <c r="L1614" s="851"/>
    </row>
    <row r="1615" spans="11:12">
      <c r="K1615" s="851"/>
      <c r="L1615" s="851"/>
    </row>
    <row r="1616" spans="11:12">
      <c r="K1616" s="851"/>
      <c r="L1616" s="851"/>
    </row>
    <row r="1617" spans="11:12">
      <c r="K1617" s="851"/>
      <c r="L1617" s="851"/>
    </row>
    <row r="1618" spans="11:12">
      <c r="K1618" s="851"/>
      <c r="L1618" s="851"/>
    </row>
    <row r="1619" spans="11:12">
      <c r="K1619" s="851"/>
      <c r="L1619" s="851"/>
    </row>
    <row r="1620" spans="11:12">
      <c r="K1620" s="851"/>
      <c r="L1620" s="851"/>
    </row>
    <row r="1621" spans="11:12">
      <c r="K1621" s="851"/>
      <c r="L1621" s="851"/>
    </row>
    <row r="1622" spans="11:12">
      <c r="K1622" s="851"/>
      <c r="L1622" s="851"/>
    </row>
    <row r="1623" spans="11:12">
      <c r="K1623" s="851"/>
      <c r="L1623" s="851"/>
    </row>
    <row r="1624" spans="11:12">
      <c r="K1624" s="851"/>
      <c r="L1624" s="851"/>
    </row>
    <row r="1625" spans="11:12">
      <c r="K1625" s="851"/>
      <c r="L1625" s="851"/>
    </row>
    <row r="1626" spans="11:12">
      <c r="K1626" s="851"/>
      <c r="L1626" s="851"/>
    </row>
    <row r="1627" spans="11:12">
      <c r="K1627" s="851"/>
      <c r="L1627" s="851"/>
    </row>
    <row r="1628" spans="11:12">
      <c r="K1628" s="851"/>
      <c r="L1628" s="851"/>
    </row>
    <row r="1629" spans="11:12">
      <c r="K1629" s="851"/>
      <c r="L1629" s="851"/>
    </row>
    <row r="1630" spans="11:12">
      <c r="K1630" s="851"/>
      <c r="L1630" s="851"/>
    </row>
    <row r="1631" spans="11:12">
      <c r="K1631" s="851"/>
      <c r="L1631" s="851"/>
    </row>
    <row r="1632" spans="11:12">
      <c r="K1632" s="851"/>
      <c r="L1632" s="851"/>
    </row>
    <row r="1633" spans="11:12">
      <c r="K1633" s="851"/>
      <c r="L1633" s="851"/>
    </row>
    <row r="1634" spans="11:12">
      <c r="K1634" s="851"/>
      <c r="L1634" s="851"/>
    </row>
    <row r="1635" spans="11:12">
      <c r="K1635" s="851"/>
      <c r="L1635" s="851"/>
    </row>
    <row r="1636" spans="11:12">
      <c r="K1636" s="851"/>
      <c r="L1636" s="851"/>
    </row>
    <row r="1637" spans="11:12">
      <c r="K1637" s="851"/>
      <c r="L1637" s="851"/>
    </row>
    <row r="1638" spans="11:12">
      <c r="K1638" s="851"/>
      <c r="L1638" s="851"/>
    </row>
    <row r="1639" spans="11:12">
      <c r="K1639" s="851"/>
      <c r="L1639" s="851"/>
    </row>
    <row r="1640" spans="11:12">
      <c r="K1640" s="851"/>
      <c r="L1640" s="851"/>
    </row>
    <row r="1641" spans="11:12">
      <c r="K1641" s="851"/>
      <c r="L1641" s="851"/>
    </row>
    <row r="1642" spans="11:12">
      <c r="K1642" s="851"/>
      <c r="L1642" s="851"/>
    </row>
    <row r="1643" spans="11:12">
      <c r="K1643" s="851"/>
      <c r="L1643" s="851"/>
    </row>
    <row r="1644" spans="11:12">
      <c r="K1644" s="851"/>
      <c r="L1644" s="851"/>
    </row>
    <row r="1645" spans="11:12">
      <c r="K1645" s="851"/>
      <c r="L1645" s="851"/>
    </row>
    <row r="1646" spans="11:12">
      <c r="K1646" s="851"/>
      <c r="L1646" s="851"/>
    </row>
    <row r="1647" spans="11:12">
      <c r="K1647" s="851"/>
      <c r="L1647" s="851"/>
    </row>
    <row r="1648" spans="11:12">
      <c r="K1648" s="851"/>
      <c r="L1648" s="851"/>
    </row>
    <row r="1649" spans="11:12">
      <c r="K1649" s="851"/>
      <c r="L1649" s="851"/>
    </row>
    <row r="1650" spans="11:12">
      <c r="K1650" s="851"/>
      <c r="L1650" s="851"/>
    </row>
    <row r="1651" spans="11:12">
      <c r="K1651" s="851"/>
      <c r="L1651" s="851"/>
    </row>
    <row r="1652" spans="11:12">
      <c r="K1652" s="851"/>
      <c r="L1652" s="851"/>
    </row>
    <row r="1653" spans="11:12">
      <c r="K1653" s="851"/>
      <c r="L1653" s="851"/>
    </row>
    <row r="1654" spans="11:12">
      <c r="K1654" s="851"/>
      <c r="L1654" s="851"/>
    </row>
    <row r="1655" spans="11:12">
      <c r="K1655" s="851"/>
      <c r="L1655" s="851"/>
    </row>
    <row r="1656" spans="11:12">
      <c r="K1656" s="851"/>
      <c r="L1656" s="851"/>
    </row>
    <row r="1657" spans="11:12">
      <c r="K1657" s="851"/>
      <c r="L1657" s="851"/>
    </row>
    <row r="1658" spans="11:12">
      <c r="K1658" s="851"/>
      <c r="L1658" s="851"/>
    </row>
    <row r="1659" spans="11:12">
      <c r="K1659" s="851"/>
      <c r="L1659" s="851"/>
    </row>
    <row r="1660" spans="11:12">
      <c r="K1660" s="851"/>
      <c r="L1660" s="851"/>
    </row>
    <row r="1661" spans="11:12">
      <c r="K1661" s="851"/>
      <c r="L1661" s="851"/>
    </row>
    <row r="1662" spans="11:12">
      <c r="K1662" s="851"/>
      <c r="L1662" s="851"/>
    </row>
    <row r="1663" spans="11:12">
      <c r="K1663" s="851"/>
      <c r="L1663" s="851"/>
    </row>
    <row r="1664" spans="11:12">
      <c r="K1664" s="851"/>
      <c r="L1664" s="851"/>
    </row>
    <row r="1665" spans="11:12">
      <c r="K1665" s="851"/>
      <c r="L1665" s="851"/>
    </row>
    <row r="1666" spans="11:12">
      <c r="K1666" s="851"/>
      <c r="L1666" s="851"/>
    </row>
    <row r="1667" spans="11:12">
      <c r="K1667" s="851"/>
      <c r="L1667" s="851"/>
    </row>
    <row r="1668" spans="11:12">
      <c r="K1668" s="851"/>
      <c r="L1668" s="851"/>
    </row>
    <row r="1669" spans="11:12">
      <c r="K1669" s="851"/>
      <c r="L1669" s="851"/>
    </row>
    <row r="1670" spans="11:12">
      <c r="K1670" s="851"/>
      <c r="L1670" s="851"/>
    </row>
    <row r="1671" spans="11:12">
      <c r="K1671" s="851"/>
      <c r="L1671" s="851"/>
    </row>
    <row r="1672" spans="11:12">
      <c r="K1672" s="851"/>
      <c r="L1672" s="851"/>
    </row>
    <row r="1673" spans="11:12">
      <c r="K1673" s="851"/>
      <c r="L1673" s="851"/>
    </row>
    <row r="1674" spans="11:12">
      <c r="K1674" s="851"/>
      <c r="L1674" s="851"/>
    </row>
    <row r="1675" spans="11:12">
      <c r="K1675" s="851"/>
      <c r="L1675" s="851"/>
    </row>
    <row r="1676" spans="11:12">
      <c r="K1676" s="851"/>
      <c r="L1676" s="851"/>
    </row>
    <row r="1677" spans="11:12">
      <c r="K1677" s="851"/>
      <c r="L1677" s="851"/>
    </row>
    <row r="1678" spans="11:12">
      <c r="K1678" s="851"/>
      <c r="L1678" s="851"/>
    </row>
    <row r="1679" spans="11:12">
      <c r="K1679" s="851"/>
      <c r="L1679" s="851"/>
    </row>
    <row r="1680" spans="11:12">
      <c r="K1680" s="851"/>
      <c r="L1680" s="851"/>
    </row>
    <row r="1681" spans="11:12">
      <c r="K1681" s="851"/>
      <c r="L1681" s="851"/>
    </row>
    <row r="1682" spans="11:12">
      <c r="K1682" s="851"/>
      <c r="L1682" s="851"/>
    </row>
    <row r="1683" spans="11:12">
      <c r="K1683" s="851"/>
      <c r="L1683" s="851"/>
    </row>
    <row r="1684" spans="11:12">
      <c r="K1684" s="851"/>
      <c r="L1684" s="851"/>
    </row>
    <row r="1685" spans="11:12">
      <c r="K1685" s="851"/>
      <c r="L1685" s="851"/>
    </row>
    <row r="1686" spans="11:12">
      <c r="K1686" s="851"/>
      <c r="L1686" s="851"/>
    </row>
    <row r="1687" spans="11:12">
      <c r="K1687" s="851"/>
      <c r="L1687" s="851"/>
    </row>
    <row r="1688" spans="11:12">
      <c r="K1688" s="851"/>
      <c r="L1688" s="851"/>
    </row>
    <row r="1689" spans="11:12">
      <c r="K1689" s="851"/>
      <c r="L1689" s="851"/>
    </row>
    <row r="1690" spans="11:12">
      <c r="K1690" s="851"/>
      <c r="L1690" s="851"/>
    </row>
    <row r="1691" spans="11:12">
      <c r="K1691" s="851"/>
      <c r="L1691" s="851"/>
    </row>
    <row r="1692" spans="11:12">
      <c r="K1692" s="851"/>
      <c r="L1692" s="851"/>
    </row>
    <row r="1693" spans="11:12">
      <c r="K1693" s="851"/>
      <c r="L1693" s="851"/>
    </row>
    <row r="1694" spans="11:12">
      <c r="K1694" s="851"/>
      <c r="L1694" s="851"/>
    </row>
    <row r="1695" spans="11:12">
      <c r="K1695" s="851"/>
      <c r="L1695" s="851"/>
    </row>
    <row r="1696" spans="11:12">
      <c r="K1696" s="851"/>
      <c r="L1696" s="851"/>
    </row>
    <row r="1697" spans="11:12">
      <c r="K1697" s="851"/>
      <c r="L1697" s="851"/>
    </row>
    <row r="1698" spans="11:12">
      <c r="K1698" s="851"/>
      <c r="L1698" s="851"/>
    </row>
    <row r="1699" spans="11:12">
      <c r="K1699" s="851"/>
      <c r="L1699" s="851"/>
    </row>
    <row r="1700" spans="11:12">
      <c r="K1700" s="851"/>
      <c r="L1700" s="851"/>
    </row>
    <row r="1701" spans="11:12">
      <c r="K1701" s="851"/>
      <c r="L1701" s="851"/>
    </row>
    <row r="1702" spans="11:12">
      <c r="K1702" s="851"/>
      <c r="L1702" s="851"/>
    </row>
    <row r="1703" spans="11:12">
      <c r="K1703" s="851"/>
      <c r="L1703" s="851"/>
    </row>
    <row r="1704" spans="11:12">
      <c r="K1704" s="851"/>
      <c r="L1704" s="851"/>
    </row>
    <row r="1705" spans="11:12">
      <c r="K1705" s="851"/>
      <c r="L1705" s="851"/>
    </row>
    <row r="1706" spans="11:12">
      <c r="K1706" s="851"/>
      <c r="L1706" s="851"/>
    </row>
    <row r="1707" spans="11:12">
      <c r="K1707" s="851"/>
      <c r="L1707" s="851"/>
    </row>
    <row r="1708" spans="11:12">
      <c r="K1708" s="851"/>
      <c r="L1708" s="851"/>
    </row>
    <row r="1709" spans="11:12">
      <c r="K1709" s="851"/>
      <c r="L1709" s="851"/>
    </row>
    <row r="1710" spans="11:12">
      <c r="K1710" s="851"/>
      <c r="L1710" s="851"/>
    </row>
    <row r="1711" spans="11:12">
      <c r="K1711" s="851"/>
      <c r="L1711" s="851"/>
    </row>
    <row r="1712" spans="11:12">
      <c r="K1712" s="851"/>
      <c r="L1712" s="851"/>
    </row>
    <row r="1713" spans="11:12">
      <c r="K1713" s="851"/>
      <c r="L1713" s="851"/>
    </row>
    <row r="1714" spans="11:12">
      <c r="K1714" s="851"/>
      <c r="L1714" s="851"/>
    </row>
    <row r="1715" spans="11:12">
      <c r="K1715" s="851"/>
      <c r="L1715" s="851"/>
    </row>
    <row r="1716" spans="11:12">
      <c r="K1716" s="851"/>
      <c r="L1716" s="851"/>
    </row>
    <row r="1717" spans="11:12">
      <c r="K1717" s="851"/>
      <c r="L1717" s="851"/>
    </row>
    <row r="1718" spans="11:12">
      <c r="K1718" s="851"/>
      <c r="L1718" s="851"/>
    </row>
    <row r="1719" spans="11:12">
      <c r="K1719" s="851"/>
      <c r="L1719" s="851"/>
    </row>
    <row r="1720" spans="11:12">
      <c r="K1720" s="851"/>
      <c r="L1720" s="851"/>
    </row>
    <row r="1721" spans="11:12">
      <c r="K1721" s="851"/>
      <c r="L1721" s="851"/>
    </row>
    <row r="1722" spans="11:12">
      <c r="K1722" s="851"/>
      <c r="L1722" s="851"/>
    </row>
    <row r="1723" spans="11:12">
      <c r="K1723" s="851"/>
      <c r="L1723" s="851"/>
    </row>
    <row r="1724" spans="11:12">
      <c r="K1724" s="851"/>
      <c r="L1724" s="851"/>
    </row>
    <row r="1725" spans="11:12">
      <c r="K1725" s="851"/>
      <c r="L1725" s="851"/>
    </row>
    <row r="1726" spans="11:12">
      <c r="K1726" s="851"/>
      <c r="L1726" s="851"/>
    </row>
    <row r="1727" spans="11:12">
      <c r="K1727" s="851"/>
      <c r="L1727" s="851"/>
    </row>
    <row r="1728" spans="11:12">
      <c r="K1728" s="851"/>
      <c r="L1728" s="851"/>
    </row>
    <row r="1729" spans="11:12">
      <c r="K1729" s="851"/>
      <c r="L1729" s="851"/>
    </row>
    <row r="1730" spans="11:12">
      <c r="K1730" s="851"/>
      <c r="L1730" s="851"/>
    </row>
    <row r="1731" spans="11:12">
      <c r="K1731" s="851"/>
      <c r="L1731" s="851"/>
    </row>
    <row r="1732" spans="11:12">
      <c r="K1732" s="851"/>
      <c r="L1732" s="851"/>
    </row>
    <row r="1733" spans="11:12">
      <c r="K1733" s="851"/>
      <c r="L1733" s="851"/>
    </row>
    <row r="1734" spans="11:12">
      <c r="K1734" s="851"/>
      <c r="L1734" s="851"/>
    </row>
    <row r="1735" spans="11:12">
      <c r="K1735" s="851"/>
      <c r="L1735" s="851"/>
    </row>
    <row r="1736" spans="11:12">
      <c r="K1736" s="851"/>
      <c r="L1736" s="851"/>
    </row>
    <row r="1737" spans="11:12">
      <c r="K1737" s="851"/>
      <c r="L1737" s="851"/>
    </row>
    <row r="1738" spans="11:12">
      <c r="K1738" s="851"/>
      <c r="L1738" s="851"/>
    </row>
    <row r="1739" spans="11:12">
      <c r="K1739" s="851"/>
      <c r="L1739" s="851"/>
    </row>
    <row r="1740" spans="11:12">
      <c r="K1740" s="851"/>
      <c r="L1740" s="851"/>
    </row>
    <row r="1741" spans="11:12">
      <c r="K1741" s="851"/>
      <c r="L1741" s="851"/>
    </row>
    <row r="1742" spans="11:12">
      <c r="K1742" s="851"/>
      <c r="L1742" s="851"/>
    </row>
    <row r="1743" spans="11:12">
      <c r="K1743" s="851"/>
      <c r="L1743" s="851"/>
    </row>
    <row r="1744" spans="11:12">
      <c r="K1744" s="851"/>
      <c r="L1744" s="851"/>
    </row>
    <row r="1745" spans="11:12">
      <c r="K1745" s="851"/>
      <c r="L1745" s="851"/>
    </row>
    <row r="1746" spans="11:12">
      <c r="K1746" s="851"/>
      <c r="L1746" s="851"/>
    </row>
    <row r="1747" spans="11:12">
      <c r="K1747" s="851"/>
      <c r="L1747" s="851"/>
    </row>
    <row r="1748" spans="11:12">
      <c r="K1748" s="851"/>
      <c r="L1748" s="851"/>
    </row>
    <row r="1749" spans="11:12">
      <c r="K1749" s="851"/>
      <c r="L1749" s="851"/>
    </row>
    <row r="1750" spans="11:12">
      <c r="K1750" s="851"/>
      <c r="L1750" s="851"/>
    </row>
    <row r="1751" spans="11:12">
      <c r="K1751" s="851"/>
      <c r="L1751" s="851"/>
    </row>
    <row r="1752" spans="11:12">
      <c r="K1752" s="851"/>
      <c r="L1752" s="851"/>
    </row>
    <row r="1753" spans="11:12">
      <c r="K1753" s="851"/>
      <c r="L1753" s="851"/>
    </row>
    <row r="1754" spans="11:12">
      <c r="K1754" s="851"/>
      <c r="L1754" s="851"/>
    </row>
    <row r="1755" spans="11:12">
      <c r="K1755" s="851"/>
      <c r="L1755" s="851"/>
    </row>
    <row r="1756" spans="11:12">
      <c r="K1756" s="851"/>
      <c r="L1756" s="851"/>
    </row>
    <row r="1757" spans="11:12">
      <c r="K1757" s="851"/>
      <c r="L1757" s="851"/>
    </row>
    <row r="1758" spans="11:12">
      <c r="K1758" s="851"/>
      <c r="L1758" s="851"/>
    </row>
    <row r="1759" spans="11:12">
      <c r="K1759" s="851"/>
      <c r="L1759" s="851"/>
    </row>
    <row r="1760" spans="11:12">
      <c r="K1760" s="851"/>
      <c r="L1760" s="851"/>
    </row>
    <row r="1761" spans="11:12">
      <c r="K1761" s="851"/>
      <c r="L1761" s="851"/>
    </row>
    <row r="1762" spans="11:12">
      <c r="K1762" s="851"/>
      <c r="L1762" s="851"/>
    </row>
    <row r="1763" spans="11:12">
      <c r="K1763" s="851"/>
      <c r="L1763" s="851"/>
    </row>
    <row r="1764" spans="11:12">
      <c r="K1764" s="851"/>
      <c r="L1764" s="851"/>
    </row>
    <row r="1765" spans="11:12">
      <c r="K1765" s="851"/>
      <c r="L1765" s="851"/>
    </row>
    <row r="1766" spans="11:12">
      <c r="K1766" s="851"/>
      <c r="L1766" s="851"/>
    </row>
    <row r="1767" spans="11:12">
      <c r="K1767" s="851"/>
      <c r="L1767" s="851"/>
    </row>
    <row r="1768" spans="11:12">
      <c r="K1768" s="851"/>
      <c r="L1768" s="851"/>
    </row>
    <row r="1769" spans="11:12">
      <c r="K1769" s="851"/>
      <c r="L1769" s="851"/>
    </row>
    <row r="1770" spans="11:12">
      <c r="K1770" s="851"/>
      <c r="L1770" s="851"/>
    </row>
    <row r="1771" spans="11:12">
      <c r="K1771" s="851"/>
      <c r="L1771" s="851"/>
    </row>
    <row r="1772" spans="11:12">
      <c r="K1772" s="851"/>
      <c r="L1772" s="851"/>
    </row>
    <row r="1773" spans="11:12">
      <c r="K1773" s="851"/>
      <c r="L1773" s="851"/>
    </row>
    <row r="1774" spans="11:12">
      <c r="K1774" s="851"/>
      <c r="L1774" s="851"/>
    </row>
    <row r="1775" spans="11:12">
      <c r="K1775" s="851"/>
      <c r="L1775" s="851"/>
    </row>
    <row r="1776" spans="11:12">
      <c r="K1776" s="851"/>
      <c r="L1776" s="851"/>
    </row>
    <row r="1777" spans="11:12">
      <c r="K1777" s="851"/>
      <c r="L1777" s="851"/>
    </row>
    <row r="1778" spans="11:12">
      <c r="K1778" s="851"/>
      <c r="L1778" s="851"/>
    </row>
    <row r="1779" spans="11:12">
      <c r="K1779" s="851"/>
      <c r="L1779" s="851"/>
    </row>
    <row r="1780" spans="11:12">
      <c r="K1780" s="851"/>
      <c r="L1780" s="851"/>
    </row>
    <row r="1781" spans="11:12">
      <c r="K1781" s="851"/>
      <c r="L1781" s="851"/>
    </row>
    <row r="1782" spans="11:12">
      <c r="K1782" s="851"/>
      <c r="L1782" s="851"/>
    </row>
    <row r="1783" spans="11:12">
      <c r="K1783" s="851"/>
      <c r="L1783" s="851"/>
    </row>
    <row r="1784" spans="11:12">
      <c r="K1784" s="851"/>
      <c r="L1784" s="851"/>
    </row>
    <row r="1785" spans="11:12">
      <c r="K1785" s="851"/>
      <c r="L1785" s="851"/>
    </row>
    <row r="1786" spans="11:12">
      <c r="K1786" s="851"/>
      <c r="L1786" s="851"/>
    </row>
    <row r="1787" spans="11:12">
      <c r="K1787" s="851"/>
      <c r="L1787" s="851"/>
    </row>
    <row r="1788" spans="11:12">
      <c r="K1788" s="851"/>
      <c r="L1788" s="851"/>
    </row>
    <row r="1789" spans="11:12">
      <c r="K1789" s="851"/>
      <c r="L1789" s="851"/>
    </row>
    <row r="1790" spans="11:12">
      <c r="K1790" s="851"/>
      <c r="L1790" s="851"/>
    </row>
    <row r="1791" spans="11:12">
      <c r="K1791" s="851"/>
      <c r="L1791" s="851"/>
    </row>
    <row r="1792" spans="11:12">
      <c r="K1792" s="851"/>
      <c r="L1792" s="851"/>
    </row>
    <row r="1793" spans="11:12">
      <c r="K1793" s="851"/>
      <c r="L1793" s="851"/>
    </row>
    <row r="1794" spans="11:12">
      <c r="K1794" s="851"/>
      <c r="L1794" s="851"/>
    </row>
    <row r="1795" spans="11:12">
      <c r="K1795" s="851"/>
      <c r="L1795" s="851"/>
    </row>
    <row r="1796" spans="11:12">
      <c r="K1796" s="851"/>
      <c r="L1796" s="851"/>
    </row>
    <row r="1797" spans="11:12">
      <c r="K1797" s="851"/>
      <c r="L1797" s="851"/>
    </row>
    <row r="1798" spans="11:12">
      <c r="K1798" s="851"/>
      <c r="L1798" s="851"/>
    </row>
    <row r="1799" spans="11:12">
      <c r="K1799" s="851"/>
      <c r="L1799" s="851"/>
    </row>
    <row r="1800" spans="11:12">
      <c r="K1800" s="851"/>
      <c r="L1800" s="851"/>
    </row>
    <row r="1801" spans="11:12">
      <c r="K1801" s="851"/>
      <c r="L1801" s="851"/>
    </row>
    <row r="1802" spans="11:12">
      <c r="K1802" s="851"/>
      <c r="L1802" s="851"/>
    </row>
    <row r="1803" spans="11:12">
      <c r="K1803" s="851"/>
      <c r="L1803" s="851"/>
    </row>
    <row r="1804" spans="11:12">
      <c r="K1804" s="851"/>
      <c r="L1804" s="851"/>
    </row>
    <row r="1805" spans="11:12">
      <c r="K1805" s="851"/>
      <c r="L1805" s="851"/>
    </row>
    <row r="1806" spans="11:12">
      <c r="K1806" s="851"/>
      <c r="L1806" s="851"/>
    </row>
    <row r="1807" spans="11:12">
      <c r="K1807" s="851"/>
      <c r="L1807" s="851"/>
    </row>
    <row r="1808" spans="11:12">
      <c r="K1808" s="851"/>
      <c r="L1808" s="851"/>
    </row>
    <row r="1809" spans="11:12">
      <c r="K1809" s="851"/>
      <c r="L1809" s="851"/>
    </row>
    <row r="1810" spans="11:12">
      <c r="K1810" s="851"/>
      <c r="L1810" s="851"/>
    </row>
    <row r="1811" spans="11:12">
      <c r="K1811" s="851"/>
      <c r="L1811" s="851"/>
    </row>
    <row r="1812" spans="11:12">
      <c r="K1812" s="851"/>
      <c r="L1812" s="851"/>
    </row>
    <row r="1813" spans="11:12">
      <c r="K1813" s="851"/>
      <c r="L1813" s="851"/>
    </row>
    <row r="1814" spans="11:12">
      <c r="K1814" s="851"/>
      <c r="L1814" s="851"/>
    </row>
    <row r="1815" spans="11:12">
      <c r="K1815" s="851"/>
      <c r="L1815" s="851"/>
    </row>
    <row r="1816" spans="11:12">
      <c r="K1816" s="851"/>
      <c r="L1816" s="851"/>
    </row>
    <row r="1817" spans="11:12">
      <c r="K1817" s="851"/>
      <c r="L1817" s="851"/>
    </row>
    <row r="1818" spans="11:12">
      <c r="K1818" s="851"/>
      <c r="L1818" s="851"/>
    </row>
    <row r="1819" spans="11:12">
      <c r="K1819" s="851"/>
      <c r="L1819" s="851"/>
    </row>
    <row r="1820" spans="11:12">
      <c r="K1820" s="851"/>
      <c r="L1820" s="851"/>
    </row>
    <row r="1821" spans="11:12">
      <c r="K1821" s="851"/>
      <c r="L1821" s="851"/>
    </row>
    <row r="1822" spans="11:12">
      <c r="K1822" s="851"/>
      <c r="L1822" s="851"/>
    </row>
    <row r="1823" spans="11:12">
      <c r="K1823" s="851"/>
      <c r="L1823" s="851"/>
    </row>
    <row r="1824" spans="11:12">
      <c r="K1824" s="851"/>
      <c r="L1824" s="851"/>
    </row>
    <row r="1825" spans="11:12">
      <c r="K1825" s="851"/>
      <c r="L1825" s="851"/>
    </row>
    <row r="1826" spans="11:12">
      <c r="K1826" s="851"/>
      <c r="L1826" s="851"/>
    </row>
    <row r="1827" spans="11:12">
      <c r="K1827" s="851"/>
      <c r="L1827" s="851"/>
    </row>
    <row r="1828" spans="11:12">
      <c r="K1828" s="851"/>
      <c r="L1828" s="851"/>
    </row>
    <row r="1829" spans="11:12">
      <c r="K1829" s="851"/>
      <c r="L1829" s="851"/>
    </row>
    <row r="1830" spans="11:12">
      <c r="K1830" s="851"/>
      <c r="L1830" s="851"/>
    </row>
    <row r="1831" spans="11:12">
      <c r="K1831" s="851"/>
      <c r="L1831" s="851"/>
    </row>
    <row r="1832" spans="11:12">
      <c r="K1832" s="851"/>
      <c r="L1832" s="851"/>
    </row>
    <row r="1833" spans="11:12">
      <c r="K1833" s="851"/>
      <c r="L1833" s="851"/>
    </row>
    <row r="1834" spans="11:12">
      <c r="K1834" s="851"/>
      <c r="L1834" s="851"/>
    </row>
    <row r="1835" spans="11:12">
      <c r="K1835" s="851"/>
      <c r="L1835" s="851"/>
    </row>
    <row r="1836" spans="11:12">
      <c r="K1836" s="851"/>
      <c r="L1836" s="851"/>
    </row>
    <row r="1837" spans="11:12">
      <c r="K1837" s="851"/>
      <c r="L1837" s="851"/>
    </row>
    <row r="1838" spans="11:12">
      <c r="K1838" s="851"/>
      <c r="L1838" s="851"/>
    </row>
    <row r="1839" spans="11:12">
      <c r="K1839" s="851"/>
      <c r="L1839" s="851"/>
    </row>
    <row r="1840" spans="11:12">
      <c r="K1840" s="851"/>
      <c r="L1840" s="851"/>
    </row>
    <row r="1841" spans="11:12">
      <c r="K1841" s="851"/>
      <c r="L1841" s="851"/>
    </row>
    <row r="1842" spans="11:12">
      <c r="K1842" s="851"/>
      <c r="L1842" s="851"/>
    </row>
    <row r="1843" spans="11:12">
      <c r="K1843" s="851"/>
      <c r="L1843" s="851"/>
    </row>
    <row r="1844" spans="11:12">
      <c r="K1844" s="851"/>
      <c r="L1844" s="851"/>
    </row>
    <row r="1845" spans="11:12">
      <c r="K1845" s="851"/>
      <c r="L1845" s="851"/>
    </row>
    <row r="1846" spans="11:12">
      <c r="K1846" s="851"/>
      <c r="L1846" s="851"/>
    </row>
    <row r="1847" spans="11:12">
      <c r="K1847" s="851"/>
      <c r="L1847" s="851"/>
    </row>
    <row r="1848" spans="11:12">
      <c r="K1848" s="851"/>
      <c r="L1848" s="851"/>
    </row>
    <row r="1849" spans="11:12">
      <c r="K1849" s="851"/>
      <c r="L1849" s="851"/>
    </row>
    <row r="1850" spans="11:12">
      <c r="K1850" s="851"/>
      <c r="L1850" s="851"/>
    </row>
    <row r="1851" spans="11:12">
      <c r="K1851" s="851"/>
      <c r="L1851" s="851"/>
    </row>
    <row r="1852" spans="11:12">
      <c r="K1852" s="851"/>
      <c r="L1852" s="851"/>
    </row>
    <row r="1853" spans="11:12">
      <c r="K1853" s="851"/>
      <c r="L1853" s="851"/>
    </row>
    <row r="1854" spans="11:12">
      <c r="K1854" s="851"/>
      <c r="L1854" s="851"/>
    </row>
    <row r="1855" spans="11:12">
      <c r="K1855" s="851"/>
      <c r="L1855" s="851"/>
    </row>
    <row r="1856" spans="11:12">
      <c r="K1856" s="851"/>
      <c r="L1856" s="851"/>
    </row>
    <row r="1857" spans="11:12">
      <c r="K1857" s="851"/>
      <c r="L1857" s="851"/>
    </row>
    <row r="1858" spans="11:12">
      <c r="K1858" s="851"/>
      <c r="L1858" s="851"/>
    </row>
    <row r="1859" spans="11:12">
      <c r="K1859" s="851"/>
      <c r="L1859" s="851"/>
    </row>
    <row r="1860" spans="11:12">
      <c r="K1860" s="851"/>
      <c r="L1860" s="851"/>
    </row>
    <row r="1861" spans="11:12">
      <c r="K1861" s="851"/>
      <c r="L1861" s="851"/>
    </row>
    <row r="1862" spans="11:12">
      <c r="K1862" s="851"/>
      <c r="L1862" s="851"/>
    </row>
    <row r="1863" spans="11:12">
      <c r="K1863" s="851"/>
      <c r="L1863" s="851"/>
    </row>
    <row r="1864" spans="11:12">
      <c r="K1864" s="851"/>
      <c r="L1864" s="851"/>
    </row>
    <row r="1865" spans="11:12">
      <c r="K1865" s="851"/>
      <c r="L1865" s="851"/>
    </row>
    <row r="1866" spans="11:12">
      <c r="K1866" s="851"/>
      <c r="L1866" s="851"/>
    </row>
    <row r="1867" spans="11:12">
      <c r="K1867" s="851"/>
      <c r="L1867" s="851"/>
    </row>
    <row r="1868" spans="11:12">
      <c r="K1868" s="851"/>
      <c r="L1868" s="851"/>
    </row>
    <row r="1869" spans="11:12">
      <c r="K1869" s="851"/>
      <c r="L1869" s="851"/>
    </row>
    <row r="1870" spans="11:12">
      <c r="K1870" s="851"/>
      <c r="L1870" s="851"/>
    </row>
    <row r="1871" spans="11:12">
      <c r="K1871" s="851"/>
      <c r="L1871" s="851"/>
    </row>
    <row r="1872" spans="11:12">
      <c r="K1872" s="851"/>
      <c r="L1872" s="851"/>
    </row>
    <row r="1873" spans="11:12">
      <c r="K1873" s="851"/>
      <c r="L1873" s="851"/>
    </row>
    <row r="1874" spans="11:12">
      <c r="K1874" s="851"/>
      <c r="L1874" s="851"/>
    </row>
    <row r="1875" spans="11:12">
      <c r="K1875" s="851"/>
      <c r="L1875" s="851"/>
    </row>
    <row r="1876" spans="11:12">
      <c r="K1876" s="851"/>
      <c r="L1876" s="851"/>
    </row>
    <row r="1877" spans="11:12">
      <c r="K1877" s="851"/>
      <c r="L1877" s="851"/>
    </row>
    <row r="1878" spans="11:12">
      <c r="K1878" s="851"/>
      <c r="L1878" s="851"/>
    </row>
    <row r="1879" spans="11:12">
      <c r="K1879" s="851"/>
      <c r="L1879" s="851"/>
    </row>
    <row r="1880" spans="11:12">
      <c r="K1880" s="851"/>
      <c r="L1880" s="851"/>
    </row>
    <row r="1881" spans="11:12">
      <c r="K1881" s="851"/>
      <c r="L1881" s="851"/>
    </row>
    <row r="1882" spans="11:12">
      <c r="K1882" s="851"/>
      <c r="L1882" s="851"/>
    </row>
    <row r="1883" spans="11:12">
      <c r="K1883" s="851"/>
      <c r="L1883" s="851"/>
    </row>
    <row r="1884" spans="11:12">
      <c r="K1884" s="851"/>
      <c r="L1884" s="851"/>
    </row>
    <row r="1885" spans="11:12">
      <c r="K1885" s="851"/>
      <c r="L1885" s="851"/>
    </row>
    <row r="1886" spans="11:12">
      <c r="K1886" s="851"/>
      <c r="L1886" s="851"/>
    </row>
    <row r="1887" spans="11:12">
      <c r="K1887" s="851"/>
      <c r="L1887" s="851"/>
    </row>
    <row r="1888" spans="11:12">
      <c r="K1888" s="851"/>
      <c r="L1888" s="851"/>
    </row>
    <row r="1889" spans="11:12">
      <c r="K1889" s="851"/>
      <c r="L1889" s="851"/>
    </row>
    <row r="1890" spans="11:12">
      <c r="K1890" s="851"/>
      <c r="L1890" s="851"/>
    </row>
    <row r="1891" spans="11:12">
      <c r="K1891" s="851"/>
      <c r="L1891" s="851"/>
    </row>
    <row r="1892" spans="11:12">
      <c r="K1892" s="851"/>
      <c r="L1892" s="851"/>
    </row>
    <row r="1893" spans="11:12">
      <c r="K1893" s="851"/>
      <c r="L1893" s="851"/>
    </row>
    <row r="1894" spans="11:12">
      <c r="K1894" s="851"/>
      <c r="L1894" s="851"/>
    </row>
    <row r="1895" spans="11:12">
      <c r="K1895" s="851"/>
      <c r="L1895" s="851"/>
    </row>
    <row r="1896" spans="11:12">
      <c r="K1896" s="851"/>
      <c r="L1896" s="851"/>
    </row>
    <row r="1897" spans="11:12">
      <c r="K1897" s="851"/>
      <c r="L1897" s="851"/>
    </row>
    <row r="1898" spans="11:12">
      <c r="K1898" s="851"/>
      <c r="L1898" s="851"/>
    </row>
    <row r="1899" spans="11:12">
      <c r="K1899" s="851"/>
      <c r="L1899" s="851"/>
    </row>
    <row r="1900" spans="11:12">
      <c r="K1900" s="851"/>
      <c r="L1900" s="851"/>
    </row>
    <row r="1901" spans="11:12">
      <c r="K1901" s="851"/>
      <c r="L1901" s="851"/>
    </row>
    <row r="1902" spans="11:12">
      <c r="K1902" s="851"/>
      <c r="L1902" s="851"/>
    </row>
    <row r="1903" spans="11:12">
      <c r="K1903" s="851"/>
      <c r="L1903" s="851"/>
    </row>
    <row r="1904" spans="11:12">
      <c r="K1904" s="851"/>
      <c r="L1904" s="851"/>
    </row>
    <row r="1905" spans="11:12">
      <c r="K1905" s="851"/>
      <c r="L1905" s="851"/>
    </row>
    <row r="1906" spans="11:12">
      <c r="K1906" s="851"/>
      <c r="L1906" s="851"/>
    </row>
    <row r="1907" spans="11:12">
      <c r="K1907" s="851"/>
      <c r="L1907" s="851"/>
    </row>
    <row r="1908" spans="11:12">
      <c r="K1908" s="851"/>
      <c r="L1908" s="851"/>
    </row>
    <row r="1909" spans="11:12">
      <c r="K1909" s="851"/>
      <c r="L1909" s="851"/>
    </row>
    <row r="1910" spans="11:12">
      <c r="K1910" s="851"/>
      <c r="L1910" s="851"/>
    </row>
    <row r="1911" spans="11:12">
      <c r="K1911" s="851"/>
      <c r="L1911" s="851"/>
    </row>
    <row r="1912" spans="11:12">
      <c r="K1912" s="851"/>
      <c r="L1912" s="851"/>
    </row>
    <row r="1913" spans="11:12">
      <c r="K1913" s="851"/>
      <c r="L1913" s="851"/>
    </row>
    <row r="1914" spans="11:12">
      <c r="K1914" s="851"/>
      <c r="L1914" s="851"/>
    </row>
    <row r="1915" spans="11:12">
      <c r="K1915" s="851"/>
      <c r="L1915" s="851"/>
    </row>
    <row r="1916" spans="11:12">
      <c r="K1916" s="851"/>
      <c r="L1916" s="851"/>
    </row>
    <row r="1917" spans="11:12">
      <c r="K1917" s="851"/>
      <c r="L1917" s="851"/>
    </row>
    <row r="1918" spans="11:12">
      <c r="K1918" s="851"/>
      <c r="L1918" s="851"/>
    </row>
    <row r="1919" spans="11:12">
      <c r="K1919" s="851"/>
      <c r="L1919" s="851"/>
    </row>
    <row r="1920" spans="11:12">
      <c r="K1920" s="851"/>
      <c r="L1920" s="851"/>
    </row>
    <row r="1921" spans="11:12">
      <c r="K1921" s="851"/>
      <c r="L1921" s="851"/>
    </row>
    <row r="1922" spans="11:12">
      <c r="K1922" s="851"/>
      <c r="L1922" s="851"/>
    </row>
    <row r="1923" spans="11:12">
      <c r="K1923" s="851"/>
      <c r="L1923" s="851"/>
    </row>
    <row r="1924" spans="11:12">
      <c r="K1924" s="851"/>
      <c r="L1924" s="851"/>
    </row>
    <row r="1925" spans="11:12">
      <c r="K1925" s="851"/>
      <c r="L1925" s="851"/>
    </row>
    <row r="1926" spans="11:12">
      <c r="K1926" s="851"/>
      <c r="L1926" s="851"/>
    </row>
    <row r="1927" spans="11:12">
      <c r="K1927" s="851"/>
      <c r="L1927" s="851"/>
    </row>
    <row r="1928" spans="11:12">
      <c r="K1928" s="851"/>
      <c r="L1928" s="851"/>
    </row>
    <row r="1929" spans="11:12">
      <c r="K1929" s="851"/>
      <c r="L1929" s="851"/>
    </row>
    <row r="1930" spans="11:12">
      <c r="K1930" s="851"/>
      <c r="L1930" s="851"/>
    </row>
    <row r="1931" spans="11:12">
      <c r="K1931" s="851"/>
      <c r="L1931" s="851"/>
    </row>
    <row r="1932" spans="11:12">
      <c r="K1932" s="851"/>
      <c r="L1932" s="851"/>
    </row>
    <row r="1933" spans="11:12">
      <c r="K1933" s="851"/>
      <c r="L1933" s="851"/>
    </row>
    <row r="1934" spans="11:12">
      <c r="K1934" s="851"/>
      <c r="L1934" s="851"/>
    </row>
    <row r="1935" spans="11:12">
      <c r="K1935" s="851"/>
      <c r="L1935" s="851"/>
    </row>
    <row r="1936" spans="11:12">
      <c r="K1936" s="851"/>
      <c r="L1936" s="851"/>
    </row>
    <row r="1937" spans="11:12">
      <c r="K1937" s="851"/>
      <c r="L1937" s="851"/>
    </row>
    <row r="1938" spans="11:12">
      <c r="K1938" s="851"/>
      <c r="L1938" s="851"/>
    </row>
    <row r="1939" spans="11:12">
      <c r="K1939" s="851"/>
      <c r="L1939" s="851"/>
    </row>
    <row r="1940" spans="11:12">
      <c r="K1940" s="851"/>
      <c r="L1940" s="851"/>
    </row>
    <row r="1941" spans="11:12">
      <c r="K1941" s="851"/>
      <c r="L1941" s="851"/>
    </row>
    <row r="1942" spans="11:12">
      <c r="K1942" s="851"/>
      <c r="L1942" s="851"/>
    </row>
    <row r="1943" spans="11:12">
      <c r="K1943" s="851"/>
      <c r="L1943" s="851"/>
    </row>
    <row r="1944" spans="11:12">
      <c r="K1944" s="851"/>
      <c r="L1944" s="851"/>
    </row>
    <row r="1945" spans="11:12">
      <c r="K1945" s="851"/>
      <c r="L1945" s="851"/>
    </row>
    <row r="1946" spans="11:12">
      <c r="K1946" s="851"/>
      <c r="L1946" s="851"/>
    </row>
    <row r="1947" spans="11:12">
      <c r="K1947" s="851"/>
      <c r="L1947" s="851"/>
    </row>
    <row r="1948" spans="11:12">
      <c r="K1948" s="851"/>
      <c r="L1948" s="851"/>
    </row>
    <row r="1949" spans="11:12">
      <c r="K1949" s="851"/>
      <c r="L1949" s="851"/>
    </row>
    <row r="1950" spans="11:12">
      <c r="K1950" s="851"/>
      <c r="L1950" s="851"/>
    </row>
    <row r="1951" spans="11:12">
      <c r="K1951" s="851"/>
      <c r="L1951" s="851"/>
    </row>
    <row r="1952" spans="11:12">
      <c r="K1952" s="851"/>
      <c r="L1952" s="851"/>
    </row>
    <row r="1953" spans="11:12">
      <c r="K1953" s="851"/>
      <c r="L1953" s="851"/>
    </row>
    <row r="1954" spans="11:12">
      <c r="K1954" s="851"/>
      <c r="L1954" s="851"/>
    </row>
    <row r="1955" spans="11:12">
      <c r="K1955" s="851"/>
      <c r="L1955" s="851"/>
    </row>
    <row r="1956" spans="11:12">
      <c r="K1956" s="851"/>
      <c r="L1956" s="851"/>
    </row>
    <row r="1957" spans="11:12">
      <c r="K1957" s="851"/>
      <c r="L1957" s="851"/>
    </row>
    <row r="1958" spans="11:12">
      <c r="K1958" s="851"/>
      <c r="L1958" s="851"/>
    </row>
    <row r="1959" spans="11:12">
      <c r="K1959" s="851"/>
      <c r="L1959" s="851"/>
    </row>
    <row r="1960" spans="11:12">
      <c r="K1960" s="851"/>
      <c r="L1960" s="851"/>
    </row>
    <row r="1961" spans="11:12">
      <c r="K1961" s="851"/>
      <c r="L1961" s="851"/>
    </row>
    <row r="1962" spans="11:12">
      <c r="K1962" s="851"/>
      <c r="L1962" s="851"/>
    </row>
    <row r="1963" spans="11:12">
      <c r="K1963" s="851"/>
      <c r="L1963" s="851"/>
    </row>
    <row r="1964" spans="11:12">
      <c r="K1964" s="851"/>
      <c r="L1964" s="851"/>
    </row>
    <row r="1965" spans="11:12">
      <c r="K1965" s="851"/>
      <c r="L1965" s="851"/>
    </row>
    <row r="1966" spans="11:12">
      <c r="K1966" s="851"/>
      <c r="L1966" s="851"/>
    </row>
    <row r="1967" spans="11:12">
      <c r="K1967" s="851"/>
      <c r="L1967" s="851"/>
    </row>
    <row r="1968" spans="11:12">
      <c r="K1968" s="851"/>
      <c r="L1968" s="851"/>
    </row>
    <row r="1969" spans="11:12">
      <c r="K1969" s="851"/>
      <c r="L1969" s="851"/>
    </row>
    <row r="1970" spans="11:12">
      <c r="K1970" s="851"/>
      <c r="L1970" s="851"/>
    </row>
    <row r="1971" spans="11:12">
      <c r="K1971" s="851"/>
      <c r="L1971" s="851"/>
    </row>
    <row r="1972" spans="11:12">
      <c r="K1972" s="851"/>
      <c r="L1972" s="851"/>
    </row>
    <row r="1973" spans="11:12">
      <c r="K1973" s="851"/>
      <c r="L1973" s="851"/>
    </row>
    <row r="1974" spans="11:12">
      <c r="K1974" s="851"/>
      <c r="L1974" s="851"/>
    </row>
    <row r="1975" spans="11:12">
      <c r="K1975" s="851"/>
      <c r="L1975" s="851"/>
    </row>
    <row r="1976" spans="11:12">
      <c r="K1976" s="851"/>
      <c r="L1976" s="851"/>
    </row>
    <row r="1977" spans="11:12">
      <c r="K1977" s="851"/>
      <c r="L1977" s="851"/>
    </row>
    <row r="1978" spans="11:12">
      <c r="K1978" s="851"/>
      <c r="L1978" s="851"/>
    </row>
    <row r="1979" spans="11:12">
      <c r="K1979" s="851"/>
      <c r="L1979" s="851"/>
    </row>
    <row r="1980" spans="11:12">
      <c r="K1980" s="851"/>
      <c r="L1980" s="851"/>
    </row>
    <row r="1981" spans="11:12">
      <c r="K1981" s="851"/>
      <c r="L1981" s="851"/>
    </row>
    <row r="1982" spans="11:12">
      <c r="K1982" s="851"/>
      <c r="L1982" s="851"/>
    </row>
    <row r="1983" spans="11:12">
      <c r="K1983" s="851"/>
      <c r="L1983" s="851"/>
    </row>
    <row r="1984" spans="11:12">
      <c r="K1984" s="851"/>
      <c r="L1984" s="851"/>
    </row>
    <row r="1985" spans="11:12">
      <c r="K1985" s="851"/>
      <c r="L1985" s="851"/>
    </row>
    <row r="1986" spans="11:12">
      <c r="K1986" s="851"/>
      <c r="L1986" s="851"/>
    </row>
    <row r="1987" spans="11:12">
      <c r="K1987" s="851"/>
      <c r="L1987" s="851"/>
    </row>
    <row r="1988" spans="11:12">
      <c r="K1988" s="851"/>
      <c r="L1988" s="851"/>
    </row>
    <row r="1989" spans="11:12">
      <c r="K1989" s="851"/>
      <c r="L1989" s="851"/>
    </row>
    <row r="1990" spans="11:12">
      <c r="K1990" s="851"/>
      <c r="L1990" s="851"/>
    </row>
    <row r="1991" spans="11:12">
      <c r="K1991" s="851"/>
      <c r="L1991" s="851"/>
    </row>
    <row r="1992" spans="11:12">
      <c r="K1992" s="851"/>
      <c r="L1992" s="851"/>
    </row>
    <row r="1993" spans="11:12">
      <c r="K1993" s="851"/>
      <c r="L1993" s="851"/>
    </row>
    <row r="1994" spans="11:12">
      <c r="K1994" s="851"/>
      <c r="L1994" s="851"/>
    </row>
    <row r="1995" spans="11:12">
      <c r="K1995" s="851"/>
      <c r="L1995" s="851"/>
    </row>
    <row r="1996" spans="11:12">
      <c r="K1996" s="851"/>
      <c r="L1996" s="851"/>
    </row>
    <row r="1997" spans="11:12">
      <c r="K1997" s="851"/>
      <c r="L1997" s="851"/>
    </row>
    <row r="1998" spans="11:12">
      <c r="K1998" s="851"/>
      <c r="L1998" s="851"/>
    </row>
    <row r="1999" spans="11:12">
      <c r="K1999" s="851"/>
      <c r="L1999" s="851"/>
    </row>
    <row r="2000" spans="11:12">
      <c r="K2000" s="851"/>
      <c r="L2000" s="851"/>
    </row>
    <row r="2001" spans="11:12">
      <c r="K2001" s="851"/>
      <c r="L2001" s="851"/>
    </row>
    <row r="2002" spans="11:12">
      <c r="K2002" s="851"/>
      <c r="L2002" s="851"/>
    </row>
    <row r="2003" spans="11:12">
      <c r="K2003" s="851"/>
      <c r="L2003" s="851"/>
    </row>
    <row r="2004" spans="11:12">
      <c r="K2004" s="851"/>
      <c r="L2004" s="851"/>
    </row>
    <row r="2005" spans="11:12">
      <c r="K2005" s="851"/>
      <c r="L2005" s="851"/>
    </row>
    <row r="2006" spans="11:12">
      <c r="K2006" s="851"/>
      <c r="L2006" s="851"/>
    </row>
    <row r="2007" spans="11:12">
      <c r="K2007" s="851"/>
      <c r="L2007" s="851"/>
    </row>
    <row r="2008" spans="11:12">
      <c r="K2008" s="851"/>
      <c r="L2008" s="851"/>
    </row>
    <row r="2009" spans="11:12">
      <c r="K2009" s="851"/>
      <c r="L2009" s="851"/>
    </row>
    <row r="2010" spans="11:12">
      <c r="K2010" s="851"/>
      <c r="L2010" s="851"/>
    </row>
    <row r="2011" spans="11:12">
      <c r="K2011" s="851"/>
      <c r="L2011" s="851"/>
    </row>
    <row r="2012" spans="11:12">
      <c r="K2012" s="851"/>
      <c r="L2012" s="851"/>
    </row>
    <row r="2013" spans="11:12">
      <c r="K2013" s="851"/>
      <c r="L2013" s="851"/>
    </row>
    <row r="2014" spans="11:12">
      <c r="K2014" s="851"/>
      <c r="L2014" s="851"/>
    </row>
    <row r="2015" spans="11:12">
      <c r="K2015" s="851"/>
      <c r="L2015" s="851"/>
    </row>
    <row r="2016" spans="11:12">
      <c r="K2016" s="851"/>
      <c r="L2016" s="851"/>
    </row>
    <row r="2017" spans="11:12">
      <c r="K2017" s="851"/>
      <c r="L2017" s="851"/>
    </row>
    <row r="2018" spans="11:12">
      <c r="K2018" s="851"/>
      <c r="L2018" s="851"/>
    </row>
    <row r="2019" spans="11:12">
      <c r="K2019" s="851"/>
      <c r="L2019" s="851"/>
    </row>
    <row r="2020" spans="11:12">
      <c r="K2020" s="851"/>
      <c r="L2020" s="851"/>
    </row>
    <row r="2021" spans="11:12">
      <c r="K2021" s="851"/>
      <c r="L2021" s="851"/>
    </row>
    <row r="2022" spans="11:12">
      <c r="K2022" s="851"/>
      <c r="L2022" s="851"/>
    </row>
    <row r="2023" spans="11:12">
      <c r="K2023" s="851"/>
      <c r="L2023" s="851"/>
    </row>
    <row r="2024" spans="11:12">
      <c r="K2024" s="851"/>
      <c r="L2024" s="851"/>
    </row>
    <row r="2025" spans="11:12">
      <c r="K2025" s="851"/>
      <c r="L2025" s="851"/>
    </row>
    <row r="2026" spans="11:12">
      <c r="K2026" s="851"/>
      <c r="L2026" s="851"/>
    </row>
    <row r="2027" spans="11:12">
      <c r="K2027" s="851"/>
      <c r="L2027" s="851"/>
    </row>
    <row r="2028" spans="11:12">
      <c r="K2028" s="851"/>
      <c r="L2028" s="851"/>
    </row>
    <row r="2029" spans="11:12">
      <c r="K2029" s="851"/>
      <c r="L2029" s="851"/>
    </row>
    <row r="2030" spans="11:12">
      <c r="K2030" s="851"/>
      <c r="L2030" s="851"/>
    </row>
    <row r="2031" spans="11:12">
      <c r="K2031" s="851"/>
      <c r="L2031" s="851"/>
    </row>
    <row r="2032" spans="11:12">
      <c r="K2032" s="851"/>
      <c r="L2032" s="851"/>
    </row>
    <row r="2033" spans="11:12">
      <c r="K2033" s="851"/>
      <c r="L2033" s="851"/>
    </row>
    <row r="2034" spans="11:12">
      <c r="K2034" s="851"/>
      <c r="L2034" s="851"/>
    </row>
    <row r="2035" spans="11:12">
      <c r="K2035" s="851"/>
      <c r="L2035" s="851"/>
    </row>
    <row r="2036" spans="11:12">
      <c r="K2036" s="851"/>
      <c r="L2036" s="851"/>
    </row>
    <row r="2037" spans="11:12">
      <c r="K2037" s="851"/>
      <c r="L2037" s="851"/>
    </row>
    <row r="2038" spans="11:12">
      <c r="K2038" s="851"/>
      <c r="L2038" s="851"/>
    </row>
    <row r="2039" spans="11:12">
      <c r="K2039" s="851"/>
      <c r="L2039" s="851"/>
    </row>
    <row r="2040" spans="11:12">
      <c r="K2040" s="851"/>
      <c r="L2040" s="851"/>
    </row>
    <row r="2041" spans="11:12">
      <c r="K2041" s="851"/>
      <c r="L2041" s="851"/>
    </row>
    <row r="2042" spans="11:12">
      <c r="K2042" s="851"/>
      <c r="L2042" s="851"/>
    </row>
    <row r="2043" spans="11:12">
      <c r="K2043" s="851"/>
      <c r="L2043" s="851"/>
    </row>
    <row r="2044" spans="11:12">
      <c r="K2044" s="851"/>
      <c r="L2044" s="851"/>
    </row>
    <row r="2045" spans="11:12">
      <c r="K2045" s="851"/>
      <c r="L2045" s="851"/>
    </row>
    <row r="2046" spans="11:12">
      <c r="K2046" s="851"/>
      <c r="L2046" s="851"/>
    </row>
    <row r="2047" spans="11:12">
      <c r="K2047" s="851"/>
      <c r="L2047" s="851"/>
    </row>
    <row r="2048" spans="11:12">
      <c r="K2048" s="851"/>
      <c r="L2048" s="851"/>
    </row>
    <row r="2049" spans="11:12">
      <c r="K2049" s="851"/>
      <c r="L2049" s="851"/>
    </row>
    <row r="2050" spans="11:12">
      <c r="K2050" s="851"/>
      <c r="L2050" s="851"/>
    </row>
    <row r="2051" spans="11:12">
      <c r="K2051" s="851"/>
      <c r="L2051" s="851"/>
    </row>
    <row r="2052" spans="11:12">
      <c r="K2052" s="851"/>
      <c r="L2052" s="851"/>
    </row>
    <row r="2053" spans="11:12">
      <c r="K2053" s="851"/>
      <c r="L2053" s="851"/>
    </row>
    <row r="2054" spans="11:12">
      <c r="K2054" s="851"/>
      <c r="L2054" s="851"/>
    </row>
    <row r="2055" spans="11:12">
      <c r="K2055" s="851"/>
      <c r="L2055" s="851"/>
    </row>
    <row r="2056" spans="11:12">
      <c r="K2056" s="851"/>
      <c r="L2056" s="851"/>
    </row>
    <row r="2057" spans="11:12">
      <c r="K2057" s="851"/>
      <c r="L2057" s="851"/>
    </row>
    <row r="2058" spans="11:12">
      <c r="K2058" s="851"/>
      <c r="L2058" s="851"/>
    </row>
    <row r="2059" spans="11:12">
      <c r="K2059" s="851"/>
      <c r="L2059" s="851"/>
    </row>
    <row r="2060" spans="11:12">
      <c r="K2060" s="851"/>
      <c r="L2060" s="851"/>
    </row>
    <row r="2061" spans="11:12">
      <c r="K2061" s="851"/>
      <c r="L2061" s="851"/>
    </row>
    <row r="2062" spans="11:12">
      <c r="K2062" s="851"/>
      <c r="L2062" s="851"/>
    </row>
    <row r="2063" spans="11:12">
      <c r="K2063" s="851"/>
      <c r="L2063" s="851"/>
    </row>
    <row r="2064" spans="11:12">
      <c r="K2064" s="851"/>
      <c r="L2064" s="851"/>
    </row>
    <row r="2065" spans="11:12">
      <c r="K2065" s="851"/>
      <c r="L2065" s="851"/>
    </row>
    <row r="2066" spans="11:12">
      <c r="K2066" s="851"/>
      <c r="L2066" s="851"/>
    </row>
    <row r="2067" spans="11:12">
      <c r="K2067" s="851"/>
      <c r="L2067" s="851"/>
    </row>
    <row r="2068" spans="11:12">
      <c r="K2068" s="851"/>
      <c r="L2068" s="851"/>
    </row>
    <row r="2069" spans="11:12">
      <c r="K2069" s="851"/>
      <c r="L2069" s="851"/>
    </row>
    <row r="2070" spans="11:12">
      <c r="K2070" s="851"/>
      <c r="L2070" s="851"/>
    </row>
    <row r="2071" spans="11:12">
      <c r="K2071" s="851"/>
      <c r="L2071" s="851"/>
    </row>
    <row r="2072" spans="11:12">
      <c r="K2072" s="851"/>
      <c r="L2072" s="851"/>
    </row>
    <row r="2073" spans="11:12">
      <c r="K2073" s="851"/>
      <c r="L2073" s="851"/>
    </row>
    <row r="2074" spans="11:12">
      <c r="K2074" s="851"/>
      <c r="L2074" s="851"/>
    </row>
    <row r="2075" spans="11:12">
      <c r="K2075" s="851"/>
      <c r="L2075" s="851"/>
    </row>
    <row r="2076" spans="11:12">
      <c r="K2076" s="851"/>
      <c r="L2076" s="851"/>
    </row>
    <row r="2077" spans="11:12">
      <c r="K2077" s="851"/>
      <c r="L2077" s="851"/>
    </row>
    <row r="2078" spans="11:12">
      <c r="K2078" s="851"/>
      <c r="L2078" s="851"/>
    </row>
    <row r="2079" spans="11:12">
      <c r="K2079" s="851"/>
      <c r="L2079" s="851"/>
    </row>
    <row r="2080" spans="11:12">
      <c r="K2080" s="851"/>
      <c r="L2080" s="851"/>
    </row>
    <row r="2081" spans="11:12">
      <c r="K2081" s="851"/>
      <c r="L2081" s="851"/>
    </row>
    <row r="2082" spans="11:12">
      <c r="K2082" s="851"/>
      <c r="L2082" s="851"/>
    </row>
    <row r="2083" spans="11:12">
      <c r="K2083" s="851"/>
      <c r="L2083" s="851"/>
    </row>
    <row r="2084" spans="11:12">
      <c r="K2084" s="851"/>
      <c r="L2084" s="851"/>
    </row>
    <row r="2085" spans="11:12">
      <c r="K2085" s="851"/>
      <c r="L2085" s="851"/>
    </row>
    <row r="2086" spans="11:12">
      <c r="K2086" s="851"/>
      <c r="L2086" s="851"/>
    </row>
    <row r="2087" spans="11:12">
      <c r="K2087" s="851"/>
      <c r="L2087" s="851"/>
    </row>
    <row r="2088" spans="11:12">
      <c r="K2088" s="851"/>
      <c r="L2088" s="851"/>
    </row>
    <row r="2089" spans="11:12">
      <c r="K2089" s="851"/>
      <c r="L2089" s="851"/>
    </row>
    <row r="2090" spans="11:12">
      <c r="K2090" s="851"/>
      <c r="L2090" s="851"/>
    </row>
    <row r="2091" spans="11:12">
      <c r="K2091" s="851"/>
      <c r="L2091" s="851"/>
    </row>
    <row r="2092" spans="11:12">
      <c r="K2092" s="851"/>
      <c r="L2092" s="851"/>
    </row>
    <row r="2093" spans="11:12">
      <c r="K2093" s="851"/>
      <c r="L2093" s="851"/>
    </row>
    <row r="2094" spans="11:12">
      <c r="K2094" s="851"/>
      <c r="L2094" s="851"/>
    </row>
    <row r="2095" spans="11:12">
      <c r="K2095" s="851"/>
      <c r="L2095" s="851"/>
    </row>
    <row r="2096" spans="11:12">
      <c r="K2096" s="851"/>
      <c r="L2096" s="851"/>
    </row>
    <row r="2097" spans="11:12">
      <c r="K2097" s="851"/>
      <c r="L2097" s="851"/>
    </row>
    <row r="2098" spans="11:12">
      <c r="K2098" s="851"/>
      <c r="L2098" s="851"/>
    </row>
    <row r="2099" spans="11:12">
      <c r="K2099" s="851"/>
      <c r="L2099" s="851"/>
    </row>
    <row r="2100" spans="11:12">
      <c r="K2100" s="851"/>
      <c r="L2100" s="851"/>
    </row>
    <row r="2101" spans="11:12">
      <c r="K2101" s="851"/>
      <c r="L2101" s="851"/>
    </row>
    <row r="2102" spans="11:12">
      <c r="K2102" s="851"/>
      <c r="L2102" s="851"/>
    </row>
    <row r="2103" spans="11:12">
      <c r="K2103" s="851"/>
      <c r="L2103" s="851"/>
    </row>
    <row r="2104" spans="11:12">
      <c r="K2104" s="851"/>
      <c r="L2104" s="851"/>
    </row>
    <row r="2105" spans="11:12">
      <c r="K2105" s="851"/>
      <c r="L2105" s="851"/>
    </row>
    <row r="2106" spans="11:12">
      <c r="K2106" s="851"/>
      <c r="L2106" s="851"/>
    </row>
    <row r="2107" spans="11:12">
      <c r="K2107" s="851"/>
      <c r="L2107" s="851"/>
    </row>
    <row r="2108" spans="11:12">
      <c r="K2108" s="851"/>
      <c r="L2108" s="851"/>
    </row>
    <row r="2109" spans="11:12">
      <c r="K2109" s="851"/>
      <c r="L2109" s="851"/>
    </row>
    <row r="2110" spans="11:12">
      <c r="K2110" s="851"/>
      <c r="L2110" s="851"/>
    </row>
    <row r="2111" spans="11:12">
      <c r="K2111" s="851"/>
      <c r="L2111" s="851"/>
    </row>
    <row r="2112" spans="11:12">
      <c r="K2112" s="851"/>
      <c r="L2112" s="851"/>
    </row>
    <row r="2113" spans="11:12">
      <c r="K2113" s="851"/>
      <c r="L2113" s="851"/>
    </row>
    <row r="2114" spans="11:12">
      <c r="K2114" s="851"/>
      <c r="L2114" s="851"/>
    </row>
    <row r="2115" spans="11:12">
      <c r="K2115" s="851"/>
      <c r="L2115" s="851"/>
    </row>
    <row r="2116" spans="11:12">
      <c r="K2116" s="851"/>
      <c r="L2116" s="851"/>
    </row>
    <row r="2117" spans="11:12">
      <c r="K2117" s="851"/>
      <c r="L2117" s="851"/>
    </row>
    <row r="2118" spans="11:12">
      <c r="K2118" s="851"/>
      <c r="L2118" s="851"/>
    </row>
    <row r="2119" spans="11:12">
      <c r="K2119" s="851"/>
      <c r="L2119" s="851"/>
    </row>
    <row r="2120" spans="11:12">
      <c r="K2120" s="851"/>
      <c r="L2120" s="851"/>
    </row>
    <row r="2121" spans="11:12">
      <c r="K2121" s="851"/>
      <c r="L2121" s="851"/>
    </row>
    <row r="2122" spans="11:12">
      <c r="K2122" s="851"/>
      <c r="L2122" s="851"/>
    </row>
    <row r="2123" spans="11:12">
      <c r="K2123" s="851"/>
      <c r="L2123" s="851"/>
    </row>
    <row r="2124" spans="11:12">
      <c r="K2124" s="851"/>
      <c r="L2124" s="851"/>
    </row>
    <row r="2125" spans="11:12">
      <c r="K2125" s="851"/>
      <c r="L2125" s="851"/>
    </row>
    <row r="2126" spans="11:12">
      <c r="K2126" s="851"/>
      <c r="L2126" s="851"/>
    </row>
    <row r="2127" spans="11:12">
      <c r="K2127" s="851"/>
      <c r="L2127" s="851"/>
    </row>
    <row r="2128" spans="11:12">
      <c r="K2128" s="851"/>
      <c r="L2128" s="851"/>
    </row>
    <row r="2129" spans="11:12">
      <c r="K2129" s="851"/>
      <c r="L2129" s="851"/>
    </row>
    <row r="2130" spans="11:12">
      <c r="K2130" s="851"/>
      <c r="L2130" s="851"/>
    </row>
    <row r="2131" spans="11:12">
      <c r="K2131" s="851"/>
      <c r="L2131" s="851"/>
    </row>
    <row r="2132" spans="11:12">
      <c r="K2132" s="851"/>
      <c r="L2132" s="851"/>
    </row>
    <row r="2133" spans="11:12">
      <c r="K2133" s="851"/>
      <c r="L2133" s="851"/>
    </row>
    <row r="2134" spans="11:12">
      <c r="K2134" s="851"/>
      <c r="L2134" s="851"/>
    </row>
    <row r="2135" spans="11:12">
      <c r="K2135" s="851"/>
      <c r="L2135" s="851"/>
    </row>
    <row r="2136" spans="11:12">
      <c r="K2136" s="851"/>
      <c r="L2136" s="851"/>
    </row>
    <row r="2137" spans="11:12">
      <c r="K2137" s="851"/>
      <c r="L2137" s="851"/>
    </row>
    <row r="2138" spans="11:12">
      <c r="K2138" s="851"/>
      <c r="L2138" s="851"/>
    </row>
    <row r="2139" spans="11:12">
      <c r="K2139" s="851"/>
      <c r="L2139" s="851"/>
    </row>
    <row r="2140" spans="11:12">
      <c r="K2140" s="851"/>
      <c r="L2140" s="851"/>
    </row>
    <row r="2141" spans="11:12">
      <c r="K2141" s="851"/>
      <c r="L2141" s="851"/>
    </row>
    <row r="2142" spans="11:12">
      <c r="K2142" s="851"/>
      <c r="L2142" s="851"/>
    </row>
    <row r="2143" spans="11:12">
      <c r="K2143" s="851"/>
      <c r="L2143" s="851"/>
    </row>
    <row r="2144" spans="11:12">
      <c r="K2144" s="851"/>
      <c r="L2144" s="851"/>
    </row>
    <row r="2145" spans="11:12">
      <c r="K2145" s="851"/>
      <c r="L2145" s="851"/>
    </row>
    <row r="2146" spans="11:12">
      <c r="K2146" s="851"/>
      <c r="L2146" s="851"/>
    </row>
    <row r="2147" spans="11:12">
      <c r="K2147" s="851"/>
      <c r="L2147" s="851"/>
    </row>
    <row r="2148" spans="11:12">
      <c r="K2148" s="851"/>
      <c r="L2148" s="851"/>
    </row>
    <row r="2149" spans="11:12">
      <c r="K2149" s="851"/>
      <c r="L2149" s="851"/>
    </row>
    <row r="2150" spans="11:12">
      <c r="K2150" s="851"/>
      <c r="L2150" s="851"/>
    </row>
    <row r="2151" spans="11:12">
      <c r="K2151" s="851"/>
      <c r="L2151" s="851"/>
    </row>
    <row r="2152" spans="11:12">
      <c r="K2152" s="851"/>
      <c r="L2152" s="851"/>
    </row>
    <row r="2153" spans="11:12">
      <c r="K2153" s="851"/>
      <c r="L2153" s="851"/>
    </row>
    <row r="2154" spans="11:12">
      <c r="K2154" s="851"/>
      <c r="L2154" s="851"/>
    </row>
    <row r="2155" spans="11:12">
      <c r="K2155" s="851"/>
      <c r="L2155" s="851"/>
    </row>
    <row r="2156" spans="11:12">
      <c r="K2156" s="851"/>
      <c r="L2156" s="851"/>
    </row>
    <row r="2157" spans="11:12">
      <c r="K2157" s="851"/>
      <c r="L2157" s="851"/>
    </row>
    <row r="2158" spans="11:12">
      <c r="K2158" s="851"/>
      <c r="L2158" s="851"/>
    </row>
    <row r="2159" spans="11:12">
      <c r="K2159" s="851"/>
      <c r="L2159" s="851"/>
    </row>
    <row r="2160" spans="11:12">
      <c r="K2160" s="851"/>
      <c r="L2160" s="851"/>
    </row>
    <row r="2161" spans="11:12">
      <c r="K2161" s="851"/>
      <c r="L2161" s="851"/>
    </row>
    <row r="2162" spans="11:12">
      <c r="K2162" s="851"/>
      <c r="L2162" s="851"/>
    </row>
    <row r="2163" spans="11:12">
      <c r="K2163" s="851"/>
      <c r="L2163" s="851"/>
    </row>
    <row r="2164" spans="11:12">
      <c r="K2164" s="851"/>
      <c r="L2164" s="851"/>
    </row>
    <row r="2165" spans="11:12">
      <c r="K2165" s="851"/>
      <c r="L2165" s="851"/>
    </row>
    <row r="2166" spans="11:12">
      <c r="K2166" s="851"/>
      <c r="L2166" s="851"/>
    </row>
    <row r="2167" spans="11:12">
      <c r="K2167" s="851"/>
      <c r="L2167" s="851"/>
    </row>
    <row r="2168" spans="11:12">
      <c r="K2168" s="851"/>
      <c r="L2168" s="851"/>
    </row>
    <row r="2169" spans="11:12">
      <c r="K2169" s="851"/>
      <c r="L2169" s="851"/>
    </row>
    <row r="2170" spans="11:12">
      <c r="K2170" s="851"/>
      <c r="L2170" s="851"/>
    </row>
    <row r="2171" spans="11:12">
      <c r="K2171" s="851"/>
      <c r="L2171" s="851"/>
    </row>
    <row r="2172" spans="11:12">
      <c r="K2172" s="851"/>
      <c r="L2172" s="851"/>
    </row>
    <row r="2173" spans="11:12">
      <c r="K2173" s="851"/>
      <c r="L2173" s="851"/>
    </row>
    <row r="2174" spans="11:12">
      <c r="K2174" s="851"/>
      <c r="L2174" s="851"/>
    </row>
    <row r="2175" spans="11:12">
      <c r="K2175" s="851"/>
      <c r="L2175" s="851"/>
    </row>
    <row r="2176" spans="11:12">
      <c r="K2176" s="851"/>
      <c r="L2176" s="851"/>
    </row>
    <row r="2177" spans="11:12">
      <c r="K2177" s="851"/>
      <c r="L2177" s="851"/>
    </row>
    <row r="2178" spans="11:12">
      <c r="K2178" s="851"/>
      <c r="L2178" s="851"/>
    </row>
    <row r="2179" spans="11:12">
      <c r="K2179" s="851"/>
      <c r="L2179" s="851"/>
    </row>
    <row r="2180" spans="11:12">
      <c r="K2180" s="851"/>
      <c r="L2180" s="851"/>
    </row>
    <row r="2181" spans="11:12">
      <c r="K2181" s="851"/>
      <c r="L2181" s="851"/>
    </row>
    <row r="2182" spans="11:12">
      <c r="K2182" s="851"/>
      <c r="L2182" s="851"/>
    </row>
    <row r="2183" spans="11:12">
      <c r="K2183" s="851"/>
      <c r="L2183" s="851"/>
    </row>
    <row r="2184" spans="11:12">
      <c r="K2184" s="851"/>
      <c r="L2184" s="851"/>
    </row>
    <row r="2185" spans="11:12">
      <c r="K2185" s="851"/>
      <c r="L2185" s="851"/>
    </row>
    <row r="2186" spans="11:12">
      <c r="K2186" s="851"/>
      <c r="L2186" s="851"/>
    </row>
    <row r="2187" spans="11:12">
      <c r="K2187" s="851"/>
      <c r="L2187" s="851"/>
    </row>
    <row r="2188" spans="11:12">
      <c r="K2188" s="851"/>
      <c r="L2188" s="851"/>
    </row>
    <row r="2189" spans="11:12">
      <c r="K2189" s="851"/>
      <c r="L2189" s="851"/>
    </row>
    <row r="2190" spans="11:12">
      <c r="K2190" s="851"/>
      <c r="L2190" s="851"/>
    </row>
    <row r="2191" spans="11:12">
      <c r="K2191" s="851"/>
      <c r="L2191" s="851"/>
    </row>
    <row r="2192" spans="11:12">
      <c r="K2192" s="851"/>
      <c r="L2192" s="851"/>
    </row>
    <row r="2193" spans="11:12">
      <c r="K2193" s="851"/>
      <c r="L2193" s="851"/>
    </row>
    <row r="2194" spans="11:12">
      <c r="K2194" s="851"/>
      <c r="L2194" s="851"/>
    </row>
    <row r="2195" spans="11:12">
      <c r="K2195" s="851"/>
      <c r="L2195" s="851"/>
    </row>
    <row r="2196" spans="11:12">
      <c r="K2196" s="851"/>
      <c r="L2196" s="851"/>
    </row>
    <row r="2197" spans="11:12">
      <c r="K2197" s="851"/>
      <c r="L2197" s="851"/>
    </row>
    <row r="2198" spans="11:12">
      <c r="K2198" s="851"/>
      <c r="L2198" s="851"/>
    </row>
    <row r="2199" spans="11:12">
      <c r="K2199" s="851"/>
      <c r="L2199" s="851"/>
    </row>
    <row r="2200" spans="11:12">
      <c r="K2200" s="851"/>
      <c r="L2200" s="851"/>
    </row>
    <row r="2201" spans="11:12">
      <c r="K2201" s="851"/>
      <c r="L2201" s="851"/>
    </row>
    <row r="2202" spans="11:12">
      <c r="K2202" s="851"/>
      <c r="L2202" s="851"/>
    </row>
    <row r="2203" spans="11:12">
      <c r="K2203" s="851"/>
      <c r="L2203" s="851"/>
    </row>
    <row r="2204" spans="11:12">
      <c r="K2204" s="851"/>
      <c r="L2204" s="851"/>
    </row>
    <row r="2205" spans="11:12">
      <c r="K2205" s="851"/>
      <c r="L2205" s="851"/>
    </row>
    <row r="2206" spans="11:12">
      <c r="K2206" s="851"/>
      <c r="L2206" s="851"/>
    </row>
    <row r="2207" spans="11:12">
      <c r="K2207" s="851"/>
      <c r="L2207" s="851"/>
    </row>
    <row r="2208" spans="11:12">
      <c r="K2208" s="851"/>
      <c r="L2208" s="851"/>
    </row>
    <row r="2209" spans="11:12">
      <c r="K2209" s="851"/>
      <c r="L2209" s="851"/>
    </row>
    <row r="2210" spans="11:12">
      <c r="K2210" s="851"/>
      <c r="L2210" s="851"/>
    </row>
    <row r="2211" spans="11:12">
      <c r="K2211" s="851"/>
      <c r="L2211" s="851"/>
    </row>
    <row r="2212" spans="11:12">
      <c r="K2212" s="851"/>
      <c r="L2212" s="851"/>
    </row>
    <row r="2213" spans="11:12">
      <c r="K2213" s="851"/>
      <c r="L2213" s="851"/>
    </row>
    <row r="2214" spans="11:12">
      <c r="K2214" s="851"/>
      <c r="L2214" s="851"/>
    </row>
    <row r="2215" spans="11:12">
      <c r="K2215" s="851"/>
      <c r="L2215" s="851"/>
    </row>
    <row r="2216" spans="11:12">
      <c r="K2216" s="851"/>
      <c r="L2216" s="851"/>
    </row>
    <row r="2217" spans="11:12">
      <c r="K2217" s="851"/>
      <c r="L2217" s="851"/>
    </row>
    <row r="2218" spans="11:12">
      <c r="K2218" s="851"/>
      <c r="L2218" s="851"/>
    </row>
    <row r="2219" spans="11:12">
      <c r="K2219" s="851"/>
      <c r="L2219" s="851"/>
    </row>
    <row r="2220" spans="11:12">
      <c r="K2220" s="851"/>
      <c r="L2220" s="851"/>
    </row>
    <row r="2221" spans="11:12">
      <c r="K2221" s="851"/>
      <c r="L2221" s="851"/>
    </row>
    <row r="2222" spans="11:12">
      <c r="K2222" s="851"/>
      <c r="L2222" s="851"/>
    </row>
    <row r="2223" spans="11:12">
      <c r="K2223" s="851"/>
      <c r="L2223" s="851"/>
    </row>
    <row r="2224" spans="11:12">
      <c r="K2224" s="851"/>
      <c r="L2224" s="851"/>
    </row>
    <row r="2225" spans="11:12">
      <c r="K2225" s="851"/>
      <c r="L2225" s="851"/>
    </row>
    <row r="2226" spans="11:12">
      <c r="K2226" s="851"/>
      <c r="L2226" s="851"/>
    </row>
    <row r="2227" spans="11:12">
      <c r="K2227" s="851"/>
      <c r="L2227" s="851"/>
    </row>
    <row r="2228" spans="11:12">
      <c r="K2228" s="851"/>
      <c r="L2228" s="851"/>
    </row>
    <row r="2229" spans="11:12">
      <c r="K2229" s="851"/>
      <c r="L2229" s="851"/>
    </row>
    <row r="2230" spans="11:12">
      <c r="K2230" s="851"/>
      <c r="L2230" s="851"/>
    </row>
    <row r="2231" spans="11:12">
      <c r="K2231" s="851"/>
      <c r="L2231" s="851"/>
    </row>
    <row r="2232" spans="11:12">
      <c r="K2232" s="851"/>
      <c r="L2232" s="851"/>
    </row>
    <row r="2233" spans="11:12">
      <c r="K2233" s="851"/>
      <c r="L2233" s="851"/>
    </row>
    <row r="2234" spans="11:12">
      <c r="K2234" s="851"/>
      <c r="L2234" s="851"/>
    </row>
    <row r="2235" spans="11:12">
      <c r="K2235" s="851"/>
      <c r="L2235" s="851"/>
    </row>
    <row r="2236" spans="11:12">
      <c r="K2236" s="851"/>
      <c r="L2236" s="851"/>
    </row>
    <row r="2237" spans="11:12">
      <c r="K2237" s="851"/>
      <c r="L2237" s="851"/>
    </row>
    <row r="2238" spans="11:12">
      <c r="K2238" s="851"/>
      <c r="L2238" s="851"/>
    </row>
    <row r="2239" spans="11:12">
      <c r="K2239" s="851"/>
      <c r="L2239" s="851"/>
    </row>
    <row r="2240" spans="11:12">
      <c r="K2240" s="851"/>
      <c r="L2240" s="851"/>
    </row>
    <row r="2241" spans="11:12">
      <c r="K2241" s="851"/>
      <c r="L2241" s="851"/>
    </row>
    <row r="2242" spans="11:12">
      <c r="K2242" s="851"/>
      <c r="L2242" s="851"/>
    </row>
    <row r="2243" spans="11:12">
      <c r="K2243" s="851"/>
      <c r="L2243" s="851"/>
    </row>
    <row r="2244" spans="11:12">
      <c r="K2244" s="851"/>
      <c r="L2244" s="851"/>
    </row>
    <row r="2245" spans="11:12">
      <c r="K2245" s="851"/>
      <c r="L2245" s="851"/>
    </row>
    <row r="2246" spans="11:12">
      <c r="K2246" s="851"/>
      <c r="L2246" s="851"/>
    </row>
    <row r="2247" spans="11:12">
      <c r="K2247" s="851"/>
      <c r="L2247" s="851"/>
    </row>
    <row r="2248" spans="11:12">
      <c r="K2248" s="851"/>
      <c r="L2248" s="851"/>
    </row>
    <row r="2249" spans="11:12">
      <c r="K2249" s="851"/>
      <c r="L2249" s="851"/>
    </row>
    <row r="2250" spans="11:12">
      <c r="K2250" s="851"/>
      <c r="L2250" s="851"/>
    </row>
    <row r="2251" spans="11:12">
      <c r="K2251" s="851"/>
      <c r="L2251" s="851"/>
    </row>
    <row r="2252" spans="11:12">
      <c r="K2252" s="851"/>
      <c r="L2252" s="851"/>
    </row>
    <row r="2253" spans="11:12">
      <c r="K2253" s="851"/>
      <c r="L2253" s="851"/>
    </row>
    <row r="2254" spans="11:12">
      <c r="K2254" s="851"/>
      <c r="L2254" s="851"/>
    </row>
    <row r="2255" spans="11:12">
      <c r="K2255" s="851"/>
      <c r="L2255" s="851"/>
    </row>
    <row r="2256" spans="11:12">
      <c r="K2256" s="851"/>
      <c r="L2256" s="851"/>
    </row>
    <row r="2257" spans="11:12">
      <c r="K2257" s="851"/>
      <c r="L2257" s="851"/>
    </row>
    <row r="2258" spans="11:12">
      <c r="K2258" s="851"/>
      <c r="L2258" s="851"/>
    </row>
    <row r="2259" spans="11:12">
      <c r="K2259" s="851"/>
      <c r="L2259" s="851"/>
    </row>
    <row r="2260" spans="11:12">
      <c r="K2260" s="851"/>
      <c r="L2260" s="851"/>
    </row>
    <row r="2261" spans="11:12">
      <c r="K2261" s="851"/>
      <c r="L2261" s="851"/>
    </row>
    <row r="2262" spans="11:12">
      <c r="K2262" s="851"/>
      <c r="L2262" s="851"/>
    </row>
    <row r="2263" spans="11:12">
      <c r="K2263" s="851"/>
      <c r="L2263" s="851"/>
    </row>
    <row r="2264" spans="11:12">
      <c r="K2264" s="851"/>
      <c r="L2264" s="851"/>
    </row>
    <row r="2265" spans="11:12">
      <c r="K2265" s="851"/>
      <c r="L2265" s="851"/>
    </row>
    <row r="2266" spans="11:12">
      <c r="K2266" s="851"/>
      <c r="L2266" s="851"/>
    </row>
    <row r="2267" spans="11:12">
      <c r="K2267" s="851"/>
      <c r="L2267" s="851"/>
    </row>
    <row r="2268" spans="11:12">
      <c r="K2268" s="851"/>
      <c r="L2268" s="851"/>
    </row>
    <row r="2269" spans="11:12">
      <c r="K2269" s="851"/>
      <c r="L2269" s="851"/>
    </row>
    <row r="2270" spans="11:12">
      <c r="K2270" s="851"/>
      <c r="L2270" s="851"/>
    </row>
    <row r="2271" spans="11:12">
      <c r="K2271" s="851"/>
      <c r="L2271" s="851"/>
    </row>
    <row r="2272" spans="11:12">
      <c r="K2272" s="851"/>
      <c r="L2272" s="851"/>
    </row>
    <row r="2273" spans="11:12">
      <c r="K2273" s="851"/>
      <c r="L2273" s="851"/>
    </row>
    <row r="2274" spans="11:12">
      <c r="K2274" s="851"/>
      <c r="L2274" s="851"/>
    </row>
    <row r="2275" spans="11:12">
      <c r="K2275" s="851"/>
      <c r="L2275" s="851"/>
    </row>
    <row r="2276" spans="11:12">
      <c r="K2276" s="851"/>
      <c r="L2276" s="851"/>
    </row>
    <row r="2277" spans="11:12">
      <c r="K2277" s="851"/>
      <c r="L2277" s="851"/>
    </row>
    <row r="2278" spans="11:12">
      <c r="K2278" s="851"/>
      <c r="L2278" s="851"/>
    </row>
    <row r="2279" spans="11:12">
      <c r="K2279" s="851"/>
      <c r="L2279" s="851"/>
    </row>
    <row r="2280" spans="11:12">
      <c r="K2280" s="851"/>
      <c r="L2280" s="851"/>
    </row>
    <row r="2281" spans="11:12">
      <c r="K2281" s="851"/>
      <c r="L2281" s="851"/>
    </row>
    <row r="2282" spans="11:12">
      <c r="K2282" s="851"/>
      <c r="L2282" s="851"/>
    </row>
    <row r="2283" spans="11:12">
      <c r="K2283" s="851"/>
      <c r="L2283" s="851"/>
    </row>
    <row r="2284" spans="11:12">
      <c r="K2284" s="851"/>
      <c r="L2284" s="851"/>
    </row>
    <row r="2285" spans="11:12">
      <c r="K2285" s="851"/>
      <c r="L2285" s="851"/>
    </row>
    <row r="2286" spans="11:12">
      <c r="K2286" s="851"/>
      <c r="L2286" s="851"/>
    </row>
    <row r="2287" spans="11:12">
      <c r="K2287" s="851"/>
      <c r="L2287" s="851"/>
    </row>
    <row r="2288" spans="11:12">
      <c r="K2288" s="851"/>
      <c r="L2288" s="851"/>
    </row>
    <row r="2289" spans="11:12">
      <c r="K2289" s="851"/>
      <c r="L2289" s="851"/>
    </row>
    <row r="2290" spans="11:12">
      <c r="K2290" s="851"/>
      <c r="L2290" s="851"/>
    </row>
    <row r="2291" spans="11:12">
      <c r="K2291" s="851"/>
      <c r="L2291" s="851"/>
    </row>
    <row r="2292" spans="11:12">
      <c r="K2292" s="851"/>
      <c r="L2292" s="851"/>
    </row>
    <row r="2293" spans="11:12">
      <c r="K2293" s="851"/>
      <c r="L2293" s="851"/>
    </row>
    <row r="2294" spans="11:12">
      <c r="K2294" s="851"/>
      <c r="L2294" s="851"/>
    </row>
    <row r="2295" spans="11:12">
      <c r="K2295" s="851"/>
      <c r="L2295" s="851"/>
    </row>
    <row r="2296" spans="11:12">
      <c r="K2296" s="851"/>
      <c r="L2296" s="851"/>
    </row>
    <row r="2297" spans="11:12">
      <c r="K2297" s="851"/>
      <c r="L2297" s="851"/>
    </row>
    <row r="2298" spans="11:12">
      <c r="K2298" s="851"/>
      <c r="L2298" s="851"/>
    </row>
    <row r="2299" spans="11:12">
      <c r="K2299" s="851"/>
      <c r="L2299" s="851"/>
    </row>
    <row r="2300" spans="11:12">
      <c r="K2300" s="851"/>
      <c r="L2300" s="851"/>
    </row>
    <row r="2301" spans="11:12">
      <c r="K2301" s="851"/>
      <c r="L2301" s="851"/>
    </row>
    <row r="2302" spans="11:12">
      <c r="K2302" s="851"/>
      <c r="L2302" s="851"/>
    </row>
    <row r="2303" spans="11:12">
      <c r="K2303" s="851"/>
      <c r="L2303" s="851"/>
    </row>
    <row r="2304" spans="11:12">
      <c r="K2304" s="851"/>
      <c r="L2304" s="851"/>
    </row>
    <row r="2305" spans="11:12">
      <c r="K2305" s="851"/>
      <c r="L2305" s="851"/>
    </row>
    <row r="2306" spans="11:12">
      <c r="K2306" s="851"/>
      <c r="L2306" s="851"/>
    </row>
    <row r="2307" spans="11:12">
      <c r="K2307" s="851"/>
      <c r="L2307" s="851"/>
    </row>
    <row r="2308" spans="11:12">
      <c r="K2308" s="851"/>
      <c r="L2308" s="851"/>
    </row>
    <row r="2309" spans="11:12">
      <c r="K2309" s="851"/>
      <c r="L2309" s="851"/>
    </row>
    <row r="2310" spans="11:12">
      <c r="K2310" s="851"/>
      <c r="L2310" s="851"/>
    </row>
    <row r="2311" spans="11:12">
      <c r="K2311" s="851"/>
      <c r="L2311" s="851"/>
    </row>
    <row r="2312" spans="11:12">
      <c r="K2312" s="851"/>
      <c r="L2312" s="851"/>
    </row>
    <row r="2313" spans="11:12">
      <c r="K2313" s="851"/>
      <c r="L2313" s="851"/>
    </row>
    <row r="2314" spans="11:12">
      <c r="K2314" s="851"/>
      <c r="L2314" s="851"/>
    </row>
    <row r="2315" spans="11:12">
      <c r="K2315" s="851"/>
      <c r="L2315" s="851"/>
    </row>
    <row r="2316" spans="11:12">
      <c r="K2316" s="851"/>
      <c r="L2316" s="851"/>
    </row>
    <row r="2317" spans="11:12">
      <c r="K2317" s="851"/>
      <c r="L2317" s="851"/>
    </row>
    <row r="2318" spans="11:12">
      <c r="K2318" s="851"/>
      <c r="L2318" s="851"/>
    </row>
    <row r="2319" spans="11:12">
      <c r="K2319" s="851"/>
      <c r="L2319" s="851"/>
    </row>
    <row r="2320" spans="11:12">
      <c r="K2320" s="851"/>
      <c r="L2320" s="851"/>
    </row>
    <row r="2321" spans="11:12">
      <c r="K2321" s="851"/>
      <c r="L2321" s="851"/>
    </row>
    <row r="2322" spans="11:12">
      <c r="K2322" s="851"/>
      <c r="L2322" s="851"/>
    </row>
    <row r="2323" spans="11:12">
      <c r="K2323" s="851"/>
      <c r="L2323" s="851"/>
    </row>
    <row r="2324" spans="11:12">
      <c r="K2324" s="851"/>
      <c r="L2324" s="851"/>
    </row>
    <row r="2325" spans="11:12">
      <c r="K2325" s="851"/>
      <c r="L2325" s="851"/>
    </row>
    <row r="2326" spans="11:12">
      <c r="K2326" s="851"/>
      <c r="L2326" s="851"/>
    </row>
    <row r="2327" spans="11:12">
      <c r="K2327" s="851"/>
      <c r="L2327" s="851"/>
    </row>
    <row r="2328" spans="11:12">
      <c r="K2328" s="851"/>
      <c r="L2328" s="851"/>
    </row>
    <row r="2329" spans="11:12">
      <c r="K2329" s="851"/>
      <c r="L2329" s="851"/>
    </row>
    <row r="2330" spans="11:12">
      <c r="K2330" s="851"/>
      <c r="L2330" s="851"/>
    </row>
    <row r="2331" spans="11:12">
      <c r="K2331" s="851"/>
      <c r="L2331" s="851"/>
    </row>
    <row r="2332" spans="11:12">
      <c r="K2332" s="851"/>
      <c r="L2332" s="851"/>
    </row>
    <row r="2333" spans="11:12">
      <c r="K2333" s="851"/>
      <c r="L2333" s="851"/>
    </row>
    <row r="2334" spans="11:12">
      <c r="K2334" s="851"/>
      <c r="L2334" s="851"/>
    </row>
    <row r="2335" spans="11:12">
      <c r="K2335" s="851"/>
      <c r="L2335" s="851"/>
    </row>
    <row r="2336" spans="11:12">
      <c r="K2336" s="851"/>
      <c r="L2336" s="851"/>
    </row>
    <row r="2337" spans="11:12">
      <c r="K2337" s="851"/>
      <c r="L2337" s="851"/>
    </row>
    <row r="2338" spans="11:12">
      <c r="K2338" s="851"/>
      <c r="L2338" s="851"/>
    </row>
    <row r="2339" spans="11:12">
      <c r="K2339" s="851"/>
      <c r="L2339" s="851"/>
    </row>
    <row r="2340" spans="11:12">
      <c r="K2340" s="851"/>
      <c r="L2340" s="851"/>
    </row>
    <row r="2341" spans="11:12">
      <c r="K2341" s="851"/>
      <c r="L2341" s="851"/>
    </row>
    <row r="2342" spans="11:12">
      <c r="K2342" s="851"/>
      <c r="L2342" s="851"/>
    </row>
    <row r="2343" spans="11:12">
      <c r="K2343" s="851"/>
      <c r="L2343" s="851"/>
    </row>
    <row r="2344" spans="11:12">
      <c r="K2344" s="851"/>
      <c r="L2344" s="851"/>
    </row>
    <row r="2345" spans="11:12">
      <c r="K2345" s="851"/>
      <c r="L2345" s="851"/>
    </row>
    <row r="2346" spans="11:12">
      <c r="K2346" s="851"/>
      <c r="L2346" s="851"/>
    </row>
    <row r="2347" spans="11:12">
      <c r="K2347" s="851"/>
      <c r="L2347" s="851"/>
    </row>
    <row r="2348" spans="11:12">
      <c r="K2348" s="851"/>
      <c r="L2348" s="851"/>
    </row>
    <row r="2349" spans="11:12">
      <c r="K2349" s="851"/>
      <c r="L2349" s="851"/>
    </row>
    <row r="2350" spans="11:12">
      <c r="K2350" s="851"/>
      <c r="L2350" s="851"/>
    </row>
    <row r="2351" spans="11:12">
      <c r="K2351" s="851"/>
      <c r="L2351" s="851"/>
    </row>
    <row r="2352" spans="11:12">
      <c r="K2352" s="851"/>
      <c r="L2352" s="851"/>
    </row>
    <row r="2353" spans="11:12">
      <c r="K2353" s="851"/>
      <c r="L2353" s="851"/>
    </row>
    <row r="2354" spans="11:12">
      <c r="K2354" s="851"/>
      <c r="L2354" s="851"/>
    </row>
    <row r="2355" spans="11:12">
      <c r="K2355" s="851"/>
      <c r="L2355" s="851"/>
    </row>
    <row r="2356" spans="11:12">
      <c r="K2356" s="851"/>
      <c r="L2356" s="851"/>
    </row>
    <row r="2357" spans="11:12">
      <c r="K2357" s="851"/>
      <c r="L2357" s="851"/>
    </row>
    <row r="2358" spans="11:12">
      <c r="K2358" s="851"/>
      <c r="L2358" s="851"/>
    </row>
    <row r="2359" spans="11:12">
      <c r="K2359" s="851"/>
      <c r="L2359" s="851"/>
    </row>
    <row r="2360" spans="11:12">
      <c r="K2360" s="851"/>
      <c r="L2360" s="851"/>
    </row>
    <row r="2361" spans="11:12">
      <c r="K2361" s="851"/>
      <c r="L2361" s="851"/>
    </row>
    <row r="2362" spans="11:12">
      <c r="K2362" s="851"/>
      <c r="L2362" s="851"/>
    </row>
    <row r="2363" spans="11:12">
      <c r="K2363" s="851"/>
      <c r="L2363" s="851"/>
    </row>
    <row r="2364" spans="11:12">
      <c r="K2364" s="851"/>
      <c r="L2364" s="851"/>
    </row>
    <row r="2365" spans="11:12">
      <c r="K2365" s="851"/>
      <c r="L2365" s="851"/>
    </row>
    <row r="2366" spans="11:12">
      <c r="K2366" s="851"/>
      <c r="L2366" s="851"/>
    </row>
    <row r="2367" spans="11:12">
      <c r="K2367" s="851"/>
      <c r="L2367" s="851"/>
    </row>
    <row r="2368" spans="11:12">
      <c r="K2368" s="851"/>
      <c r="L2368" s="851"/>
    </row>
    <row r="2369" spans="11:12">
      <c r="K2369" s="851"/>
      <c r="L2369" s="851"/>
    </row>
    <row r="2370" spans="11:12">
      <c r="K2370" s="851"/>
      <c r="L2370" s="851"/>
    </row>
    <row r="2371" spans="11:12">
      <c r="K2371" s="851"/>
      <c r="L2371" s="851"/>
    </row>
    <row r="2372" spans="11:12">
      <c r="K2372" s="851"/>
      <c r="L2372" s="851"/>
    </row>
    <row r="2373" spans="11:12">
      <c r="K2373" s="851"/>
      <c r="L2373" s="851"/>
    </row>
    <row r="2374" spans="11:12">
      <c r="K2374" s="851"/>
      <c r="L2374" s="851"/>
    </row>
    <row r="2375" spans="11:12">
      <c r="K2375" s="851"/>
      <c r="L2375" s="851"/>
    </row>
    <row r="2376" spans="11:12">
      <c r="K2376" s="851"/>
      <c r="L2376" s="851"/>
    </row>
    <row r="2377" spans="11:12">
      <c r="K2377" s="851"/>
      <c r="L2377" s="851"/>
    </row>
    <row r="2378" spans="11:12">
      <c r="K2378" s="851"/>
      <c r="L2378" s="851"/>
    </row>
    <row r="2379" spans="11:12">
      <c r="K2379" s="851"/>
      <c r="L2379" s="851"/>
    </row>
    <row r="2380" spans="11:12">
      <c r="K2380" s="851"/>
      <c r="L2380" s="851"/>
    </row>
    <row r="2381" spans="11:12">
      <c r="K2381" s="851"/>
      <c r="L2381" s="851"/>
    </row>
    <row r="2382" spans="11:12">
      <c r="K2382" s="851"/>
      <c r="L2382" s="851"/>
    </row>
    <row r="2383" spans="11:12">
      <c r="K2383" s="851"/>
      <c r="L2383" s="851"/>
    </row>
    <row r="2384" spans="11:12">
      <c r="K2384" s="851"/>
      <c r="L2384" s="851"/>
    </row>
    <row r="2385" spans="11:12">
      <c r="K2385" s="851"/>
      <c r="L2385" s="851"/>
    </row>
    <row r="2386" spans="11:12">
      <c r="K2386" s="851"/>
      <c r="L2386" s="851"/>
    </row>
    <row r="2387" spans="11:12">
      <c r="K2387" s="851"/>
      <c r="L2387" s="851"/>
    </row>
    <row r="2388" spans="11:12">
      <c r="K2388" s="851"/>
      <c r="L2388" s="851"/>
    </row>
    <row r="2389" spans="11:12">
      <c r="K2389" s="851"/>
      <c r="L2389" s="851"/>
    </row>
    <row r="2390" spans="11:12">
      <c r="K2390" s="851"/>
      <c r="L2390" s="851"/>
    </row>
    <row r="2391" spans="11:12">
      <c r="K2391" s="851"/>
      <c r="L2391" s="851"/>
    </row>
    <row r="2392" spans="11:12">
      <c r="K2392" s="851"/>
      <c r="L2392" s="851"/>
    </row>
    <row r="2393" spans="11:12">
      <c r="K2393" s="851"/>
      <c r="L2393" s="851"/>
    </row>
    <row r="2394" spans="11:12">
      <c r="K2394" s="851"/>
      <c r="L2394" s="851"/>
    </row>
    <row r="2395" spans="11:12">
      <c r="K2395" s="851"/>
      <c r="L2395" s="851"/>
    </row>
    <row r="2396" spans="11:12">
      <c r="K2396" s="851"/>
      <c r="L2396" s="851"/>
    </row>
    <row r="2397" spans="11:12">
      <c r="K2397" s="851"/>
      <c r="L2397" s="851"/>
    </row>
    <row r="2398" spans="11:12">
      <c r="K2398" s="851"/>
      <c r="L2398" s="851"/>
    </row>
    <row r="2399" spans="11:12">
      <c r="K2399" s="851"/>
      <c r="L2399" s="851"/>
    </row>
    <row r="2400" spans="11:12">
      <c r="K2400" s="851"/>
      <c r="L2400" s="851"/>
    </row>
    <row r="2401" spans="11:12">
      <c r="K2401" s="851"/>
      <c r="L2401" s="851"/>
    </row>
    <row r="2402" spans="11:12">
      <c r="K2402" s="851"/>
      <c r="L2402" s="851"/>
    </row>
    <row r="2403" spans="11:12">
      <c r="K2403" s="851"/>
      <c r="L2403" s="851"/>
    </row>
    <row r="2404" spans="11:12">
      <c r="K2404" s="851"/>
      <c r="L2404" s="851"/>
    </row>
    <row r="2405" spans="11:12">
      <c r="K2405" s="851"/>
      <c r="L2405" s="851"/>
    </row>
    <row r="2406" spans="11:12">
      <c r="K2406" s="851"/>
      <c r="L2406" s="851"/>
    </row>
    <row r="2407" spans="11:12">
      <c r="K2407" s="851"/>
      <c r="L2407" s="851"/>
    </row>
    <row r="2408" spans="11:12">
      <c r="K2408" s="851"/>
      <c r="L2408" s="851"/>
    </row>
    <row r="2409" spans="11:12">
      <c r="K2409" s="851"/>
      <c r="L2409" s="851"/>
    </row>
    <row r="2410" spans="11:12">
      <c r="K2410" s="851"/>
      <c r="L2410" s="851"/>
    </row>
    <row r="2411" spans="11:12">
      <c r="K2411" s="851"/>
      <c r="L2411" s="851"/>
    </row>
    <row r="2412" spans="11:12">
      <c r="K2412" s="851"/>
      <c r="L2412" s="851"/>
    </row>
    <row r="2413" spans="11:12">
      <c r="K2413" s="851"/>
      <c r="L2413" s="851"/>
    </row>
    <row r="2414" spans="11:12">
      <c r="K2414" s="851"/>
      <c r="L2414" s="851"/>
    </row>
    <row r="2415" spans="11:12">
      <c r="K2415" s="851"/>
      <c r="L2415" s="851"/>
    </row>
    <row r="2416" spans="11:12">
      <c r="K2416" s="851"/>
      <c r="L2416" s="851"/>
    </row>
    <row r="2417" spans="11:12">
      <c r="K2417" s="851"/>
      <c r="L2417" s="851"/>
    </row>
    <row r="2418" spans="11:12">
      <c r="K2418" s="851"/>
      <c r="L2418" s="851"/>
    </row>
    <row r="2419" spans="11:12">
      <c r="K2419" s="851"/>
      <c r="L2419" s="851"/>
    </row>
    <row r="2420" spans="11:12">
      <c r="K2420" s="851"/>
      <c r="L2420" s="851"/>
    </row>
    <row r="2421" spans="11:12">
      <c r="K2421" s="851"/>
      <c r="L2421" s="851"/>
    </row>
    <row r="2422" spans="11:12">
      <c r="K2422" s="851"/>
      <c r="L2422" s="851"/>
    </row>
    <row r="2423" spans="11:12">
      <c r="K2423" s="851"/>
      <c r="L2423" s="851"/>
    </row>
    <row r="2424" spans="11:12">
      <c r="K2424" s="851"/>
      <c r="L2424" s="851"/>
    </row>
    <row r="2425" spans="11:12">
      <c r="K2425" s="851"/>
      <c r="L2425" s="851"/>
    </row>
    <row r="2426" spans="11:12">
      <c r="K2426" s="851"/>
      <c r="L2426" s="851"/>
    </row>
    <row r="2427" spans="11:12">
      <c r="K2427" s="851"/>
      <c r="L2427" s="851"/>
    </row>
    <row r="2428" spans="11:12">
      <c r="K2428" s="851"/>
      <c r="L2428" s="851"/>
    </row>
    <row r="2429" spans="11:12">
      <c r="K2429" s="851"/>
      <c r="L2429" s="851"/>
    </row>
    <row r="2430" spans="11:12">
      <c r="K2430" s="851"/>
      <c r="L2430" s="851"/>
    </row>
    <row r="2431" spans="11:12">
      <c r="K2431" s="851"/>
      <c r="L2431" s="851"/>
    </row>
    <row r="2432" spans="11:12">
      <c r="K2432" s="851"/>
      <c r="L2432" s="851"/>
    </row>
    <row r="2433" spans="11:12">
      <c r="K2433" s="851"/>
      <c r="L2433" s="851"/>
    </row>
    <row r="2434" spans="11:12">
      <c r="K2434" s="851"/>
      <c r="L2434" s="851"/>
    </row>
    <row r="2435" spans="11:12">
      <c r="K2435" s="851"/>
      <c r="L2435" s="851"/>
    </row>
    <row r="2436" spans="11:12">
      <c r="K2436" s="851"/>
      <c r="L2436" s="851"/>
    </row>
    <row r="2437" spans="11:12">
      <c r="K2437" s="851"/>
      <c r="L2437" s="851"/>
    </row>
    <row r="2438" spans="11:12">
      <c r="K2438" s="851"/>
      <c r="L2438" s="851"/>
    </row>
    <row r="2439" spans="11:12">
      <c r="K2439" s="851"/>
      <c r="L2439" s="851"/>
    </row>
    <row r="2440" spans="11:12">
      <c r="K2440" s="851"/>
      <c r="L2440" s="851"/>
    </row>
    <row r="2441" spans="11:12">
      <c r="K2441" s="851"/>
      <c r="L2441" s="851"/>
    </row>
    <row r="2442" spans="11:12">
      <c r="K2442" s="851"/>
      <c r="L2442" s="851"/>
    </row>
    <row r="2443" spans="11:12">
      <c r="K2443" s="851"/>
      <c r="L2443" s="851"/>
    </row>
    <row r="2444" spans="11:12">
      <c r="K2444" s="851"/>
      <c r="L2444" s="851"/>
    </row>
    <row r="2445" spans="11:12">
      <c r="K2445" s="851"/>
      <c r="L2445" s="851"/>
    </row>
    <row r="2446" spans="11:12">
      <c r="K2446" s="851"/>
      <c r="L2446" s="851"/>
    </row>
    <row r="2447" spans="11:12">
      <c r="K2447" s="851"/>
      <c r="L2447" s="851"/>
    </row>
    <row r="2448" spans="11:12">
      <c r="K2448" s="851"/>
      <c r="L2448" s="851"/>
    </row>
    <row r="2449" spans="11:12">
      <c r="K2449" s="851"/>
      <c r="L2449" s="851"/>
    </row>
    <row r="2450" spans="11:12">
      <c r="K2450" s="851"/>
      <c r="L2450" s="851"/>
    </row>
    <row r="2451" spans="11:12">
      <c r="K2451" s="851"/>
      <c r="L2451" s="851"/>
    </row>
    <row r="2452" spans="11:12">
      <c r="K2452" s="851"/>
      <c r="L2452" s="851"/>
    </row>
    <row r="2453" spans="11:12">
      <c r="K2453" s="851"/>
      <c r="L2453" s="851"/>
    </row>
    <row r="2454" spans="11:12">
      <c r="K2454" s="851"/>
      <c r="L2454" s="851"/>
    </row>
    <row r="2455" spans="11:12">
      <c r="K2455" s="851"/>
      <c r="L2455" s="851"/>
    </row>
    <row r="2456" spans="11:12">
      <c r="K2456" s="851"/>
      <c r="L2456" s="851"/>
    </row>
    <row r="2457" spans="11:12">
      <c r="K2457" s="851"/>
      <c r="L2457" s="851"/>
    </row>
    <row r="2458" spans="11:12">
      <c r="K2458" s="851"/>
      <c r="L2458" s="851"/>
    </row>
    <row r="2459" spans="11:12">
      <c r="K2459" s="851"/>
      <c r="L2459" s="851"/>
    </row>
    <row r="2460" spans="11:12">
      <c r="K2460" s="851"/>
      <c r="L2460" s="851"/>
    </row>
    <row r="2461" spans="11:12">
      <c r="K2461" s="851"/>
      <c r="L2461" s="851"/>
    </row>
    <row r="2462" spans="11:12">
      <c r="K2462" s="851"/>
      <c r="L2462" s="851"/>
    </row>
    <row r="2463" spans="11:12">
      <c r="K2463" s="851"/>
      <c r="L2463" s="851"/>
    </row>
    <row r="2464" spans="11:12">
      <c r="K2464" s="851"/>
      <c r="L2464" s="851"/>
    </row>
    <row r="2465" spans="11:12">
      <c r="K2465" s="851"/>
      <c r="L2465" s="851"/>
    </row>
    <row r="2466" spans="11:12">
      <c r="K2466" s="851"/>
      <c r="L2466" s="851"/>
    </row>
    <row r="2467" spans="11:12">
      <c r="K2467" s="851"/>
      <c r="L2467" s="851"/>
    </row>
    <row r="2468" spans="11:12">
      <c r="K2468" s="851"/>
      <c r="L2468" s="851"/>
    </row>
    <row r="2469" spans="11:12">
      <c r="K2469" s="851"/>
      <c r="L2469" s="851"/>
    </row>
    <row r="2470" spans="11:12">
      <c r="K2470" s="851"/>
      <c r="L2470" s="851"/>
    </row>
    <row r="2471" spans="11:12">
      <c r="K2471" s="851"/>
      <c r="L2471" s="851"/>
    </row>
    <row r="2472" spans="11:12">
      <c r="K2472" s="851"/>
      <c r="L2472" s="851"/>
    </row>
    <row r="2473" spans="11:12">
      <c r="K2473" s="851"/>
      <c r="L2473" s="851"/>
    </row>
    <row r="2474" spans="11:12">
      <c r="K2474" s="851"/>
      <c r="L2474" s="851"/>
    </row>
    <row r="2475" spans="11:12">
      <c r="K2475" s="851"/>
      <c r="L2475" s="851"/>
    </row>
    <row r="2476" spans="11:12">
      <c r="K2476" s="851"/>
      <c r="L2476" s="851"/>
    </row>
    <row r="2477" spans="11:12">
      <c r="K2477" s="851"/>
      <c r="L2477" s="851"/>
    </row>
    <row r="2478" spans="11:12">
      <c r="K2478" s="851"/>
      <c r="L2478" s="851"/>
    </row>
    <row r="2479" spans="11:12">
      <c r="K2479" s="851"/>
      <c r="L2479" s="851"/>
    </row>
    <row r="2480" spans="11:12">
      <c r="K2480" s="851"/>
      <c r="L2480" s="851"/>
    </row>
    <row r="2481" spans="11:12">
      <c r="K2481" s="851"/>
      <c r="L2481" s="851"/>
    </row>
    <row r="2482" spans="11:12">
      <c r="K2482" s="851"/>
      <c r="L2482" s="851"/>
    </row>
    <row r="2483" spans="11:12">
      <c r="K2483" s="851"/>
      <c r="L2483" s="851"/>
    </row>
    <row r="2484" spans="11:12">
      <c r="K2484" s="851"/>
      <c r="L2484" s="851"/>
    </row>
    <row r="2485" spans="11:12">
      <c r="K2485" s="851"/>
      <c r="L2485" s="851"/>
    </row>
    <row r="2486" spans="11:12">
      <c r="K2486" s="851"/>
      <c r="L2486" s="851"/>
    </row>
    <row r="2487" spans="11:12">
      <c r="K2487" s="851"/>
      <c r="L2487" s="851"/>
    </row>
    <row r="2488" spans="11:12">
      <c r="K2488" s="851"/>
      <c r="L2488" s="851"/>
    </row>
    <row r="2489" spans="11:12">
      <c r="K2489" s="851"/>
      <c r="L2489" s="851"/>
    </row>
    <row r="2490" spans="11:12">
      <c r="K2490" s="851"/>
      <c r="L2490" s="851"/>
    </row>
    <row r="2491" spans="11:12">
      <c r="K2491" s="851"/>
      <c r="L2491" s="851"/>
    </row>
    <row r="2492" spans="11:12">
      <c r="K2492" s="851"/>
      <c r="L2492" s="851"/>
    </row>
    <row r="2493" spans="11:12">
      <c r="K2493" s="851"/>
      <c r="L2493" s="851"/>
    </row>
    <row r="2494" spans="11:12">
      <c r="K2494" s="851"/>
      <c r="L2494" s="851"/>
    </row>
    <row r="2495" spans="11:12">
      <c r="K2495" s="851"/>
      <c r="L2495" s="851"/>
    </row>
    <row r="2496" spans="11:12">
      <c r="K2496" s="851"/>
      <c r="L2496" s="851"/>
    </row>
    <row r="2497" spans="11:12">
      <c r="K2497" s="851"/>
      <c r="L2497" s="851"/>
    </row>
    <row r="2498" spans="11:12">
      <c r="K2498" s="851"/>
      <c r="L2498" s="851"/>
    </row>
    <row r="2499" spans="11:12">
      <c r="K2499" s="851"/>
      <c r="L2499" s="851"/>
    </row>
    <row r="2500" spans="11:12">
      <c r="K2500" s="851"/>
      <c r="L2500" s="851"/>
    </row>
    <row r="2501" spans="11:12">
      <c r="K2501" s="851"/>
      <c r="L2501" s="851"/>
    </row>
    <row r="2502" spans="11:12">
      <c r="K2502" s="851"/>
      <c r="L2502" s="851"/>
    </row>
    <row r="2503" spans="11:12">
      <c r="K2503" s="851"/>
      <c r="L2503" s="851"/>
    </row>
    <row r="2504" spans="11:12">
      <c r="K2504" s="851"/>
      <c r="L2504" s="851"/>
    </row>
    <row r="2505" spans="11:12">
      <c r="K2505" s="851"/>
      <c r="L2505" s="851"/>
    </row>
    <row r="2506" spans="11:12">
      <c r="K2506" s="851"/>
      <c r="L2506" s="851"/>
    </row>
    <row r="2507" spans="11:12">
      <c r="K2507" s="851"/>
      <c r="L2507" s="851"/>
    </row>
    <row r="2508" spans="11:12">
      <c r="K2508" s="851"/>
      <c r="L2508" s="851"/>
    </row>
    <row r="2509" spans="11:12">
      <c r="K2509" s="851"/>
      <c r="L2509" s="851"/>
    </row>
    <row r="2510" spans="11:12">
      <c r="K2510" s="851"/>
      <c r="L2510" s="851"/>
    </row>
    <row r="2511" spans="11:12">
      <c r="K2511" s="851"/>
      <c r="L2511" s="851"/>
    </row>
    <row r="2512" spans="11:12">
      <c r="K2512" s="851"/>
      <c r="L2512" s="851"/>
    </row>
    <row r="2513" spans="11:12">
      <c r="K2513" s="851"/>
      <c r="L2513" s="851"/>
    </row>
    <row r="2514" spans="11:12">
      <c r="K2514" s="851"/>
      <c r="L2514" s="851"/>
    </row>
    <row r="2515" spans="11:12">
      <c r="K2515" s="851"/>
      <c r="L2515" s="851"/>
    </row>
    <row r="2516" spans="11:12">
      <c r="K2516" s="851"/>
      <c r="L2516" s="851"/>
    </row>
    <row r="2517" spans="11:12">
      <c r="K2517" s="851"/>
      <c r="L2517" s="851"/>
    </row>
    <row r="2518" spans="11:12">
      <c r="K2518" s="851"/>
      <c r="L2518" s="851"/>
    </row>
    <row r="2519" spans="11:12">
      <c r="K2519" s="851"/>
      <c r="L2519" s="851"/>
    </row>
    <row r="2520" spans="11:12">
      <c r="K2520" s="851"/>
      <c r="L2520" s="851"/>
    </row>
    <row r="2521" spans="11:12">
      <c r="K2521" s="851"/>
      <c r="L2521" s="851"/>
    </row>
    <row r="2522" spans="11:12">
      <c r="K2522" s="851"/>
      <c r="L2522" s="851"/>
    </row>
    <row r="2523" spans="11:12">
      <c r="K2523" s="851"/>
      <c r="L2523" s="851"/>
    </row>
    <row r="2524" spans="11:12">
      <c r="K2524" s="851"/>
      <c r="L2524" s="851"/>
    </row>
    <row r="2525" spans="11:12">
      <c r="K2525" s="851"/>
      <c r="L2525" s="851"/>
    </row>
    <row r="2526" spans="11:12">
      <c r="K2526" s="851"/>
      <c r="L2526" s="851"/>
    </row>
    <row r="2527" spans="11:12">
      <c r="K2527" s="851"/>
      <c r="L2527" s="851"/>
    </row>
    <row r="2528" spans="11:12">
      <c r="K2528" s="851"/>
      <c r="L2528" s="851"/>
    </row>
    <row r="2529" spans="11:12">
      <c r="K2529" s="851"/>
      <c r="L2529" s="851"/>
    </row>
    <row r="2530" spans="11:12">
      <c r="K2530" s="851"/>
      <c r="L2530" s="851"/>
    </row>
    <row r="2531" spans="11:12">
      <c r="K2531" s="851"/>
      <c r="L2531" s="851"/>
    </row>
    <row r="2532" spans="11:12">
      <c r="K2532" s="851"/>
      <c r="L2532" s="851"/>
    </row>
    <row r="2533" spans="11:12">
      <c r="K2533" s="851"/>
      <c r="L2533" s="851"/>
    </row>
    <row r="2534" spans="11:12">
      <c r="K2534" s="851"/>
      <c r="L2534" s="851"/>
    </row>
    <row r="2535" spans="11:12">
      <c r="K2535" s="851"/>
      <c r="L2535" s="851"/>
    </row>
    <row r="2536" spans="11:12">
      <c r="K2536" s="851"/>
      <c r="L2536" s="851"/>
    </row>
    <row r="2537" spans="11:12">
      <c r="K2537" s="851"/>
      <c r="L2537" s="851"/>
    </row>
    <row r="2538" spans="11:12">
      <c r="K2538" s="851"/>
      <c r="L2538" s="851"/>
    </row>
    <row r="2539" spans="11:12">
      <c r="K2539" s="851"/>
      <c r="L2539" s="851"/>
    </row>
    <row r="2540" spans="11:12">
      <c r="K2540" s="851"/>
      <c r="L2540" s="851"/>
    </row>
    <row r="2541" spans="11:12">
      <c r="K2541" s="851"/>
      <c r="L2541" s="851"/>
    </row>
    <row r="2542" spans="11:12">
      <c r="K2542" s="851"/>
      <c r="L2542" s="851"/>
    </row>
    <row r="2543" spans="11:12">
      <c r="K2543" s="851"/>
      <c r="L2543" s="851"/>
    </row>
    <row r="2544" spans="11:12">
      <c r="K2544" s="851"/>
      <c r="L2544" s="851"/>
    </row>
    <row r="2545" spans="11:12">
      <c r="K2545" s="851"/>
      <c r="L2545" s="851"/>
    </row>
    <row r="2546" spans="11:12">
      <c r="K2546" s="851"/>
      <c r="L2546" s="851"/>
    </row>
    <row r="2547" spans="11:12">
      <c r="K2547" s="851"/>
      <c r="L2547" s="851"/>
    </row>
    <row r="2548" spans="11:12">
      <c r="K2548" s="851"/>
      <c r="L2548" s="851"/>
    </row>
    <row r="2549" spans="11:12">
      <c r="K2549" s="851"/>
      <c r="L2549" s="851"/>
    </row>
    <row r="2550" spans="11:12">
      <c r="K2550" s="851"/>
      <c r="L2550" s="851"/>
    </row>
    <row r="2551" spans="11:12">
      <c r="K2551" s="851"/>
      <c r="L2551" s="851"/>
    </row>
    <row r="2552" spans="11:12">
      <c r="K2552" s="851"/>
      <c r="L2552" s="851"/>
    </row>
    <row r="2553" spans="11:12">
      <c r="K2553" s="851"/>
      <c r="L2553" s="851"/>
    </row>
    <row r="2554" spans="11:12">
      <c r="K2554" s="851"/>
      <c r="L2554" s="851"/>
    </row>
    <row r="2555" spans="11:12">
      <c r="K2555" s="851"/>
      <c r="L2555" s="851"/>
    </row>
    <row r="2556" spans="11:12">
      <c r="K2556" s="851"/>
      <c r="L2556" s="851"/>
    </row>
    <row r="2557" spans="11:12">
      <c r="K2557" s="851"/>
      <c r="L2557" s="851"/>
    </row>
    <row r="2558" spans="11:12">
      <c r="K2558" s="851"/>
      <c r="L2558" s="851"/>
    </row>
    <row r="2559" spans="11:12">
      <c r="K2559" s="851"/>
      <c r="L2559" s="851"/>
    </row>
    <row r="2560" spans="11:12">
      <c r="K2560" s="851"/>
      <c r="L2560" s="851"/>
    </row>
    <row r="2561" spans="11:12">
      <c r="K2561" s="851"/>
      <c r="L2561" s="851"/>
    </row>
    <row r="2562" spans="11:12">
      <c r="K2562" s="851"/>
      <c r="L2562" s="851"/>
    </row>
    <row r="2563" spans="11:12">
      <c r="K2563" s="851"/>
      <c r="L2563" s="851"/>
    </row>
    <row r="2564" spans="11:12">
      <c r="K2564" s="851"/>
      <c r="L2564" s="851"/>
    </row>
    <row r="2565" spans="11:12">
      <c r="K2565" s="851"/>
      <c r="L2565" s="851"/>
    </row>
    <row r="2566" spans="11:12">
      <c r="K2566" s="851"/>
      <c r="L2566" s="851"/>
    </row>
    <row r="2567" spans="11:12">
      <c r="K2567" s="851"/>
      <c r="L2567" s="851"/>
    </row>
    <row r="2568" spans="11:12">
      <c r="K2568" s="851"/>
      <c r="L2568" s="851"/>
    </row>
    <row r="2569" spans="11:12">
      <c r="K2569" s="851"/>
      <c r="L2569" s="851"/>
    </row>
    <row r="2570" spans="11:12">
      <c r="K2570" s="851"/>
      <c r="L2570" s="851"/>
    </row>
    <row r="2571" spans="11:12">
      <c r="K2571" s="851"/>
      <c r="L2571" s="851"/>
    </row>
    <row r="2572" spans="11:12">
      <c r="K2572" s="851"/>
      <c r="L2572" s="851"/>
    </row>
    <row r="2573" spans="11:12">
      <c r="K2573" s="851"/>
      <c r="L2573" s="851"/>
    </row>
    <row r="2574" spans="11:12">
      <c r="K2574" s="851"/>
      <c r="L2574" s="851"/>
    </row>
    <row r="2575" spans="11:12">
      <c r="K2575" s="851"/>
      <c r="L2575" s="851"/>
    </row>
    <row r="2576" spans="11:12">
      <c r="K2576" s="851"/>
      <c r="L2576" s="851"/>
    </row>
    <row r="2577" spans="11:12">
      <c r="K2577" s="851"/>
      <c r="L2577" s="851"/>
    </row>
    <row r="2578" spans="11:12">
      <c r="K2578" s="851"/>
      <c r="L2578" s="851"/>
    </row>
    <row r="2579" spans="11:12">
      <c r="K2579" s="851"/>
      <c r="L2579" s="851"/>
    </row>
    <row r="2580" spans="11:12">
      <c r="K2580" s="851"/>
      <c r="L2580" s="851"/>
    </row>
    <row r="2581" spans="11:12">
      <c r="K2581" s="851"/>
      <c r="L2581" s="851"/>
    </row>
    <row r="2582" spans="11:12">
      <c r="K2582" s="851"/>
      <c r="L2582" s="851"/>
    </row>
    <row r="2583" spans="11:12">
      <c r="K2583" s="851"/>
      <c r="L2583" s="851"/>
    </row>
    <row r="2584" spans="11:12">
      <c r="K2584" s="851"/>
      <c r="L2584" s="851"/>
    </row>
    <row r="2585" spans="11:12">
      <c r="K2585" s="851"/>
      <c r="L2585" s="851"/>
    </row>
    <row r="2586" spans="11:12">
      <c r="K2586" s="851"/>
      <c r="L2586" s="851"/>
    </row>
    <row r="2587" spans="11:12">
      <c r="K2587" s="851"/>
      <c r="L2587" s="851"/>
    </row>
    <row r="2588" spans="11:12">
      <c r="K2588" s="851"/>
      <c r="L2588" s="851"/>
    </row>
    <row r="2589" spans="11:12">
      <c r="K2589" s="851"/>
      <c r="L2589" s="851"/>
    </row>
    <row r="2590" spans="11:12">
      <c r="K2590" s="851"/>
      <c r="L2590" s="851"/>
    </row>
    <row r="2591" spans="11:12">
      <c r="K2591" s="851"/>
      <c r="L2591" s="851"/>
    </row>
    <row r="2592" spans="11:12">
      <c r="K2592" s="851"/>
      <c r="L2592" s="851"/>
    </row>
    <row r="2593" spans="11:12">
      <c r="K2593" s="851"/>
      <c r="L2593" s="851"/>
    </row>
    <row r="2594" spans="11:12">
      <c r="K2594" s="851"/>
      <c r="L2594" s="851"/>
    </row>
    <row r="2595" spans="11:12">
      <c r="K2595" s="851"/>
      <c r="L2595" s="851"/>
    </row>
    <row r="2596" spans="11:12">
      <c r="K2596" s="851"/>
      <c r="L2596" s="851"/>
    </row>
    <row r="2597" spans="11:12">
      <c r="K2597" s="851"/>
      <c r="L2597" s="851"/>
    </row>
    <row r="2598" spans="11:12">
      <c r="K2598" s="851"/>
      <c r="L2598" s="851"/>
    </row>
    <row r="2599" spans="11:12">
      <c r="K2599" s="851"/>
      <c r="L2599" s="851"/>
    </row>
    <row r="2600" spans="11:12">
      <c r="K2600" s="851"/>
      <c r="L2600" s="851"/>
    </row>
    <row r="2601" spans="11:12">
      <c r="K2601" s="851"/>
      <c r="L2601" s="851"/>
    </row>
    <row r="2602" spans="11:12">
      <c r="K2602" s="851"/>
      <c r="L2602" s="851"/>
    </row>
    <row r="2603" spans="11:12">
      <c r="K2603" s="851"/>
      <c r="L2603" s="851"/>
    </row>
    <row r="2604" spans="11:12">
      <c r="K2604" s="851"/>
      <c r="L2604" s="851"/>
    </row>
    <row r="2605" spans="11:12">
      <c r="K2605" s="851"/>
      <c r="L2605" s="851"/>
    </row>
    <row r="2606" spans="11:12">
      <c r="K2606" s="851"/>
      <c r="L2606" s="851"/>
    </row>
    <row r="2607" spans="11:12">
      <c r="K2607" s="851"/>
      <c r="L2607" s="851"/>
    </row>
    <row r="2608" spans="11:12">
      <c r="K2608" s="851"/>
      <c r="L2608" s="851"/>
    </row>
    <row r="2609" spans="11:12">
      <c r="K2609" s="851"/>
      <c r="L2609" s="851"/>
    </row>
    <row r="2610" spans="11:12">
      <c r="K2610" s="851"/>
      <c r="L2610" s="851"/>
    </row>
    <row r="2611" spans="11:12">
      <c r="K2611" s="851"/>
      <c r="L2611" s="851"/>
    </row>
    <row r="2612" spans="11:12">
      <c r="K2612" s="851"/>
      <c r="L2612" s="851"/>
    </row>
    <row r="2613" spans="11:12">
      <c r="K2613" s="851"/>
      <c r="L2613" s="851"/>
    </row>
    <row r="2614" spans="11:12">
      <c r="K2614" s="851"/>
      <c r="L2614" s="851"/>
    </row>
    <row r="2615" spans="11:12">
      <c r="K2615" s="851"/>
      <c r="L2615" s="851"/>
    </row>
    <row r="2616" spans="11:12">
      <c r="K2616" s="851"/>
      <c r="L2616" s="851"/>
    </row>
    <row r="2617" spans="11:12">
      <c r="K2617" s="851"/>
      <c r="L2617" s="851"/>
    </row>
    <row r="2618" spans="11:12">
      <c r="K2618" s="851"/>
      <c r="L2618" s="851"/>
    </row>
    <row r="2619" spans="11:12">
      <c r="K2619" s="851"/>
      <c r="L2619" s="851"/>
    </row>
    <row r="2620" spans="11:12">
      <c r="K2620" s="851"/>
      <c r="L2620" s="851"/>
    </row>
    <row r="2621" spans="11:12">
      <c r="K2621" s="851"/>
      <c r="L2621" s="851"/>
    </row>
    <row r="2622" spans="11:12">
      <c r="K2622" s="851"/>
      <c r="L2622" s="851"/>
    </row>
    <row r="2623" spans="11:12">
      <c r="K2623" s="851"/>
      <c r="L2623" s="851"/>
    </row>
    <row r="2624" spans="11:12">
      <c r="K2624" s="851"/>
      <c r="L2624" s="851"/>
    </row>
    <row r="2625" spans="11:12">
      <c r="K2625" s="851"/>
      <c r="L2625" s="851"/>
    </row>
    <row r="2626" spans="11:12">
      <c r="K2626" s="851"/>
      <c r="L2626" s="851"/>
    </row>
    <row r="2627" spans="11:12">
      <c r="K2627" s="851"/>
      <c r="L2627" s="851"/>
    </row>
    <row r="2628" spans="11:12">
      <c r="K2628" s="851"/>
      <c r="L2628" s="851"/>
    </row>
    <row r="2629" spans="11:12">
      <c r="K2629" s="851"/>
      <c r="L2629" s="851"/>
    </row>
    <row r="2630" spans="11:12">
      <c r="K2630" s="851"/>
      <c r="L2630" s="851"/>
    </row>
    <row r="2631" spans="11:12">
      <c r="K2631" s="851"/>
      <c r="L2631" s="851"/>
    </row>
    <row r="2632" spans="11:12">
      <c r="K2632" s="851"/>
      <c r="L2632" s="851"/>
    </row>
    <row r="2633" spans="11:12">
      <c r="K2633" s="851"/>
      <c r="L2633" s="851"/>
    </row>
    <row r="2634" spans="11:12">
      <c r="K2634" s="851"/>
      <c r="L2634" s="851"/>
    </row>
    <row r="2635" spans="11:12">
      <c r="K2635" s="851"/>
      <c r="L2635" s="851"/>
    </row>
    <row r="2636" spans="11:12">
      <c r="K2636" s="851"/>
      <c r="L2636" s="851"/>
    </row>
    <row r="2637" spans="11:12">
      <c r="K2637" s="851"/>
      <c r="L2637" s="851"/>
    </row>
    <row r="2638" spans="11:12">
      <c r="K2638" s="851"/>
      <c r="L2638" s="851"/>
    </row>
    <row r="2639" spans="11:12">
      <c r="K2639" s="851"/>
      <c r="L2639" s="851"/>
    </row>
    <row r="2640" spans="11:12">
      <c r="K2640" s="851"/>
      <c r="L2640" s="851"/>
    </row>
    <row r="2641" spans="11:12">
      <c r="K2641" s="851"/>
      <c r="L2641" s="851"/>
    </row>
    <row r="2642" spans="11:12">
      <c r="K2642" s="851"/>
      <c r="L2642" s="851"/>
    </row>
    <row r="2643" spans="11:12">
      <c r="K2643" s="851"/>
      <c r="L2643" s="851"/>
    </row>
    <row r="2644" spans="11:12">
      <c r="K2644" s="851"/>
      <c r="L2644" s="851"/>
    </row>
    <row r="2645" spans="11:12">
      <c r="K2645" s="851"/>
      <c r="L2645" s="851"/>
    </row>
    <row r="2646" spans="11:12">
      <c r="K2646" s="851"/>
      <c r="L2646" s="851"/>
    </row>
    <row r="2647" spans="11:12">
      <c r="K2647" s="851"/>
      <c r="L2647" s="851"/>
    </row>
    <row r="2648" spans="11:12">
      <c r="K2648" s="851"/>
      <c r="L2648" s="851"/>
    </row>
    <row r="2649" spans="11:12">
      <c r="K2649" s="851"/>
      <c r="L2649" s="851"/>
    </row>
    <row r="2650" spans="11:12">
      <c r="K2650" s="851"/>
      <c r="L2650" s="851"/>
    </row>
    <row r="2651" spans="11:12">
      <c r="K2651" s="851"/>
      <c r="L2651" s="851"/>
    </row>
    <row r="2652" spans="11:12">
      <c r="K2652" s="851"/>
      <c r="L2652" s="851"/>
    </row>
    <row r="2653" spans="11:12">
      <c r="K2653" s="851"/>
      <c r="L2653" s="851"/>
    </row>
    <row r="2654" spans="11:12">
      <c r="K2654" s="851"/>
      <c r="L2654" s="851"/>
    </row>
    <row r="2655" spans="11:12">
      <c r="K2655" s="851"/>
      <c r="L2655" s="851"/>
    </row>
    <row r="2656" spans="11:12">
      <c r="K2656" s="851"/>
      <c r="L2656" s="851"/>
    </row>
    <row r="2657" spans="11:12">
      <c r="K2657" s="851"/>
      <c r="L2657" s="851"/>
    </row>
    <row r="2658" spans="11:12">
      <c r="K2658" s="851"/>
      <c r="L2658" s="851"/>
    </row>
    <row r="2659" spans="11:12">
      <c r="K2659" s="851"/>
      <c r="L2659" s="851"/>
    </row>
    <row r="2660" spans="11:12">
      <c r="K2660" s="851"/>
      <c r="L2660" s="851"/>
    </row>
    <row r="2661" spans="11:12">
      <c r="K2661" s="851"/>
      <c r="L2661" s="851"/>
    </row>
    <row r="2662" spans="11:12">
      <c r="K2662" s="851"/>
      <c r="L2662" s="851"/>
    </row>
    <row r="2663" spans="11:12">
      <c r="K2663" s="851"/>
      <c r="L2663" s="851"/>
    </row>
    <row r="2664" spans="11:12">
      <c r="K2664" s="851"/>
      <c r="L2664" s="851"/>
    </row>
    <row r="2665" spans="11:12">
      <c r="K2665" s="851"/>
      <c r="L2665" s="851"/>
    </row>
    <row r="2666" spans="11:12">
      <c r="K2666" s="851"/>
      <c r="L2666" s="851"/>
    </row>
    <row r="2667" spans="11:12">
      <c r="K2667" s="851"/>
      <c r="L2667" s="851"/>
    </row>
    <row r="2668" spans="11:12">
      <c r="K2668" s="851"/>
      <c r="L2668" s="851"/>
    </row>
    <row r="2669" spans="11:12">
      <c r="K2669" s="851"/>
      <c r="L2669" s="851"/>
    </row>
    <row r="2670" spans="11:12">
      <c r="K2670" s="851"/>
      <c r="L2670" s="851"/>
    </row>
    <row r="2671" spans="11:12">
      <c r="K2671" s="851"/>
      <c r="L2671" s="851"/>
    </row>
    <row r="2672" spans="11:12">
      <c r="K2672" s="851"/>
      <c r="L2672" s="851"/>
    </row>
    <row r="2673" spans="11:12">
      <c r="K2673" s="851"/>
      <c r="L2673" s="851"/>
    </row>
    <row r="2674" spans="11:12">
      <c r="K2674" s="851"/>
      <c r="L2674" s="851"/>
    </row>
    <row r="2675" spans="11:12">
      <c r="K2675" s="851"/>
      <c r="L2675" s="851"/>
    </row>
    <row r="2676" spans="11:12">
      <c r="K2676" s="851"/>
      <c r="L2676" s="851"/>
    </row>
    <row r="2677" spans="11:12">
      <c r="K2677" s="851"/>
      <c r="L2677" s="851"/>
    </row>
    <row r="2678" spans="11:12">
      <c r="K2678" s="851"/>
      <c r="L2678" s="851"/>
    </row>
    <row r="2679" spans="11:12">
      <c r="K2679" s="851"/>
      <c r="L2679" s="851"/>
    </row>
    <row r="2680" spans="11:12">
      <c r="K2680" s="851"/>
      <c r="L2680" s="851"/>
    </row>
    <row r="2681" spans="11:12">
      <c r="K2681" s="851"/>
      <c r="L2681" s="851"/>
    </row>
    <row r="2682" spans="11:12">
      <c r="K2682" s="851"/>
      <c r="L2682" s="851"/>
    </row>
    <row r="2683" spans="11:12">
      <c r="K2683" s="851"/>
      <c r="L2683" s="851"/>
    </row>
    <row r="2684" spans="11:12">
      <c r="K2684" s="851"/>
      <c r="L2684" s="851"/>
    </row>
    <row r="2685" spans="11:12">
      <c r="K2685" s="851"/>
      <c r="L2685" s="851"/>
    </row>
    <row r="2686" spans="11:12">
      <c r="K2686" s="851"/>
      <c r="L2686" s="851"/>
    </row>
    <row r="2687" spans="11:12">
      <c r="K2687" s="851"/>
      <c r="L2687" s="851"/>
    </row>
    <row r="2688" spans="11:12">
      <c r="K2688" s="851"/>
      <c r="L2688" s="851"/>
    </row>
    <row r="2689" spans="11:12">
      <c r="K2689" s="851"/>
      <c r="L2689" s="851"/>
    </row>
    <row r="2690" spans="11:12">
      <c r="K2690" s="851"/>
      <c r="L2690" s="851"/>
    </row>
    <row r="2691" spans="11:12">
      <c r="K2691" s="851"/>
      <c r="L2691" s="851"/>
    </row>
    <row r="2692" spans="11:12">
      <c r="K2692" s="851"/>
      <c r="L2692" s="851"/>
    </row>
    <row r="2693" spans="11:12">
      <c r="K2693" s="851"/>
      <c r="L2693" s="851"/>
    </row>
    <row r="2694" spans="11:12">
      <c r="K2694" s="851"/>
      <c r="L2694" s="851"/>
    </row>
    <row r="2695" spans="11:12">
      <c r="K2695" s="851"/>
      <c r="L2695" s="851"/>
    </row>
    <row r="2696" spans="11:12">
      <c r="K2696" s="851"/>
      <c r="L2696" s="851"/>
    </row>
    <row r="2697" spans="11:12">
      <c r="K2697" s="851"/>
      <c r="L2697" s="851"/>
    </row>
    <row r="2698" spans="11:12">
      <c r="K2698" s="851"/>
      <c r="L2698" s="851"/>
    </row>
    <row r="2699" spans="11:12">
      <c r="K2699" s="851"/>
      <c r="L2699" s="851"/>
    </row>
    <row r="2700" spans="11:12">
      <c r="K2700" s="851"/>
      <c r="L2700" s="851"/>
    </row>
    <row r="2701" spans="11:12">
      <c r="K2701" s="851"/>
      <c r="L2701" s="851"/>
    </row>
    <row r="2702" spans="11:12">
      <c r="K2702" s="851"/>
      <c r="L2702" s="851"/>
    </row>
    <row r="2703" spans="11:12">
      <c r="K2703" s="851"/>
      <c r="L2703" s="851"/>
    </row>
    <row r="2704" spans="11:12">
      <c r="K2704" s="851"/>
      <c r="L2704" s="851"/>
    </row>
    <row r="2705" spans="11:12">
      <c r="K2705" s="851"/>
      <c r="L2705" s="851"/>
    </row>
    <row r="2706" spans="11:12">
      <c r="K2706" s="851"/>
      <c r="L2706" s="851"/>
    </row>
    <row r="2707" spans="11:12">
      <c r="K2707" s="851"/>
      <c r="L2707" s="851"/>
    </row>
    <row r="2708" spans="11:12">
      <c r="K2708" s="851"/>
      <c r="L2708" s="851"/>
    </row>
    <row r="2709" spans="11:12">
      <c r="K2709" s="851"/>
      <c r="L2709" s="851"/>
    </row>
    <row r="2710" spans="11:12">
      <c r="K2710" s="851"/>
      <c r="L2710" s="851"/>
    </row>
    <row r="2711" spans="11:12">
      <c r="K2711" s="851"/>
      <c r="L2711" s="851"/>
    </row>
    <row r="2712" spans="11:12">
      <c r="K2712" s="851"/>
      <c r="L2712" s="851"/>
    </row>
    <row r="2713" spans="11:12">
      <c r="K2713" s="851"/>
      <c r="L2713" s="851"/>
    </row>
    <row r="2714" spans="11:12">
      <c r="K2714" s="851"/>
      <c r="L2714" s="851"/>
    </row>
    <row r="2715" spans="11:12">
      <c r="K2715" s="851"/>
      <c r="L2715" s="851"/>
    </row>
    <row r="2716" spans="11:12">
      <c r="K2716" s="851"/>
      <c r="L2716" s="851"/>
    </row>
    <row r="2717" spans="11:12">
      <c r="K2717" s="851"/>
      <c r="L2717" s="851"/>
    </row>
    <row r="2718" spans="11:12">
      <c r="K2718" s="851"/>
      <c r="L2718" s="851"/>
    </row>
    <row r="2719" spans="11:12">
      <c r="K2719" s="851"/>
      <c r="L2719" s="851"/>
    </row>
    <row r="2720" spans="11:12">
      <c r="K2720" s="851"/>
      <c r="L2720" s="851"/>
    </row>
    <row r="2721" spans="11:12">
      <c r="K2721" s="851"/>
      <c r="L2721" s="851"/>
    </row>
    <row r="2722" spans="11:12">
      <c r="K2722" s="851"/>
      <c r="L2722" s="851"/>
    </row>
    <row r="2723" spans="11:12">
      <c r="K2723" s="851"/>
      <c r="L2723" s="851"/>
    </row>
    <row r="2724" spans="11:12">
      <c r="K2724" s="851"/>
      <c r="L2724" s="851"/>
    </row>
    <row r="2725" spans="11:12">
      <c r="K2725" s="851"/>
      <c r="L2725" s="851"/>
    </row>
    <row r="2726" spans="11:12">
      <c r="K2726" s="851"/>
      <c r="L2726" s="851"/>
    </row>
    <row r="2727" spans="11:12">
      <c r="K2727" s="851"/>
      <c r="L2727" s="851"/>
    </row>
    <row r="2728" spans="11:12">
      <c r="K2728" s="851"/>
      <c r="L2728" s="851"/>
    </row>
    <row r="2729" spans="11:12">
      <c r="K2729" s="851"/>
      <c r="L2729" s="851"/>
    </row>
    <row r="2730" spans="11:12">
      <c r="K2730" s="851"/>
      <c r="L2730" s="851"/>
    </row>
    <row r="2731" spans="11:12">
      <c r="K2731" s="851"/>
      <c r="L2731" s="851"/>
    </row>
    <row r="2732" spans="11:12">
      <c r="K2732" s="851"/>
      <c r="L2732" s="851"/>
    </row>
    <row r="2733" spans="11:12">
      <c r="K2733" s="851"/>
      <c r="L2733" s="851"/>
    </row>
    <row r="2734" spans="11:12">
      <c r="K2734" s="851"/>
      <c r="L2734" s="851"/>
    </row>
    <row r="2735" spans="11:12">
      <c r="K2735" s="851"/>
      <c r="L2735" s="851"/>
    </row>
    <row r="2736" spans="11:12">
      <c r="K2736" s="851"/>
      <c r="L2736" s="851"/>
    </row>
    <row r="2737" spans="11:12">
      <c r="K2737" s="851"/>
      <c r="L2737" s="851"/>
    </row>
    <row r="2738" spans="11:12">
      <c r="K2738" s="851"/>
      <c r="L2738" s="851"/>
    </row>
    <row r="2739" spans="11:12">
      <c r="K2739" s="851"/>
      <c r="L2739" s="851"/>
    </row>
    <row r="2740" spans="11:12">
      <c r="K2740" s="851"/>
      <c r="L2740" s="851"/>
    </row>
    <row r="2741" spans="11:12">
      <c r="K2741" s="851"/>
      <c r="L2741" s="851"/>
    </row>
    <row r="2742" spans="11:12">
      <c r="K2742" s="851"/>
      <c r="L2742" s="851"/>
    </row>
    <row r="2743" spans="11:12">
      <c r="K2743" s="851"/>
      <c r="L2743" s="851"/>
    </row>
    <row r="2744" spans="11:12">
      <c r="K2744" s="851"/>
      <c r="L2744" s="851"/>
    </row>
    <row r="2745" spans="11:12">
      <c r="K2745" s="851"/>
      <c r="L2745" s="851"/>
    </row>
    <row r="2746" spans="11:12">
      <c r="K2746" s="851"/>
      <c r="L2746" s="851"/>
    </row>
    <row r="2747" spans="11:12">
      <c r="K2747" s="851"/>
      <c r="L2747" s="851"/>
    </row>
    <row r="2748" spans="11:12">
      <c r="K2748" s="851"/>
      <c r="L2748" s="851"/>
    </row>
    <row r="2749" spans="11:12">
      <c r="K2749" s="851"/>
      <c r="L2749" s="851"/>
    </row>
    <row r="2750" spans="11:12">
      <c r="K2750" s="851"/>
      <c r="L2750" s="851"/>
    </row>
    <row r="2751" spans="11:12">
      <c r="K2751" s="851"/>
      <c r="L2751" s="851"/>
    </row>
    <row r="2752" spans="11:12">
      <c r="K2752" s="851"/>
      <c r="L2752" s="851"/>
    </row>
    <row r="2753" spans="11:12">
      <c r="K2753" s="851"/>
      <c r="L2753" s="851"/>
    </row>
    <row r="2754" spans="11:12">
      <c r="K2754" s="851"/>
      <c r="L2754" s="851"/>
    </row>
    <row r="2755" spans="11:12">
      <c r="K2755" s="851"/>
      <c r="L2755" s="851"/>
    </row>
    <row r="2756" spans="11:12">
      <c r="K2756" s="851"/>
      <c r="L2756" s="851"/>
    </row>
    <row r="2757" spans="11:12">
      <c r="K2757" s="851"/>
      <c r="L2757" s="851"/>
    </row>
    <row r="2758" spans="11:12">
      <c r="K2758" s="851"/>
      <c r="L2758" s="851"/>
    </row>
    <row r="2759" spans="11:12">
      <c r="K2759" s="851"/>
      <c r="L2759" s="851"/>
    </row>
    <row r="2760" spans="11:12">
      <c r="K2760" s="851"/>
      <c r="L2760" s="851"/>
    </row>
    <row r="2761" spans="11:12">
      <c r="K2761" s="851"/>
      <c r="L2761" s="851"/>
    </row>
    <row r="2762" spans="11:12">
      <c r="K2762" s="851"/>
      <c r="L2762" s="851"/>
    </row>
    <row r="2763" spans="11:12">
      <c r="K2763" s="851"/>
      <c r="L2763" s="851"/>
    </row>
    <row r="2764" spans="11:12">
      <c r="K2764" s="851"/>
      <c r="L2764" s="851"/>
    </row>
    <row r="2765" spans="11:12">
      <c r="K2765" s="851"/>
      <c r="L2765" s="851"/>
    </row>
    <row r="2766" spans="11:12">
      <c r="K2766" s="851"/>
      <c r="L2766" s="851"/>
    </row>
    <row r="2767" spans="11:12">
      <c r="K2767" s="851"/>
      <c r="L2767" s="851"/>
    </row>
    <row r="2768" spans="11:12">
      <c r="K2768" s="851"/>
      <c r="L2768" s="851"/>
    </row>
    <row r="2769" spans="11:12">
      <c r="K2769" s="851"/>
      <c r="L2769" s="851"/>
    </row>
    <row r="2770" spans="11:12">
      <c r="K2770" s="851"/>
      <c r="L2770" s="851"/>
    </row>
    <row r="2771" spans="11:12">
      <c r="K2771" s="851"/>
      <c r="L2771" s="851"/>
    </row>
    <row r="2772" spans="11:12">
      <c r="K2772" s="851"/>
      <c r="L2772" s="851"/>
    </row>
    <row r="2773" spans="11:12">
      <c r="K2773" s="851"/>
      <c r="L2773" s="851"/>
    </row>
    <row r="2774" spans="11:12">
      <c r="K2774" s="851"/>
      <c r="L2774" s="851"/>
    </row>
    <row r="2775" spans="11:12">
      <c r="K2775" s="851"/>
      <c r="L2775" s="851"/>
    </row>
    <row r="2776" spans="11:12">
      <c r="K2776" s="851"/>
      <c r="L2776" s="851"/>
    </row>
    <row r="2777" spans="11:12">
      <c r="K2777" s="851"/>
      <c r="L2777" s="851"/>
    </row>
    <row r="2778" spans="11:12">
      <c r="K2778" s="851"/>
      <c r="L2778" s="851"/>
    </row>
    <row r="2779" spans="11:12">
      <c r="K2779" s="851"/>
      <c r="L2779" s="851"/>
    </row>
    <row r="2780" spans="11:12">
      <c r="K2780" s="851"/>
      <c r="L2780" s="851"/>
    </row>
    <row r="2781" spans="11:12">
      <c r="K2781" s="851"/>
      <c r="L2781" s="851"/>
    </row>
    <row r="2782" spans="11:12">
      <c r="K2782" s="851"/>
      <c r="L2782" s="851"/>
    </row>
    <row r="2783" spans="11:12">
      <c r="K2783" s="851"/>
      <c r="L2783" s="851"/>
    </row>
    <row r="2784" spans="11:12">
      <c r="K2784" s="851"/>
      <c r="L2784" s="851"/>
    </row>
    <row r="2785" spans="11:12">
      <c r="K2785" s="851"/>
      <c r="L2785" s="851"/>
    </row>
    <row r="2786" spans="11:12">
      <c r="K2786" s="851"/>
      <c r="L2786" s="851"/>
    </row>
    <row r="2787" spans="11:12">
      <c r="K2787" s="851"/>
      <c r="L2787" s="851"/>
    </row>
    <row r="2788" spans="11:12">
      <c r="K2788" s="851"/>
      <c r="L2788" s="851"/>
    </row>
    <row r="2789" spans="11:12">
      <c r="K2789" s="851"/>
      <c r="L2789" s="851"/>
    </row>
    <row r="2790" spans="11:12">
      <c r="K2790" s="851"/>
      <c r="L2790" s="851"/>
    </row>
    <row r="2791" spans="11:12">
      <c r="K2791" s="851"/>
      <c r="L2791" s="851"/>
    </row>
    <row r="2792" spans="11:12">
      <c r="K2792" s="851"/>
      <c r="L2792" s="851"/>
    </row>
    <row r="2793" spans="11:12">
      <c r="K2793" s="851"/>
      <c r="L2793" s="851"/>
    </row>
    <row r="2794" spans="11:12">
      <c r="K2794" s="851"/>
      <c r="L2794" s="851"/>
    </row>
    <row r="2795" spans="11:12">
      <c r="K2795" s="851"/>
      <c r="L2795" s="851"/>
    </row>
    <row r="2796" spans="11:12">
      <c r="K2796" s="851"/>
      <c r="L2796" s="851"/>
    </row>
    <row r="2797" spans="11:12">
      <c r="K2797" s="851"/>
      <c r="L2797" s="851"/>
    </row>
    <row r="2798" spans="11:12">
      <c r="K2798" s="851"/>
      <c r="L2798" s="851"/>
    </row>
    <row r="2799" spans="11:12">
      <c r="K2799" s="851"/>
      <c r="L2799" s="851"/>
    </row>
    <row r="2800" spans="11:12">
      <c r="K2800" s="851"/>
      <c r="L2800" s="851"/>
    </row>
    <row r="2801" spans="11:12">
      <c r="K2801" s="851"/>
      <c r="L2801" s="851"/>
    </row>
    <row r="2802" spans="11:12">
      <c r="K2802" s="851"/>
      <c r="L2802" s="851"/>
    </row>
    <row r="2803" spans="11:12">
      <c r="K2803" s="851"/>
      <c r="L2803" s="851"/>
    </row>
    <row r="2804" spans="11:12">
      <c r="K2804" s="851"/>
      <c r="L2804" s="851"/>
    </row>
    <row r="2805" spans="11:12">
      <c r="K2805" s="851"/>
      <c r="L2805" s="851"/>
    </row>
    <row r="2806" spans="11:12">
      <c r="K2806" s="851"/>
      <c r="L2806" s="851"/>
    </row>
    <row r="2807" spans="11:12">
      <c r="K2807" s="851"/>
      <c r="L2807" s="851"/>
    </row>
    <row r="2808" spans="11:12">
      <c r="K2808" s="851"/>
      <c r="L2808" s="851"/>
    </row>
    <row r="2809" spans="11:12">
      <c r="K2809" s="851"/>
      <c r="L2809" s="851"/>
    </row>
    <row r="2810" spans="11:12">
      <c r="K2810" s="851"/>
      <c r="L2810" s="851"/>
    </row>
    <row r="2811" spans="11:12">
      <c r="K2811" s="851"/>
      <c r="L2811" s="851"/>
    </row>
    <row r="2812" spans="11:12">
      <c r="K2812" s="851"/>
      <c r="L2812" s="851"/>
    </row>
    <row r="2813" spans="11:12">
      <c r="K2813" s="851"/>
      <c r="L2813" s="851"/>
    </row>
    <row r="2814" spans="11:12">
      <c r="K2814" s="851"/>
      <c r="L2814" s="851"/>
    </row>
    <row r="2815" spans="11:12">
      <c r="K2815" s="851"/>
      <c r="L2815" s="851"/>
    </row>
    <row r="2816" spans="11:12">
      <c r="K2816" s="851"/>
      <c r="L2816" s="851"/>
    </row>
    <row r="2817" spans="11:12">
      <c r="K2817" s="851"/>
      <c r="L2817" s="851"/>
    </row>
    <row r="2818" spans="11:12">
      <c r="K2818" s="851"/>
      <c r="L2818" s="851"/>
    </row>
    <row r="2819" spans="11:12">
      <c r="K2819" s="851"/>
      <c r="L2819" s="851"/>
    </row>
    <row r="2820" spans="11:12">
      <c r="K2820" s="851"/>
      <c r="L2820" s="851"/>
    </row>
    <row r="2821" spans="11:12">
      <c r="K2821" s="851"/>
      <c r="L2821" s="851"/>
    </row>
    <row r="2822" spans="11:12">
      <c r="K2822" s="851"/>
      <c r="L2822" s="851"/>
    </row>
    <row r="2823" spans="11:12">
      <c r="K2823" s="851"/>
      <c r="L2823" s="851"/>
    </row>
    <row r="2824" spans="11:12">
      <c r="K2824" s="851"/>
      <c r="L2824" s="851"/>
    </row>
    <row r="2825" spans="11:12">
      <c r="K2825" s="851"/>
      <c r="L2825" s="851"/>
    </row>
    <row r="2826" spans="11:12">
      <c r="K2826" s="851"/>
      <c r="L2826" s="851"/>
    </row>
    <row r="2827" spans="11:12">
      <c r="K2827" s="851"/>
      <c r="L2827" s="851"/>
    </row>
    <row r="2828" spans="11:12">
      <c r="K2828" s="851"/>
      <c r="L2828" s="851"/>
    </row>
    <row r="2829" spans="11:12">
      <c r="K2829" s="851"/>
      <c r="L2829" s="851"/>
    </row>
    <row r="2830" spans="11:12">
      <c r="K2830" s="851"/>
      <c r="L2830" s="851"/>
    </row>
    <row r="2831" spans="11:12">
      <c r="K2831" s="851"/>
      <c r="L2831" s="851"/>
    </row>
    <row r="2832" spans="11:12">
      <c r="K2832" s="851"/>
      <c r="L2832" s="851"/>
    </row>
    <row r="2833" spans="11:12">
      <c r="K2833" s="851"/>
      <c r="L2833" s="851"/>
    </row>
    <row r="2834" spans="11:12">
      <c r="K2834" s="851"/>
      <c r="L2834" s="851"/>
    </row>
    <row r="2835" spans="11:12">
      <c r="K2835" s="851"/>
      <c r="L2835" s="851"/>
    </row>
    <row r="2836" spans="11:12">
      <c r="K2836" s="851"/>
      <c r="L2836" s="851"/>
    </row>
    <row r="2837" spans="11:12">
      <c r="K2837" s="851"/>
      <c r="L2837" s="851"/>
    </row>
    <row r="2838" spans="11:12">
      <c r="K2838" s="851"/>
      <c r="L2838" s="851"/>
    </row>
    <row r="2839" spans="11:12">
      <c r="K2839" s="851"/>
      <c r="L2839" s="851"/>
    </row>
    <row r="2840" spans="11:12">
      <c r="K2840" s="851"/>
      <c r="L2840" s="851"/>
    </row>
    <row r="2841" spans="11:12">
      <c r="K2841" s="851"/>
      <c r="L2841" s="851"/>
    </row>
    <row r="2842" spans="11:12">
      <c r="K2842" s="851"/>
      <c r="L2842" s="851"/>
    </row>
    <row r="2843" spans="11:12">
      <c r="K2843" s="851"/>
      <c r="L2843" s="851"/>
    </row>
    <row r="2844" spans="11:12">
      <c r="K2844" s="851"/>
      <c r="L2844" s="851"/>
    </row>
    <row r="2845" spans="11:12">
      <c r="K2845" s="851"/>
      <c r="L2845" s="851"/>
    </row>
    <row r="2846" spans="11:12">
      <c r="K2846" s="851"/>
      <c r="L2846" s="851"/>
    </row>
    <row r="2847" spans="11:12">
      <c r="K2847" s="851"/>
      <c r="L2847" s="851"/>
    </row>
    <row r="2848" spans="11:12">
      <c r="K2848" s="851"/>
      <c r="L2848" s="851"/>
    </row>
    <row r="2849" spans="11:12">
      <c r="K2849" s="851"/>
      <c r="L2849" s="851"/>
    </row>
    <row r="2850" spans="11:12">
      <c r="K2850" s="851"/>
      <c r="L2850" s="851"/>
    </row>
    <row r="2851" spans="11:12">
      <c r="K2851" s="851"/>
      <c r="L2851" s="851"/>
    </row>
    <row r="2852" spans="11:12">
      <c r="K2852" s="851"/>
      <c r="L2852" s="851"/>
    </row>
    <row r="2853" spans="11:12">
      <c r="K2853" s="851"/>
      <c r="L2853" s="851"/>
    </row>
    <row r="2854" spans="11:12">
      <c r="K2854" s="851"/>
      <c r="L2854" s="851"/>
    </row>
    <row r="2855" spans="11:12">
      <c r="K2855" s="851"/>
      <c r="L2855" s="851"/>
    </row>
    <row r="2856" spans="11:12">
      <c r="K2856" s="851"/>
      <c r="L2856" s="851"/>
    </row>
    <row r="2857" spans="11:12">
      <c r="K2857" s="851"/>
      <c r="L2857" s="851"/>
    </row>
    <row r="2858" spans="11:12">
      <c r="K2858" s="851"/>
      <c r="L2858" s="851"/>
    </row>
    <row r="2859" spans="11:12">
      <c r="K2859" s="851"/>
      <c r="L2859" s="851"/>
    </row>
    <row r="2860" spans="11:12">
      <c r="K2860" s="851"/>
      <c r="L2860" s="851"/>
    </row>
    <row r="2861" spans="11:12">
      <c r="K2861" s="851"/>
      <c r="L2861" s="851"/>
    </row>
    <row r="2862" spans="11:12">
      <c r="K2862" s="851"/>
      <c r="L2862" s="851"/>
    </row>
    <row r="2863" spans="11:12">
      <c r="K2863" s="851"/>
      <c r="L2863" s="851"/>
    </row>
    <row r="2864" spans="11:12">
      <c r="K2864" s="851"/>
      <c r="L2864" s="851"/>
    </row>
    <row r="2865" spans="11:12">
      <c r="K2865" s="851"/>
      <c r="L2865" s="851"/>
    </row>
    <row r="2866" spans="11:12">
      <c r="K2866" s="851"/>
      <c r="L2866" s="851"/>
    </row>
    <row r="2867" spans="11:12">
      <c r="K2867" s="851"/>
      <c r="L2867" s="851"/>
    </row>
    <row r="2868" spans="11:12">
      <c r="K2868" s="851"/>
      <c r="L2868" s="851"/>
    </row>
    <row r="2869" spans="11:12">
      <c r="K2869" s="851"/>
      <c r="L2869" s="851"/>
    </row>
    <row r="2870" spans="11:12">
      <c r="K2870" s="851"/>
      <c r="L2870" s="851"/>
    </row>
    <row r="2871" spans="11:12">
      <c r="K2871" s="851"/>
      <c r="L2871" s="851"/>
    </row>
    <row r="2872" spans="11:12">
      <c r="K2872" s="851"/>
      <c r="L2872" s="851"/>
    </row>
    <row r="2873" spans="11:12">
      <c r="K2873" s="851"/>
      <c r="L2873" s="851"/>
    </row>
    <row r="2874" spans="11:12">
      <c r="K2874" s="851"/>
      <c r="L2874" s="851"/>
    </row>
    <row r="2875" spans="11:12">
      <c r="K2875" s="851"/>
      <c r="L2875" s="851"/>
    </row>
    <row r="2876" spans="11:12">
      <c r="K2876" s="851"/>
      <c r="L2876" s="851"/>
    </row>
    <row r="2877" spans="11:12">
      <c r="K2877" s="851"/>
      <c r="L2877" s="851"/>
    </row>
    <row r="2878" spans="11:12">
      <c r="K2878" s="851"/>
      <c r="L2878" s="851"/>
    </row>
    <row r="2879" spans="11:12">
      <c r="K2879" s="851"/>
      <c r="L2879" s="851"/>
    </row>
    <row r="2880" spans="11:12">
      <c r="K2880" s="851"/>
      <c r="L2880" s="851"/>
    </row>
    <row r="2881" spans="11:12">
      <c r="K2881" s="851"/>
      <c r="L2881" s="851"/>
    </row>
    <row r="2882" spans="11:12">
      <c r="K2882" s="851"/>
      <c r="L2882" s="851"/>
    </row>
    <row r="2883" spans="11:12">
      <c r="K2883" s="851"/>
      <c r="L2883" s="851"/>
    </row>
    <row r="2884" spans="11:12">
      <c r="K2884" s="851"/>
      <c r="L2884" s="851"/>
    </row>
    <row r="2885" spans="11:12">
      <c r="K2885" s="851"/>
      <c r="L2885" s="851"/>
    </row>
    <row r="2886" spans="11:12">
      <c r="K2886" s="851"/>
      <c r="L2886" s="851"/>
    </row>
    <row r="2887" spans="11:12">
      <c r="K2887" s="851"/>
      <c r="L2887" s="851"/>
    </row>
    <row r="2888" spans="11:12">
      <c r="K2888" s="851"/>
      <c r="L2888" s="851"/>
    </row>
    <row r="2889" spans="11:12">
      <c r="K2889" s="851"/>
      <c r="L2889" s="851"/>
    </row>
    <row r="2890" spans="11:12">
      <c r="K2890" s="851"/>
      <c r="L2890" s="851"/>
    </row>
    <row r="2891" spans="11:12">
      <c r="K2891" s="851"/>
      <c r="L2891" s="851"/>
    </row>
    <row r="2892" spans="11:12">
      <c r="K2892" s="851"/>
      <c r="L2892" s="851"/>
    </row>
    <row r="2893" spans="11:12">
      <c r="K2893" s="851"/>
      <c r="L2893" s="851"/>
    </row>
    <row r="2894" spans="11:12">
      <c r="K2894" s="851"/>
      <c r="L2894" s="851"/>
    </row>
    <row r="2895" spans="11:12">
      <c r="K2895" s="851"/>
      <c r="L2895" s="851"/>
    </row>
    <row r="2896" spans="11:12">
      <c r="K2896" s="851"/>
      <c r="L2896" s="851"/>
    </row>
    <row r="2897" spans="11:12">
      <c r="K2897" s="851"/>
      <c r="L2897" s="851"/>
    </row>
    <row r="2898" spans="11:12">
      <c r="K2898" s="851"/>
      <c r="L2898" s="851"/>
    </row>
    <row r="2899" spans="11:12">
      <c r="K2899" s="851"/>
      <c r="L2899" s="851"/>
    </row>
    <row r="2900" spans="11:12">
      <c r="K2900" s="851"/>
      <c r="L2900" s="851"/>
    </row>
    <row r="2901" spans="11:12">
      <c r="K2901" s="851"/>
      <c r="L2901" s="851"/>
    </row>
    <row r="2902" spans="11:12">
      <c r="K2902" s="851"/>
      <c r="L2902" s="851"/>
    </row>
    <row r="2903" spans="11:12">
      <c r="K2903" s="851"/>
      <c r="L2903" s="851"/>
    </row>
    <row r="2904" spans="11:12">
      <c r="K2904" s="851"/>
      <c r="L2904" s="851"/>
    </row>
    <row r="2905" spans="11:12">
      <c r="K2905" s="851"/>
      <c r="L2905" s="851"/>
    </row>
    <row r="2906" spans="11:12">
      <c r="K2906" s="851"/>
      <c r="L2906" s="851"/>
    </row>
    <row r="2907" spans="11:12">
      <c r="K2907" s="851"/>
      <c r="L2907" s="851"/>
    </row>
    <row r="2908" spans="11:12">
      <c r="K2908" s="851"/>
      <c r="L2908" s="851"/>
    </row>
    <row r="2909" spans="11:12">
      <c r="K2909" s="851"/>
      <c r="L2909" s="851"/>
    </row>
    <row r="2910" spans="11:12">
      <c r="K2910" s="851"/>
      <c r="L2910" s="851"/>
    </row>
    <row r="2911" spans="11:12">
      <c r="K2911" s="851"/>
      <c r="L2911" s="851"/>
    </row>
    <row r="2912" spans="11:12">
      <c r="K2912" s="851"/>
      <c r="L2912" s="851"/>
    </row>
    <row r="2913" spans="11:12">
      <c r="K2913" s="851"/>
      <c r="L2913" s="851"/>
    </row>
    <row r="2914" spans="11:12">
      <c r="K2914" s="851"/>
      <c r="L2914" s="851"/>
    </row>
    <row r="2915" spans="11:12">
      <c r="K2915" s="851"/>
      <c r="L2915" s="851"/>
    </row>
    <row r="2916" spans="11:12">
      <c r="K2916" s="851"/>
      <c r="L2916" s="851"/>
    </row>
    <row r="2917" spans="11:12">
      <c r="K2917" s="851"/>
      <c r="L2917" s="851"/>
    </row>
    <row r="2918" spans="11:12">
      <c r="K2918" s="851"/>
      <c r="L2918" s="851"/>
    </row>
    <row r="2919" spans="11:12">
      <c r="K2919" s="851"/>
      <c r="L2919" s="851"/>
    </row>
    <row r="2920" spans="11:12">
      <c r="K2920" s="851"/>
      <c r="L2920" s="851"/>
    </row>
    <row r="2921" spans="11:12">
      <c r="K2921" s="851"/>
      <c r="L2921" s="851"/>
    </row>
    <row r="2922" spans="11:12">
      <c r="K2922" s="851"/>
      <c r="L2922" s="851"/>
    </row>
    <row r="2923" spans="11:12">
      <c r="K2923" s="851"/>
      <c r="L2923" s="851"/>
    </row>
    <row r="2924" spans="11:12">
      <c r="K2924" s="851"/>
      <c r="L2924" s="851"/>
    </row>
    <row r="2925" spans="11:12">
      <c r="K2925" s="851"/>
      <c r="L2925" s="851"/>
    </row>
    <row r="2926" spans="11:12">
      <c r="K2926" s="851"/>
      <c r="L2926" s="851"/>
    </row>
    <row r="2927" spans="11:12">
      <c r="K2927" s="851"/>
      <c r="L2927" s="851"/>
    </row>
    <row r="2928" spans="11:12">
      <c r="K2928" s="851"/>
      <c r="L2928" s="851"/>
    </row>
    <row r="2929" spans="11:12">
      <c r="K2929" s="851"/>
      <c r="L2929" s="851"/>
    </row>
    <row r="2930" spans="11:12">
      <c r="K2930" s="851"/>
      <c r="L2930" s="851"/>
    </row>
    <row r="2931" spans="11:12">
      <c r="K2931" s="851"/>
      <c r="L2931" s="851"/>
    </row>
    <row r="2932" spans="11:12">
      <c r="K2932" s="851"/>
      <c r="L2932" s="851"/>
    </row>
    <row r="2933" spans="11:12">
      <c r="K2933" s="851"/>
      <c r="L2933" s="851"/>
    </row>
    <row r="2934" spans="11:12">
      <c r="K2934" s="851"/>
      <c r="L2934" s="851"/>
    </row>
    <row r="2935" spans="11:12">
      <c r="K2935" s="851"/>
      <c r="L2935" s="851"/>
    </row>
    <row r="2936" spans="11:12">
      <c r="K2936" s="851"/>
      <c r="L2936" s="851"/>
    </row>
    <row r="2937" spans="11:12">
      <c r="K2937" s="851"/>
      <c r="L2937" s="851"/>
    </row>
    <row r="2938" spans="11:12">
      <c r="K2938" s="851"/>
      <c r="L2938" s="851"/>
    </row>
    <row r="2939" spans="11:12">
      <c r="K2939" s="851"/>
      <c r="L2939" s="851"/>
    </row>
    <row r="2940" spans="11:12">
      <c r="K2940" s="851"/>
      <c r="L2940" s="851"/>
    </row>
    <row r="2941" spans="11:12">
      <c r="K2941" s="851"/>
      <c r="L2941" s="851"/>
    </row>
    <row r="2942" spans="11:12">
      <c r="K2942" s="851"/>
      <c r="L2942" s="851"/>
    </row>
    <row r="2943" spans="11:12">
      <c r="K2943" s="851"/>
      <c r="L2943" s="851"/>
    </row>
    <row r="2944" spans="11:12">
      <c r="K2944" s="851"/>
      <c r="L2944" s="851"/>
    </row>
    <row r="2945" spans="11:12">
      <c r="K2945" s="851"/>
      <c r="L2945" s="851"/>
    </row>
    <row r="2946" spans="11:12">
      <c r="K2946" s="851"/>
      <c r="L2946" s="851"/>
    </row>
    <row r="2947" spans="11:12">
      <c r="K2947" s="851"/>
      <c r="L2947" s="851"/>
    </row>
    <row r="2948" spans="11:12">
      <c r="K2948" s="851"/>
      <c r="L2948" s="851"/>
    </row>
    <row r="2949" spans="11:12">
      <c r="K2949" s="851"/>
      <c r="L2949" s="851"/>
    </row>
    <row r="2950" spans="11:12">
      <c r="K2950" s="851"/>
      <c r="L2950" s="851"/>
    </row>
    <row r="2951" spans="11:12">
      <c r="K2951" s="851"/>
      <c r="L2951" s="851"/>
    </row>
    <row r="2952" spans="11:12">
      <c r="K2952" s="851"/>
      <c r="L2952" s="851"/>
    </row>
    <row r="2953" spans="11:12">
      <c r="K2953" s="851"/>
      <c r="L2953" s="851"/>
    </row>
    <row r="2954" spans="11:12">
      <c r="K2954" s="851"/>
      <c r="L2954" s="851"/>
    </row>
    <row r="2955" spans="11:12">
      <c r="K2955" s="851"/>
      <c r="L2955" s="851"/>
    </row>
    <row r="2956" spans="11:12">
      <c r="K2956" s="851"/>
      <c r="L2956" s="851"/>
    </row>
    <row r="2957" spans="11:12">
      <c r="K2957" s="851"/>
      <c r="L2957" s="851"/>
    </row>
    <row r="2958" spans="11:12">
      <c r="K2958" s="851"/>
      <c r="L2958" s="851"/>
    </row>
    <row r="2959" spans="11:12">
      <c r="K2959" s="851"/>
      <c r="L2959" s="851"/>
    </row>
    <row r="2960" spans="11:12">
      <c r="K2960" s="851"/>
      <c r="L2960" s="851"/>
    </row>
    <row r="2961" spans="11:12">
      <c r="K2961" s="851"/>
      <c r="L2961" s="851"/>
    </row>
    <row r="2962" spans="11:12">
      <c r="K2962" s="851"/>
      <c r="L2962" s="851"/>
    </row>
    <row r="2963" spans="11:12">
      <c r="K2963" s="851"/>
      <c r="L2963" s="851"/>
    </row>
    <row r="2964" spans="11:12">
      <c r="K2964" s="851"/>
      <c r="L2964" s="851"/>
    </row>
    <row r="2965" spans="11:12">
      <c r="K2965" s="851"/>
      <c r="L2965" s="851"/>
    </row>
    <row r="2966" spans="11:12">
      <c r="K2966" s="851"/>
      <c r="L2966" s="851"/>
    </row>
    <row r="2967" spans="11:12">
      <c r="K2967" s="851"/>
      <c r="L2967" s="851"/>
    </row>
    <row r="2968" spans="11:12">
      <c r="K2968" s="851"/>
      <c r="L2968" s="851"/>
    </row>
    <row r="2969" spans="11:12">
      <c r="K2969" s="851"/>
      <c r="L2969" s="851"/>
    </row>
    <row r="2970" spans="11:12">
      <c r="K2970" s="851"/>
      <c r="L2970" s="851"/>
    </row>
    <row r="2971" spans="11:12">
      <c r="K2971" s="851"/>
      <c r="L2971" s="851"/>
    </row>
    <row r="2972" spans="11:12">
      <c r="K2972" s="851"/>
      <c r="L2972" s="851"/>
    </row>
    <row r="2973" spans="11:12">
      <c r="K2973" s="851"/>
      <c r="L2973" s="851"/>
    </row>
    <row r="2974" spans="11:12">
      <c r="K2974" s="851"/>
      <c r="L2974" s="851"/>
    </row>
    <row r="2975" spans="11:12">
      <c r="K2975" s="851"/>
      <c r="L2975" s="851"/>
    </row>
    <row r="2976" spans="11:12">
      <c r="K2976" s="851"/>
      <c r="L2976" s="851"/>
    </row>
    <row r="2977" spans="11:12">
      <c r="K2977" s="851"/>
      <c r="L2977" s="851"/>
    </row>
    <row r="2978" spans="11:12">
      <c r="K2978" s="851"/>
      <c r="L2978" s="851"/>
    </row>
    <row r="2979" spans="11:12">
      <c r="K2979" s="851"/>
      <c r="L2979" s="851"/>
    </row>
    <row r="2980" spans="11:12">
      <c r="K2980" s="851"/>
      <c r="L2980" s="851"/>
    </row>
    <row r="2981" spans="11:12">
      <c r="K2981" s="851"/>
      <c r="L2981" s="851"/>
    </row>
    <row r="2982" spans="11:12">
      <c r="K2982" s="851"/>
      <c r="L2982" s="851"/>
    </row>
    <row r="2983" spans="11:12">
      <c r="K2983" s="851"/>
      <c r="L2983" s="851"/>
    </row>
    <row r="2984" spans="11:12">
      <c r="K2984" s="851"/>
      <c r="L2984" s="851"/>
    </row>
    <row r="2985" spans="11:12">
      <c r="K2985" s="851"/>
      <c r="L2985" s="851"/>
    </row>
    <row r="2986" spans="11:12">
      <c r="K2986" s="851"/>
      <c r="L2986" s="851"/>
    </row>
    <row r="2987" spans="11:12">
      <c r="K2987" s="851"/>
      <c r="L2987" s="851"/>
    </row>
    <row r="2988" spans="11:12">
      <c r="K2988" s="851"/>
      <c r="L2988" s="851"/>
    </row>
    <row r="2989" spans="11:12">
      <c r="K2989" s="851"/>
      <c r="L2989" s="851"/>
    </row>
    <row r="2990" spans="11:12">
      <c r="K2990" s="851"/>
      <c r="L2990" s="851"/>
    </row>
    <row r="2991" spans="11:12">
      <c r="K2991" s="851"/>
      <c r="L2991" s="851"/>
    </row>
    <row r="2992" spans="11:12">
      <c r="K2992" s="851"/>
      <c r="L2992" s="851"/>
    </row>
    <row r="2993" spans="11:12">
      <c r="K2993" s="851"/>
      <c r="L2993" s="851"/>
    </row>
    <row r="2994" spans="11:12">
      <c r="K2994" s="851"/>
      <c r="L2994" s="851"/>
    </row>
    <row r="2995" spans="11:12">
      <c r="K2995" s="851"/>
      <c r="L2995" s="851"/>
    </row>
    <row r="2996" spans="11:12">
      <c r="K2996" s="851"/>
      <c r="L2996" s="851"/>
    </row>
    <row r="2997" spans="11:12">
      <c r="K2997" s="851"/>
      <c r="L2997" s="851"/>
    </row>
    <row r="2998" spans="11:12">
      <c r="K2998" s="851"/>
      <c r="L2998" s="851"/>
    </row>
    <row r="2999" spans="11:12">
      <c r="K2999" s="851"/>
      <c r="L2999" s="851"/>
    </row>
    <row r="3000" spans="11:12">
      <c r="K3000" s="851"/>
      <c r="L3000" s="851"/>
    </row>
    <row r="3001" spans="11:12">
      <c r="K3001" s="851"/>
      <c r="L3001" s="851"/>
    </row>
    <row r="3002" spans="11:12">
      <c r="K3002" s="851"/>
      <c r="L3002" s="851"/>
    </row>
    <row r="3003" spans="11:12">
      <c r="K3003" s="851"/>
      <c r="L3003" s="851"/>
    </row>
    <row r="3004" spans="11:12">
      <c r="K3004" s="851"/>
      <c r="L3004" s="851"/>
    </row>
    <row r="3005" spans="11:12">
      <c r="K3005" s="851"/>
      <c r="L3005" s="851"/>
    </row>
    <row r="3006" spans="11:12">
      <c r="K3006" s="851"/>
      <c r="L3006" s="851"/>
    </row>
    <row r="3007" spans="11:12">
      <c r="K3007" s="851"/>
      <c r="L3007" s="851"/>
    </row>
    <row r="3008" spans="11:12">
      <c r="K3008" s="851"/>
      <c r="L3008" s="851"/>
    </row>
    <row r="3009" spans="11:12">
      <c r="K3009" s="851"/>
      <c r="L3009" s="851"/>
    </row>
    <row r="3010" spans="11:12">
      <c r="K3010" s="851"/>
      <c r="L3010" s="851"/>
    </row>
    <row r="3011" spans="11:12">
      <c r="K3011" s="851"/>
      <c r="L3011" s="851"/>
    </row>
    <row r="3012" spans="11:12">
      <c r="K3012" s="851"/>
      <c r="L3012" s="851"/>
    </row>
    <row r="3013" spans="11:12">
      <c r="K3013" s="851"/>
      <c r="L3013" s="851"/>
    </row>
    <row r="3014" spans="11:12">
      <c r="K3014" s="851"/>
      <c r="L3014" s="851"/>
    </row>
    <row r="3015" spans="11:12">
      <c r="K3015" s="851"/>
      <c r="L3015" s="851"/>
    </row>
    <row r="3016" spans="11:12">
      <c r="K3016" s="851"/>
      <c r="L3016" s="851"/>
    </row>
    <row r="3017" spans="11:12">
      <c r="K3017" s="851"/>
      <c r="L3017" s="851"/>
    </row>
    <row r="3018" spans="11:12">
      <c r="K3018" s="851"/>
      <c r="L3018" s="851"/>
    </row>
    <row r="3019" spans="11:12">
      <c r="K3019" s="851"/>
      <c r="L3019" s="851"/>
    </row>
    <row r="3020" spans="11:12">
      <c r="K3020" s="851"/>
      <c r="L3020" s="851"/>
    </row>
    <row r="3021" spans="11:12">
      <c r="K3021" s="851"/>
      <c r="L3021" s="851"/>
    </row>
    <row r="3022" spans="11:12">
      <c r="K3022" s="851"/>
      <c r="L3022" s="851"/>
    </row>
    <row r="3023" spans="11:12">
      <c r="K3023" s="851"/>
      <c r="L3023" s="851"/>
    </row>
    <row r="3024" spans="11:12">
      <c r="K3024" s="851"/>
      <c r="L3024" s="851"/>
    </row>
    <row r="3025" spans="11:12">
      <c r="K3025" s="851"/>
      <c r="L3025" s="851"/>
    </row>
    <row r="3026" spans="11:12">
      <c r="K3026" s="851"/>
      <c r="L3026" s="851"/>
    </row>
    <row r="3027" spans="11:12">
      <c r="K3027" s="851"/>
      <c r="L3027" s="851"/>
    </row>
    <row r="3028" spans="11:12">
      <c r="K3028" s="851"/>
      <c r="L3028" s="851"/>
    </row>
    <row r="3029" spans="11:12">
      <c r="K3029" s="851"/>
      <c r="L3029" s="851"/>
    </row>
    <row r="3030" spans="11:12">
      <c r="K3030" s="851"/>
      <c r="L3030" s="851"/>
    </row>
    <row r="3031" spans="11:12">
      <c r="K3031" s="851"/>
      <c r="L3031" s="851"/>
    </row>
    <row r="3032" spans="11:12">
      <c r="K3032" s="851"/>
      <c r="L3032" s="851"/>
    </row>
    <row r="3033" spans="11:12">
      <c r="K3033" s="851"/>
      <c r="L3033" s="851"/>
    </row>
    <row r="3034" spans="11:12">
      <c r="K3034" s="851"/>
      <c r="L3034" s="851"/>
    </row>
    <row r="3035" spans="11:12">
      <c r="K3035" s="851"/>
      <c r="L3035" s="851"/>
    </row>
    <row r="3036" spans="11:12">
      <c r="K3036" s="851"/>
      <c r="L3036" s="851"/>
    </row>
    <row r="3037" spans="11:12">
      <c r="K3037" s="851"/>
      <c r="L3037" s="851"/>
    </row>
    <row r="3038" spans="11:12">
      <c r="K3038" s="851"/>
      <c r="L3038" s="851"/>
    </row>
    <row r="3039" spans="11:12">
      <c r="K3039" s="851"/>
      <c r="L3039" s="851"/>
    </row>
    <row r="3040" spans="11:12">
      <c r="K3040" s="851"/>
      <c r="L3040" s="851"/>
    </row>
    <row r="3041" spans="11:12">
      <c r="K3041" s="851"/>
      <c r="L3041" s="851"/>
    </row>
    <row r="3042" spans="11:12">
      <c r="K3042" s="851"/>
      <c r="L3042" s="851"/>
    </row>
    <row r="3043" spans="11:12">
      <c r="K3043" s="851"/>
      <c r="L3043" s="851"/>
    </row>
    <row r="3044" spans="11:12">
      <c r="K3044" s="851"/>
      <c r="L3044" s="851"/>
    </row>
    <row r="3045" spans="11:12">
      <c r="K3045" s="851"/>
      <c r="L3045" s="851"/>
    </row>
    <row r="3046" spans="11:12">
      <c r="K3046" s="851"/>
      <c r="L3046" s="851"/>
    </row>
    <row r="3047" spans="11:12">
      <c r="K3047" s="851"/>
      <c r="L3047" s="851"/>
    </row>
    <row r="3048" spans="11:12">
      <c r="K3048" s="851"/>
      <c r="L3048" s="851"/>
    </row>
    <row r="3049" spans="11:12">
      <c r="K3049" s="851"/>
      <c r="L3049" s="851"/>
    </row>
    <row r="3050" spans="11:12">
      <c r="K3050" s="851"/>
      <c r="L3050" s="851"/>
    </row>
    <row r="3051" spans="11:12">
      <c r="K3051" s="851"/>
      <c r="L3051" s="851"/>
    </row>
    <row r="3052" spans="11:12">
      <c r="K3052" s="851"/>
      <c r="L3052" s="851"/>
    </row>
    <row r="3053" spans="11:12">
      <c r="K3053" s="851"/>
      <c r="L3053" s="851"/>
    </row>
    <row r="3054" spans="11:12">
      <c r="K3054" s="851"/>
      <c r="L3054" s="851"/>
    </row>
    <row r="3055" spans="11:12">
      <c r="K3055" s="851"/>
      <c r="L3055" s="851"/>
    </row>
    <row r="3056" spans="11:12">
      <c r="K3056" s="851"/>
      <c r="L3056" s="851"/>
    </row>
    <row r="3057" spans="11:12">
      <c r="K3057" s="851"/>
      <c r="L3057" s="851"/>
    </row>
    <row r="3058" spans="11:12">
      <c r="K3058" s="851"/>
      <c r="L3058" s="851"/>
    </row>
    <row r="3059" spans="11:12">
      <c r="K3059" s="851"/>
      <c r="L3059" s="851"/>
    </row>
    <row r="3060" spans="11:12">
      <c r="K3060" s="851"/>
      <c r="L3060" s="851"/>
    </row>
    <row r="3061" spans="11:12">
      <c r="K3061" s="851"/>
      <c r="L3061" s="851"/>
    </row>
    <row r="3062" spans="11:12">
      <c r="K3062" s="851"/>
      <c r="L3062" s="851"/>
    </row>
    <row r="3063" spans="11:12">
      <c r="K3063" s="851"/>
      <c r="L3063" s="851"/>
    </row>
    <row r="3064" spans="11:12">
      <c r="K3064" s="851"/>
      <c r="L3064" s="851"/>
    </row>
    <row r="3065" spans="11:12">
      <c r="K3065" s="851"/>
      <c r="L3065" s="851"/>
    </row>
    <row r="3066" spans="11:12">
      <c r="K3066" s="851"/>
      <c r="L3066" s="851"/>
    </row>
    <row r="3067" spans="11:12">
      <c r="K3067" s="851"/>
      <c r="L3067" s="851"/>
    </row>
    <row r="3068" spans="11:12">
      <c r="K3068" s="851"/>
      <c r="L3068" s="851"/>
    </row>
    <row r="3069" spans="11:12">
      <c r="K3069" s="851"/>
      <c r="L3069" s="851"/>
    </row>
    <row r="3070" spans="11:12">
      <c r="K3070" s="851"/>
      <c r="L3070" s="851"/>
    </row>
    <row r="3071" spans="11:12">
      <c r="K3071" s="851"/>
      <c r="L3071" s="851"/>
    </row>
    <row r="3072" spans="11:12">
      <c r="K3072" s="851"/>
      <c r="L3072" s="851"/>
    </row>
    <row r="3073" spans="11:12">
      <c r="K3073" s="851"/>
      <c r="L3073" s="851"/>
    </row>
    <row r="3074" spans="11:12">
      <c r="K3074" s="851"/>
      <c r="L3074" s="851"/>
    </row>
    <row r="3075" spans="11:12">
      <c r="K3075" s="851"/>
      <c r="L3075" s="851"/>
    </row>
    <row r="3076" spans="11:12">
      <c r="K3076" s="851"/>
      <c r="L3076" s="851"/>
    </row>
    <row r="3077" spans="11:12">
      <c r="K3077" s="851"/>
      <c r="L3077" s="851"/>
    </row>
    <row r="3078" spans="11:12">
      <c r="K3078" s="851"/>
      <c r="L3078" s="851"/>
    </row>
    <row r="3079" spans="11:12">
      <c r="K3079" s="851"/>
      <c r="L3079" s="851"/>
    </row>
    <row r="3080" spans="11:12">
      <c r="K3080" s="851"/>
      <c r="L3080" s="851"/>
    </row>
    <row r="3081" spans="11:12">
      <c r="K3081" s="851"/>
      <c r="L3081" s="851"/>
    </row>
    <row r="3082" spans="11:12">
      <c r="K3082" s="851"/>
      <c r="L3082" s="851"/>
    </row>
    <row r="3083" spans="11:12">
      <c r="K3083" s="851"/>
      <c r="L3083" s="851"/>
    </row>
    <row r="3084" spans="11:12">
      <c r="K3084" s="851"/>
      <c r="L3084" s="851"/>
    </row>
    <row r="3085" spans="11:12">
      <c r="K3085" s="851"/>
      <c r="L3085" s="851"/>
    </row>
    <row r="3086" spans="11:12">
      <c r="K3086" s="851"/>
      <c r="L3086" s="851"/>
    </row>
    <row r="3087" spans="11:12">
      <c r="K3087" s="851"/>
      <c r="L3087" s="851"/>
    </row>
    <row r="3088" spans="11:12">
      <c r="K3088" s="851"/>
      <c r="L3088" s="851"/>
    </row>
    <row r="3089" spans="11:12">
      <c r="K3089" s="851"/>
      <c r="L3089" s="851"/>
    </row>
    <row r="3090" spans="11:12">
      <c r="K3090" s="851"/>
      <c r="L3090" s="851"/>
    </row>
    <row r="3091" spans="11:12">
      <c r="K3091" s="851"/>
      <c r="L3091" s="851"/>
    </row>
    <row r="3092" spans="11:12">
      <c r="K3092" s="851"/>
      <c r="L3092" s="851"/>
    </row>
    <row r="3093" spans="11:12">
      <c r="K3093" s="851"/>
      <c r="L3093" s="851"/>
    </row>
    <row r="3094" spans="11:12">
      <c r="K3094" s="851"/>
      <c r="L3094" s="851"/>
    </row>
    <row r="3095" spans="11:12">
      <c r="K3095" s="851"/>
      <c r="L3095" s="851"/>
    </row>
    <row r="3096" spans="11:12">
      <c r="K3096" s="851"/>
      <c r="L3096" s="851"/>
    </row>
    <row r="3097" spans="11:12">
      <c r="K3097" s="851"/>
      <c r="L3097" s="851"/>
    </row>
    <row r="3098" spans="11:12">
      <c r="K3098" s="851"/>
      <c r="L3098" s="851"/>
    </row>
    <row r="3099" spans="11:12">
      <c r="K3099" s="851"/>
      <c r="L3099" s="851"/>
    </row>
    <row r="3100" spans="11:12">
      <c r="K3100" s="851"/>
      <c r="L3100" s="851"/>
    </row>
    <row r="3101" spans="11:12">
      <c r="K3101" s="851"/>
      <c r="L3101" s="851"/>
    </row>
    <row r="3102" spans="11:12">
      <c r="K3102" s="851"/>
      <c r="L3102" s="851"/>
    </row>
    <row r="3103" spans="11:12">
      <c r="K3103" s="851"/>
      <c r="L3103" s="851"/>
    </row>
    <row r="3104" spans="11:12">
      <c r="K3104" s="851"/>
      <c r="L3104" s="851"/>
    </row>
    <row r="3105" spans="11:12">
      <c r="K3105" s="851"/>
      <c r="L3105" s="851"/>
    </row>
    <row r="3106" spans="11:12">
      <c r="K3106" s="851"/>
      <c r="L3106" s="851"/>
    </row>
    <row r="3107" spans="11:12">
      <c r="K3107" s="851"/>
      <c r="L3107" s="851"/>
    </row>
    <row r="3108" spans="11:12">
      <c r="K3108" s="851"/>
      <c r="L3108" s="851"/>
    </row>
    <row r="3109" spans="11:12">
      <c r="K3109" s="851"/>
      <c r="L3109" s="851"/>
    </row>
    <row r="3110" spans="11:12">
      <c r="K3110" s="851"/>
      <c r="L3110" s="851"/>
    </row>
    <row r="3111" spans="11:12">
      <c r="K3111" s="851"/>
      <c r="L3111" s="851"/>
    </row>
    <row r="3112" spans="11:12">
      <c r="K3112" s="851"/>
      <c r="L3112" s="851"/>
    </row>
    <row r="3113" spans="11:12">
      <c r="K3113" s="851"/>
      <c r="L3113" s="851"/>
    </row>
    <row r="3114" spans="11:12">
      <c r="K3114" s="851"/>
      <c r="L3114" s="851"/>
    </row>
    <row r="3115" spans="11:12">
      <c r="K3115" s="851"/>
      <c r="L3115" s="851"/>
    </row>
    <row r="3116" spans="11:12">
      <c r="K3116" s="851"/>
      <c r="L3116" s="851"/>
    </row>
    <row r="3117" spans="11:12">
      <c r="K3117" s="851"/>
      <c r="L3117" s="851"/>
    </row>
    <row r="3118" spans="11:12">
      <c r="K3118" s="851"/>
      <c r="L3118" s="851"/>
    </row>
    <row r="3119" spans="11:12">
      <c r="K3119" s="851"/>
      <c r="L3119" s="851"/>
    </row>
    <row r="3120" spans="11:12">
      <c r="K3120" s="851"/>
      <c r="L3120" s="851"/>
    </row>
    <row r="3121" spans="11:12">
      <c r="K3121" s="851"/>
      <c r="L3121" s="851"/>
    </row>
    <row r="3122" spans="11:12">
      <c r="K3122" s="851"/>
      <c r="L3122" s="851"/>
    </row>
    <row r="3123" spans="11:12">
      <c r="K3123" s="851"/>
      <c r="L3123" s="851"/>
    </row>
    <row r="3124" spans="11:12">
      <c r="K3124" s="851"/>
      <c r="L3124" s="851"/>
    </row>
    <row r="3125" spans="11:12">
      <c r="K3125" s="851"/>
      <c r="L3125" s="851"/>
    </row>
    <row r="3126" spans="11:12">
      <c r="K3126" s="851"/>
      <c r="L3126" s="851"/>
    </row>
    <row r="3127" spans="11:12">
      <c r="K3127" s="851"/>
      <c r="L3127" s="851"/>
    </row>
    <row r="3128" spans="11:12">
      <c r="K3128" s="851"/>
      <c r="L3128" s="851"/>
    </row>
    <row r="3129" spans="11:12">
      <c r="K3129" s="851"/>
      <c r="L3129" s="851"/>
    </row>
    <row r="3130" spans="11:12">
      <c r="K3130" s="851"/>
      <c r="L3130" s="851"/>
    </row>
    <row r="3131" spans="11:12">
      <c r="K3131" s="851"/>
      <c r="L3131" s="851"/>
    </row>
    <row r="3132" spans="11:12">
      <c r="K3132" s="851"/>
      <c r="L3132" s="851"/>
    </row>
    <row r="3133" spans="11:12">
      <c r="K3133" s="851"/>
      <c r="L3133" s="851"/>
    </row>
    <row r="3134" spans="11:12">
      <c r="K3134" s="851"/>
      <c r="L3134" s="851"/>
    </row>
    <row r="3135" spans="11:12">
      <c r="K3135" s="851"/>
      <c r="L3135" s="851"/>
    </row>
    <row r="3136" spans="11:12">
      <c r="K3136" s="851"/>
      <c r="L3136" s="851"/>
    </row>
    <row r="3137" spans="11:12">
      <c r="K3137" s="851"/>
      <c r="L3137" s="851"/>
    </row>
    <row r="3138" spans="11:12">
      <c r="K3138" s="851"/>
      <c r="L3138" s="851"/>
    </row>
    <row r="3139" spans="11:12">
      <c r="K3139" s="851"/>
      <c r="L3139" s="851"/>
    </row>
    <row r="3140" spans="11:12">
      <c r="K3140" s="851"/>
      <c r="L3140" s="851"/>
    </row>
    <row r="3141" spans="11:12">
      <c r="K3141" s="851"/>
      <c r="L3141" s="851"/>
    </row>
    <row r="3142" spans="11:12">
      <c r="K3142" s="851"/>
      <c r="L3142" s="851"/>
    </row>
    <row r="3143" spans="11:12">
      <c r="K3143" s="851"/>
      <c r="L3143" s="851"/>
    </row>
    <row r="3144" spans="11:12">
      <c r="K3144" s="851"/>
      <c r="L3144" s="851"/>
    </row>
    <row r="3145" spans="11:12">
      <c r="K3145" s="851"/>
      <c r="L3145" s="851"/>
    </row>
    <row r="3146" spans="11:12">
      <c r="K3146" s="851"/>
      <c r="L3146" s="851"/>
    </row>
    <row r="3147" spans="11:12">
      <c r="K3147" s="851"/>
      <c r="L3147" s="851"/>
    </row>
    <row r="3148" spans="11:12">
      <c r="K3148" s="851"/>
      <c r="L3148" s="851"/>
    </row>
    <row r="3149" spans="11:12">
      <c r="K3149" s="851"/>
      <c r="L3149" s="851"/>
    </row>
    <row r="3150" spans="11:12">
      <c r="K3150" s="851"/>
      <c r="L3150" s="851"/>
    </row>
    <row r="3151" spans="11:12">
      <c r="K3151" s="851"/>
      <c r="L3151" s="851"/>
    </row>
    <row r="3152" spans="11:12">
      <c r="K3152" s="851"/>
      <c r="L3152" s="851"/>
    </row>
    <row r="3153" spans="11:12">
      <c r="K3153" s="851"/>
      <c r="L3153" s="851"/>
    </row>
    <row r="3154" spans="11:12">
      <c r="K3154" s="851"/>
      <c r="L3154" s="851"/>
    </row>
    <row r="3155" spans="11:12">
      <c r="K3155" s="851"/>
      <c r="L3155" s="851"/>
    </row>
    <row r="3156" spans="11:12">
      <c r="K3156" s="851"/>
      <c r="L3156" s="851"/>
    </row>
    <row r="3157" spans="11:12">
      <c r="K3157" s="851"/>
      <c r="L3157" s="851"/>
    </row>
    <row r="3158" spans="11:12">
      <c r="K3158" s="851"/>
      <c r="L3158" s="851"/>
    </row>
    <row r="3159" spans="11:12">
      <c r="K3159" s="851"/>
      <c r="L3159" s="851"/>
    </row>
    <row r="3160" spans="11:12">
      <c r="K3160" s="851"/>
      <c r="L3160" s="851"/>
    </row>
    <row r="3161" spans="11:12">
      <c r="K3161" s="851"/>
      <c r="L3161" s="851"/>
    </row>
    <row r="3162" spans="11:12">
      <c r="K3162" s="851"/>
      <c r="L3162" s="851"/>
    </row>
    <row r="3163" spans="11:12">
      <c r="K3163" s="851"/>
      <c r="L3163" s="851"/>
    </row>
    <row r="3164" spans="11:12">
      <c r="K3164" s="851"/>
      <c r="L3164" s="851"/>
    </row>
    <row r="3165" spans="11:12">
      <c r="K3165" s="851"/>
      <c r="L3165" s="851"/>
    </row>
    <row r="3166" spans="11:12">
      <c r="K3166" s="851"/>
      <c r="L3166" s="851"/>
    </row>
    <row r="3167" spans="11:12">
      <c r="K3167" s="851"/>
      <c r="L3167" s="851"/>
    </row>
    <row r="3168" spans="11:12">
      <c r="K3168" s="851"/>
      <c r="L3168" s="851"/>
    </row>
    <row r="3169" spans="11:12">
      <c r="K3169" s="851"/>
      <c r="L3169" s="851"/>
    </row>
    <row r="3170" spans="11:12">
      <c r="K3170" s="851"/>
      <c r="L3170" s="851"/>
    </row>
    <row r="3171" spans="11:12">
      <c r="K3171" s="851"/>
      <c r="L3171" s="851"/>
    </row>
    <row r="3172" spans="11:12">
      <c r="K3172" s="851"/>
      <c r="L3172" s="851"/>
    </row>
    <row r="3173" spans="11:12">
      <c r="K3173" s="851"/>
      <c r="L3173" s="851"/>
    </row>
    <row r="3174" spans="11:12">
      <c r="K3174" s="851"/>
      <c r="L3174" s="851"/>
    </row>
    <row r="3175" spans="11:12">
      <c r="K3175" s="851"/>
      <c r="L3175" s="851"/>
    </row>
    <row r="3176" spans="11:12">
      <c r="K3176" s="851"/>
      <c r="L3176" s="851"/>
    </row>
    <row r="3177" spans="11:12">
      <c r="K3177" s="851"/>
      <c r="L3177" s="851"/>
    </row>
    <row r="3178" spans="11:12">
      <c r="K3178" s="851"/>
      <c r="L3178" s="851"/>
    </row>
    <row r="3179" spans="11:12">
      <c r="K3179" s="851"/>
      <c r="L3179" s="851"/>
    </row>
    <row r="3180" spans="11:12">
      <c r="K3180" s="851"/>
      <c r="L3180" s="851"/>
    </row>
    <row r="3181" spans="11:12">
      <c r="K3181" s="851"/>
      <c r="L3181" s="851"/>
    </row>
    <row r="3182" spans="11:12">
      <c r="K3182" s="851"/>
      <c r="L3182" s="851"/>
    </row>
    <row r="3183" spans="11:12">
      <c r="K3183" s="851"/>
      <c r="L3183" s="851"/>
    </row>
    <row r="3184" spans="11:12">
      <c r="K3184" s="851"/>
      <c r="L3184" s="851"/>
    </row>
    <row r="3185" spans="11:12">
      <c r="K3185" s="851"/>
      <c r="L3185" s="851"/>
    </row>
    <row r="3186" spans="11:12">
      <c r="K3186" s="851"/>
      <c r="L3186" s="851"/>
    </row>
    <row r="3187" spans="11:12">
      <c r="K3187" s="851"/>
      <c r="L3187" s="851"/>
    </row>
    <row r="3188" spans="11:12">
      <c r="K3188" s="851"/>
      <c r="L3188" s="851"/>
    </row>
    <row r="3189" spans="11:12">
      <c r="K3189" s="851"/>
      <c r="L3189" s="851"/>
    </row>
    <row r="3190" spans="11:12">
      <c r="K3190" s="851"/>
      <c r="L3190" s="851"/>
    </row>
    <row r="3191" spans="11:12">
      <c r="K3191" s="851"/>
      <c r="L3191" s="851"/>
    </row>
    <row r="3192" spans="11:12">
      <c r="K3192" s="851"/>
      <c r="L3192" s="851"/>
    </row>
    <row r="3193" spans="11:12">
      <c r="K3193" s="851"/>
      <c r="L3193" s="851"/>
    </row>
    <row r="3194" spans="11:12">
      <c r="K3194" s="851"/>
      <c r="L3194" s="851"/>
    </row>
    <row r="3195" spans="11:12">
      <c r="K3195" s="851"/>
      <c r="L3195" s="851"/>
    </row>
    <row r="3196" spans="11:12">
      <c r="K3196" s="851"/>
      <c r="L3196" s="851"/>
    </row>
    <row r="3197" spans="11:12">
      <c r="K3197" s="851"/>
      <c r="L3197" s="851"/>
    </row>
    <row r="3198" spans="11:12">
      <c r="K3198" s="851"/>
      <c r="L3198" s="851"/>
    </row>
    <row r="3199" spans="11:12">
      <c r="K3199" s="851"/>
      <c r="L3199" s="851"/>
    </row>
    <row r="3200" spans="11:12">
      <c r="K3200" s="851"/>
      <c r="L3200" s="851"/>
    </row>
    <row r="3201" spans="11:12">
      <c r="K3201" s="851"/>
      <c r="L3201" s="851"/>
    </row>
    <row r="3202" spans="11:12">
      <c r="K3202" s="851"/>
      <c r="L3202" s="851"/>
    </row>
    <row r="3203" spans="11:12">
      <c r="K3203" s="851"/>
      <c r="L3203" s="851"/>
    </row>
    <row r="3204" spans="11:12">
      <c r="K3204" s="851"/>
      <c r="L3204" s="851"/>
    </row>
    <row r="3205" spans="11:12">
      <c r="K3205" s="851"/>
      <c r="L3205" s="851"/>
    </row>
    <row r="3206" spans="11:12">
      <c r="K3206" s="851"/>
      <c r="L3206" s="851"/>
    </row>
    <row r="3207" spans="11:12">
      <c r="K3207" s="851"/>
      <c r="L3207" s="851"/>
    </row>
    <row r="3208" spans="11:12">
      <c r="K3208" s="851"/>
      <c r="L3208" s="851"/>
    </row>
    <row r="3209" spans="11:12">
      <c r="K3209" s="851"/>
      <c r="L3209" s="851"/>
    </row>
    <row r="3210" spans="11:12">
      <c r="K3210" s="851"/>
      <c r="L3210" s="851"/>
    </row>
    <row r="3211" spans="11:12">
      <c r="K3211" s="851"/>
      <c r="L3211" s="851"/>
    </row>
    <row r="3212" spans="11:12">
      <c r="K3212" s="851"/>
      <c r="L3212" s="851"/>
    </row>
    <row r="3213" spans="11:12">
      <c r="K3213" s="851"/>
      <c r="L3213" s="851"/>
    </row>
    <row r="3214" spans="11:12">
      <c r="K3214" s="851"/>
      <c r="L3214" s="851"/>
    </row>
    <row r="3215" spans="11:12">
      <c r="K3215" s="851"/>
      <c r="L3215" s="851"/>
    </row>
    <row r="3216" spans="11:12">
      <c r="K3216" s="851"/>
      <c r="L3216" s="851"/>
    </row>
    <row r="3217" spans="11:12">
      <c r="K3217" s="851"/>
      <c r="L3217" s="851"/>
    </row>
    <row r="3218" spans="11:12">
      <c r="K3218" s="851"/>
      <c r="L3218" s="851"/>
    </row>
    <row r="3219" spans="11:12">
      <c r="K3219" s="851"/>
      <c r="L3219" s="851"/>
    </row>
    <row r="3220" spans="11:12">
      <c r="K3220" s="851"/>
      <c r="L3220" s="851"/>
    </row>
    <row r="3221" spans="11:12">
      <c r="K3221" s="851"/>
      <c r="L3221" s="851"/>
    </row>
    <row r="3222" spans="11:12">
      <c r="K3222" s="851"/>
      <c r="L3222" s="851"/>
    </row>
    <row r="3223" spans="11:12">
      <c r="K3223" s="851"/>
      <c r="L3223" s="851"/>
    </row>
    <row r="3224" spans="11:12">
      <c r="K3224" s="851"/>
      <c r="L3224" s="851"/>
    </row>
    <row r="3225" spans="11:12">
      <c r="K3225" s="851"/>
      <c r="L3225" s="851"/>
    </row>
    <row r="3226" spans="11:12">
      <c r="K3226" s="851"/>
      <c r="L3226" s="851"/>
    </row>
    <row r="3227" spans="11:12">
      <c r="K3227" s="851"/>
      <c r="L3227" s="851"/>
    </row>
    <row r="3228" spans="11:12">
      <c r="K3228" s="851"/>
      <c r="L3228" s="851"/>
    </row>
    <row r="3229" spans="11:12">
      <c r="K3229" s="851"/>
      <c r="L3229" s="851"/>
    </row>
    <row r="3230" spans="11:12">
      <c r="K3230" s="851"/>
      <c r="L3230" s="851"/>
    </row>
    <row r="3231" spans="11:12">
      <c r="K3231" s="851"/>
      <c r="L3231" s="851"/>
    </row>
    <row r="3232" spans="11:12">
      <c r="K3232" s="851"/>
      <c r="L3232" s="851"/>
    </row>
    <row r="3233" spans="11:12">
      <c r="K3233" s="851"/>
      <c r="L3233" s="851"/>
    </row>
    <row r="3234" spans="11:12">
      <c r="K3234" s="851"/>
      <c r="L3234" s="851"/>
    </row>
    <row r="3235" spans="11:12">
      <c r="K3235" s="851"/>
      <c r="L3235" s="851"/>
    </row>
    <row r="3236" spans="11:12">
      <c r="K3236" s="851"/>
      <c r="L3236" s="851"/>
    </row>
    <row r="3237" spans="11:12">
      <c r="K3237" s="851"/>
      <c r="L3237" s="851"/>
    </row>
    <row r="3238" spans="11:12">
      <c r="K3238" s="851"/>
      <c r="L3238" s="851"/>
    </row>
    <row r="3239" spans="11:12">
      <c r="K3239" s="851"/>
      <c r="L3239" s="851"/>
    </row>
    <row r="3240" spans="11:12">
      <c r="K3240" s="851"/>
      <c r="L3240" s="851"/>
    </row>
    <row r="3241" spans="11:12">
      <c r="K3241" s="851"/>
      <c r="L3241" s="851"/>
    </row>
    <row r="3242" spans="11:12">
      <c r="K3242" s="851"/>
      <c r="L3242" s="851"/>
    </row>
    <row r="3243" spans="11:12">
      <c r="K3243" s="851"/>
      <c r="L3243" s="851"/>
    </row>
    <row r="3244" spans="11:12">
      <c r="K3244" s="851"/>
      <c r="L3244" s="851"/>
    </row>
    <row r="3245" spans="11:12">
      <c r="K3245" s="851"/>
      <c r="L3245" s="851"/>
    </row>
    <row r="3246" spans="11:12">
      <c r="K3246" s="851"/>
      <c r="L3246" s="851"/>
    </row>
    <row r="3247" spans="11:12">
      <c r="K3247" s="851"/>
      <c r="L3247" s="851"/>
    </row>
    <row r="3248" spans="11:12">
      <c r="K3248" s="851"/>
      <c r="L3248" s="851"/>
    </row>
    <row r="3249" spans="11:12">
      <c r="K3249" s="851"/>
      <c r="L3249" s="851"/>
    </row>
    <row r="3250" spans="11:12">
      <c r="K3250" s="851"/>
      <c r="L3250" s="851"/>
    </row>
    <row r="3251" spans="11:12">
      <c r="K3251" s="851"/>
      <c r="L3251" s="851"/>
    </row>
    <row r="3252" spans="11:12">
      <c r="K3252" s="851"/>
      <c r="L3252" s="851"/>
    </row>
    <row r="3253" spans="11:12">
      <c r="K3253" s="851"/>
      <c r="L3253" s="851"/>
    </row>
    <row r="3254" spans="11:12">
      <c r="K3254" s="851"/>
      <c r="L3254" s="851"/>
    </row>
    <row r="3255" spans="11:12">
      <c r="K3255" s="851"/>
      <c r="L3255" s="851"/>
    </row>
    <row r="3256" spans="11:12">
      <c r="K3256" s="851"/>
      <c r="L3256" s="851"/>
    </row>
    <row r="3257" spans="11:12">
      <c r="K3257" s="851"/>
      <c r="L3257" s="851"/>
    </row>
    <row r="3258" spans="11:12">
      <c r="K3258" s="851"/>
      <c r="L3258" s="851"/>
    </row>
    <row r="3259" spans="11:12">
      <c r="K3259" s="851"/>
      <c r="L3259" s="851"/>
    </row>
    <row r="3260" spans="11:12">
      <c r="K3260" s="851"/>
      <c r="L3260" s="851"/>
    </row>
    <row r="3261" spans="11:12">
      <c r="K3261" s="851"/>
      <c r="L3261" s="851"/>
    </row>
    <row r="3262" spans="11:12">
      <c r="K3262" s="851"/>
      <c r="L3262" s="851"/>
    </row>
    <row r="3263" spans="11:12">
      <c r="K3263" s="851"/>
      <c r="L3263" s="851"/>
    </row>
    <row r="3264" spans="11:12">
      <c r="K3264" s="851"/>
      <c r="L3264" s="851"/>
    </row>
    <row r="3265" spans="11:12">
      <c r="K3265" s="851"/>
      <c r="L3265" s="851"/>
    </row>
    <row r="3266" spans="11:12">
      <c r="K3266" s="851"/>
      <c r="L3266" s="851"/>
    </row>
    <row r="3267" spans="11:12">
      <c r="K3267" s="851"/>
      <c r="L3267" s="851"/>
    </row>
    <row r="3268" spans="11:12">
      <c r="K3268" s="851"/>
      <c r="L3268" s="851"/>
    </row>
    <row r="3269" spans="11:12">
      <c r="K3269" s="851"/>
      <c r="L3269" s="851"/>
    </row>
    <row r="3270" spans="11:12">
      <c r="K3270" s="851"/>
      <c r="L3270" s="851"/>
    </row>
    <row r="3271" spans="11:12">
      <c r="K3271" s="851"/>
      <c r="L3271" s="851"/>
    </row>
    <row r="3272" spans="11:12">
      <c r="K3272" s="851"/>
      <c r="L3272" s="851"/>
    </row>
    <row r="3273" spans="11:12">
      <c r="K3273" s="851"/>
      <c r="L3273" s="851"/>
    </row>
    <row r="3274" spans="11:12">
      <c r="K3274" s="851"/>
      <c r="L3274" s="851"/>
    </row>
    <row r="3275" spans="11:12">
      <c r="K3275" s="851"/>
      <c r="L3275" s="851"/>
    </row>
    <row r="3276" spans="11:12">
      <c r="K3276" s="851"/>
      <c r="L3276" s="851"/>
    </row>
    <row r="3277" spans="11:12">
      <c r="K3277" s="851"/>
      <c r="L3277" s="851"/>
    </row>
    <row r="3278" spans="11:12">
      <c r="K3278" s="851"/>
      <c r="L3278" s="851"/>
    </row>
    <row r="3279" spans="11:12">
      <c r="K3279" s="851"/>
      <c r="L3279" s="851"/>
    </row>
    <row r="3280" spans="11:12">
      <c r="K3280" s="851"/>
      <c r="L3280" s="851"/>
    </row>
    <row r="3281" spans="11:12">
      <c r="K3281" s="851"/>
      <c r="L3281" s="851"/>
    </row>
    <row r="3282" spans="11:12">
      <c r="K3282" s="851"/>
      <c r="L3282" s="851"/>
    </row>
    <row r="3283" spans="11:12">
      <c r="K3283" s="851"/>
      <c r="L3283" s="851"/>
    </row>
    <row r="3284" spans="11:12">
      <c r="K3284" s="851"/>
      <c r="L3284" s="851"/>
    </row>
    <row r="3285" spans="11:12">
      <c r="K3285" s="851"/>
      <c r="L3285" s="851"/>
    </row>
    <row r="3286" spans="11:12">
      <c r="K3286" s="851"/>
      <c r="L3286" s="851"/>
    </row>
    <row r="3287" spans="11:12">
      <c r="K3287" s="851"/>
      <c r="L3287" s="851"/>
    </row>
    <row r="3288" spans="11:12">
      <c r="K3288" s="851"/>
      <c r="L3288" s="851"/>
    </row>
    <row r="3289" spans="11:12">
      <c r="K3289" s="851"/>
      <c r="L3289" s="851"/>
    </row>
    <row r="3290" spans="11:12">
      <c r="K3290" s="851"/>
      <c r="L3290" s="851"/>
    </row>
    <row r="3291" spans="11:12">
      <c r="K3291" s="851"/>
      <c r="L3291" s="851"/>
    </row>
    <row r="3292" spans="11:12">
      <c r="K3292" s="851"/>
      <c r="L3292" s="851"/>
    </row>
    <row r="3293" spans="11:12">
      <c r="K3293" s="851"/>
      <c r="L3293" s="851"/>
    </row>
    <row r="3294" spans="11:12">
      <c r="K3294" s="851"/>
      <c r="L3294" s="851"/>
    </row>
    <row r="3295" spans="11:12">
      <c r="K3295" s="851"/>
      <c r="L3295" s="851"/>
    </row>
    <row r="3296" spans="11:12">
      <c r="K3296" s="851"/>
      <c r="L3296" s="851"/>
    </row>
    <row r="3297" spans="11:12">
      <c r="K3297" s="851"/>
      <c r="L3297" s="851"/>
    </row>
    <row r="3298" spans="11:12">
      <c r="K3298" s="851"/>
      <c r="L3298" s="851"/>
    </row>
    <row r="3299" spans="11:12">
      <c r="K3299" s="851"/>
      <c r="L3299" s="851"/>
    </row>
    <row r="3300" spans="11:12">
      <c r="K3300" s="851"/>
      <c r="L3300" s="851"/>
    </row>
    <row r="3301" spans="11:12">
      <c r="K3301" s="851"/>
      <c r="L3301" s="851"/>
    </row>
    <row r="3302" spans="11:12">
      <c r="K3302" s="851"/>
      <c r="L3302" s="851"/>
    </row>
    <row r="3303" spans="11:12">
      <c r="K3303" s="851"/>
      <c r="L3303" s="851"/>
    </row>
    <row r="3304" spans="11:12">
      <c r="K3304" s="851"/>
      <c r="L3304" s="851"/>
    </row>
    <row r="3305" spans="11:12">
      <c r="K3305" s="851"/>
      <c r="L3305" s="851"/>
    </row>
    <row r="3306" spans="11:12">
      <c r="K3306" s="851"/>
      <c r="L3306" s="851"/>
    </row>
    <row r="3307" spans="11:12">
      <c r="K3307" s="851"/>
      <c r="L3307" s="851"/>
    </row>
    <row r="3308" spans="11:12">
      <c r="K3308" s="851"/>
      <c r="L3308" s="851"/>
    </row>
    <row r="3309" spans="11:12">
      <c r="K3309" s="851"/>
      <c r="L3309" s="851"/>
    </row>
    <row r="3310" spans="11:12">
      <c r="K3310" s="851"/>
      <c r="L3310" s="851"/>
    </row>
    <row r="3311" spans="11:12">
      <c r="K3311" s="851"/>
      <c r="L3311" s="851"/>
    </row>
    <row r="3312" spans="11:12">
      <c r="K3312" s="851"/>
      <c r="L3312" s="851"/>
    </row>
    <row r="3313" spans="11:12">
      <c r="K3313" s="851"/>
      <c r="L3313" s="851"/>
    </row>
    <row r="3314" spans="11:12">
      <c r="K3314" s="851"/>
      <c r="L3314" s="851"/>
    </row>
    <row r="3315" spans="11:12">
      <c r="K3315" s="851"/>
      <c r="L3315" s="851"/>
    </row>
    <row r="3316" spans="11:12">
      <c r="K3316" s="851"/>
      <c r="L3316" s="851"/>
    </row>
    <row r="3317" spans="11:12">
      <c r="K3317" s="851"/>
      <c r="L3317" s="851"/>
    </row>
    <row r="3318" spans="11:12">
      <c r="K3318" s="851"/>
      <c r="L3318" s="851"/>
    </row>
    <row r="3319" spans="11:12">
      <c r="K3319" s="851"/>
      <c r="L3319" s="851"/>
    </row>
    <row r="3320" spans="11:12">
      <c r="K3320" s="851"/>
      <c r="L3320" s="851"/>
    </row>
    <row r="3321" spans="11:12">
      <c r="K3321" s="851"/>
      <c r="L3321" s="851"/>
    </row>
    <row r="3322" spans="11:12">
      <c r="K3322" s="851"/>
      <c r="L3322" s="851"/>
    </row>
    <row r="3323" spans="11:12">
      <c r="K3323" s="851"/>
      <c r="L3323" s="851"/>
    </row>
    <row r="3324" spans="11:12">
      <c r="K3324" s="851"/>
      <c r="L3324" s="851"/>
    </row>
    <row r="3325" spans="11:12">
      <c r="K3325" s="851"/>
      <c r="L3325" s="851"/>
    </row>
    <row r="3326" spans="11:12">
      <c r="K3326" s="851"/>
      <c r="L3326" s="851"/>
    </row>
    <row r="3327" spans="11:12">
      <c r="K3327" s="851"/>
      <c r="L3327" s="851"/>
    </row>
    <row r="3328" spans="11:12">
      <c r="K3328" s="851"/>
      <c r="L3328" s="851"/>
    </row>
    <row r="3329" spans="11:12">
      <c r="K3329" s="851"/>
      <c r="L3329" s="851"/>
    </row>
    <row r="3330" spans="11:12">
      <c r="K3330" s="851"/>
      <c r="L3330" s="851"/>
    </row>
    <row r="3331" spans="11:12">
      <c r="K3331" s="851"/>
      <c r="L3331" s="851"/>
    </row>
    <row r="3332" spans="11:12">
      <c r="K3332" s="851"/>
      <c r="L3332" s="851"/>
    </row>
    <row r="3333" spans="11:12">
      <c r="K3333" s="851"/>
      <c r="L3333" s="851"/>
    </row>
    <row r="3334" spans="11:12">
      <c r="K3334" s="851"/>
      <c r="L3334" s="851"/>
    </row>
    <row r="3335" spans="11:12">
      <c r="K3335" s="851"/>
      <c r="L3335" s="851"/>
    </row>
    <row r="3336" spans="11:12">
      <c r="K3336" s="851"/>
      <c r="L3336" s="851"/>
    </row>
    <row r="3337" spans="11:12">
      <c r="K3337" s="851"/>
      <c r="L3337" s="851"/>
    </row>
    <row r="3338" spans="11:12">
      <c r="K3338" s="851"/>
      <c r="L3338" s="851"/>
    </row>
    <row r="3339" spans="11:12">
      <c r="K3339" s="851"/>
      <c r="L3339" s="851"/>
    </row>
    <row r="3340" spans="11:12">
      <c r="K3340" s="851"/>
      <c r="L3340" s="851"/>
    </row>
    <row r="3341" spans="11:12">
      <c r="K3341" s="851"/>
      <c r="L3341" s="851"/>
    </row>
    <row r="3342" spans="11:12">
      <c r="K3342" s="851"/>
      <c r="L3342" s="851"/>
    </row>
    <row r="3343" spans="11:12">
      <c r="K3343" s="851"/>
      <c r="L3343" s="851"/>
    </row>
    <row r="3344" spans="11:12">
      <c r="K3344" s="851"/>
      <c r="L3344" s="851"/>
    </row>
    <row r="3345" spans="11:12">
      <c r="K3345" s="851"/>
      <c r="L3345" s="851"/>
    </row>
    <row r="3346" spans="11:12">
      <c r="K3346" s="851"/>
      <c r="L3346" s="851"/>
    </row>
    <row r="3347" spans="11:12">
      <c r="K3347" s="851"/>
      <c r="L3347" s="851"/>
    </row>
    <row r="3348" spans="11:12">
      <c r="K3348" s="851"/>
      <c r="L3348" s="851"/>
    </row>
    <row r="3349" spans="11:12">
      <c r="K3349" s="851"/>
      <c r="L3349" s="851"/>
    </row>
    <row r="3350" spans="11:12">
      <c r="K3350" s="851"/>
      <c r="L3350" s="851"/>
    </row>
    <row r="3351" spans="11:12">
      <c r="K3351" s="851"/>
      <c r="L3351" s="851"/>
    </row>
    <row r="3352" spans="11:12">
      <c r="K3352" s="851"/>
      <c r="L3352" s="851"/>
    </row>
    <row r="3353" spans="11:12">
      <c r="K3353" s="851"/>
      <c r="L3353" s="851"/>
    </row>
    <row r="3354" spans="11:12">
      <c r="K3354" s="851"/>
      <c r="L3354" s="851"/>
    </row>
    <row r="3355" spans="11:12">
      <c r="K3355" s="851"/>
      <c r="L3355" s="851"/>
    </row>
    <row r="3356" spans="11:12">
      <c r="K3356" s="851"/>
      <c r="L3356" s="851"/>
    </row>
    <row r="3357" spans="11:12">
      <c r="K3357" s="851"/>
      <c r="L3357" s="851"/>
    </row>
    <row r="3358" spans="11:12">
      <c r="K3358" s="851"/>
      <c r="L3358" s="851"/>
    </row>
    <row r="3359" spans="11:12">
      <c r="K3359" s="851"/>
      <c r="L3359" s="851"/>
    </row>
    <row r="3360" spans="11:12">
      <c r="K3360" s="851"/>
      <c r="L3360" s="851"/>
    </row>
    <row r="3361" spans="11:12">
      <c r="K3361" s="851"/>
      <c r="L3361" s="851"/>
    </row>
    <row r="3362" spans="11:12">
      <c r="K3362" s="851"/>
      <c r="L3362" s="851"/>
    </row>
    <row r="3363" spans="11:12">
      <c r="K3363" s="851"/>
      <c r="L3363" s="851"/>
    </row>
    <row r="3364" spans="11:12">
      <c r="K3364" s="851"/>
      <c r="L3364" s="851"/>
    </row>
    <row r="3365" spans="11:12">
      <c r="K3365" s="851"/>
      <c r="L3365" s="851"/>
    </row>
    <row r="3366" spans="11:12">
      <c r="K3366" s="851"/>
      <c r="L3366" s="851"/>
    </row>
    <row r="3367" spans="11:12">
      <c r="K3367" s="851"/>
      <c r="L3367" s="851"/>
    </row>
    <row r="3368" spans="11:12">
      <c r="K3368" s="851"/>
      <c r="L3368" s="851"/>
    </row>
    <row r="3369" spans="11:12">
      <c r="K3369" s="851"/>
      <c r="L3369" s="851"/>
    </row>
    <row r="3370" spans="11:12">
      <c r="K3370" s="851"/>
      <c r="L3370" s="851"/>
    </row>
    <row r="3371" spans="11:12">
      <c r="K3371" s="851"/>
      <c r="L3371" s="851"/>
    </row>
    <row r="3372" spans="11:12">
      <c r="K3372" s="851"/>
      <c r="L3372" s="851"/>
    </row>
    <row r="3373" spans="11:12">
      <c r="K3373" s="851"/>
      <c r="L3373" s="851"/>
    </row>
    <row r="3374" spans="11:12">
      <c r="K3374" s="851"/>
      <c r="L3374" s="851"/>
    </row>
    <row r="3375" spans="11:12">
      <c r="K3375" s="851"/>
      <c r="L3375" s="851"/>
    </row>
    <row r="3376" spans="11:12">
      <c r="K3376" s="851"/>
      <c r="L3376" s="851"/>
    </row>
    <row r="3377" spans="11:12">
      <c r="K3377" s="851"/>
      <c r="L3377" s="851"/>
    </row>
    <row r="3378" spans="11:12">
      <c r="K3378" s="851"/>
      <c r="L3378" s="851"/>
    </row>
    <row r="3379" spans="11:12">
      <c r="K3379" s="851"/>
      <c r="L3379" s="851"/>
    </row>
    <row r="3380" spans="11:12">
      <c r="K3380" s="851"/>
      <c r="L3380" s="851"/>
    </row>
    <row r="3381" spans="11:12">
      <c r="K3381" s="851"/>
      <c r="L3381" s="851"/>
    </row>
    <row r="3382" spans="11:12">
      <c r="K3382" s="851"/>
      <c r="L3382" s="851"/>
    </row>
    <row r="3383" spans="11:12">
      <c r="K3383" s="851"/>
      <c r="L3383" s="851"/>
    </row>
    <row r="3384" spans="11:12">
      <c r="K3384" s="851"/>
      <c r="L3384" s="851"/>
    </row>
    <row r="3385" spans="11:12">
      <c r="K3385" s="851"/>
      <c r="L3385" s="851"/>
    </row>
    <row r="3386" spans="11:12">
      <c r="K3386" s="851"/>
      <c r="L3386" s="851"/>
    </row>
    <row r="3387" spans="11:12">
      <c r="K3387" s="851"/>
      <c r="L3387" s="851"/>
    </row>
    <row r="3388" spans="11:12">
      <c r="K3388" s="851"/>
      <c r="L3388" s="851"/>
    </row>
    <row r="3389" spans="11:12">
      <c r="K3389" s="851"/>
      <c r="L3389" s="851"/>
    </row>
    <row r="3390" spans="11:12">
      <c r="K3390" s="851"/>
      <c r="L3390" s="851"/>
    </row>
    <row r="3391" spans="11:12">
      <c r="K3391" s="851"/>
      <c r="L3391" s="851"/>
    </row>
    <row r="3392" spans="11:12">
      <c r="K3392" s="851"/>
      <c r="L3392" s="851"/>
    </row>
    <row r="3393" spans="11:12">
      <c r="K3393" s="851"/>
      <c r="L3393" s="851"/>
    </row>
    <row r="3394" spans="11:12">
      <c r="K3394" s="851"/>
      <c r="L3394" s="851"/>
    </row>
    <row r="3395" spans="11:12">
      <c r="K3395" s="851"/>
      <c r="L3395" s="851"/>
    </row>
    <row r="3396" spans="11:12">
      <c r="K3396" s="851"/>
      <c r="L3396" s="851"/>
    </row>
    <row r="3397" spans="11:12">
      <c r="K3397" s="851"/>
      <c r="L3397" s="851"/>
    </row>
    <row r="3398" spans="11:12">
      <c r="K3398" s="851"/>
      <c r="L3398" s="851"/>
    </row>
    <row r="3399" spans="11:12">
      <c r="K3399" s="851"/>
      <c r="L3399" s="851"/>
    </row>
    <row r="3400" spans="11:12">
      <c r="K3400" s="851"/>
      <c r="L3400" s="851"/>
    </row>
    <row r="3401" spans="11:12">
      <c r="K3401" s="851"/>
      <c r="L3401" s="851"/>
    </row>
    <row r="3402" spans="11:12">
      <c r="K3402" s="851"/>
      <c r="L3402" s="851"/>
    </row>
    <row r="3403" spans="11:12">
      <c r="K3403" s="851"/>
      <c r="L3403" s="851"/>
    </row>
    <row r="3404" spans="11:12">
      <c r="K3404" s="851"/>
      <c r="L3404" s="851"/>
    </row>
    <row r="3405" spans="11:12">
      <c r="K3405" s="851"/>
      <c r="L3405" s="851"/>
    </row>
    <row r="3406" spans="11:12">
      <c r="K3406" s="851"/>
      <c r="L3406" s="851"/>
    </row>
    <row r="3407" spans="11:12">
      <c r="K3407" s="851"/>
      <c r="L3407" s="851"/>
    </row>
    <row r="3408" spans="11:12">
      <c r="K3408" s="851"/>
      <c r="L3408" s="851"/>
    </row>
    <row r="3409" spans="11:12">
      <c r="K3409" s="851"/>
      <c r="L3409" s="851"/>
    </row>
    <row r="3410" spans="11:12">
      <c r="K3410" s="851"/>
      <c r="L3410" s="851"/>
    </row>
    <row r="3411" spans="11:12">
      <c r="K3411" s="851"/>
      <c r="L3411" s="851"/>
    </row>
    <row r="3412" spans="11:12">
      <c r="K3412" s="851"/>
      <c r="L3412" s="851"/>
    </row>
    <row r="3413" spans="11:12">
      <c r="K3413" s="851"/>
      <c r="L3413" s="851"/>
    </row>
    <row r="3414" spans="11:12">
      <c r="K3414" s="851"/>
      <c r="L3414" s="851"/>
    </row>
    <row r="3415" spans="11:12">
      <c r="K3415" s="851"/>
      <c r="L3415" s="851"/>
    </row>
    <row r="3416" spans="11:12">
      <c r="K3416" s="851"/>
      <c r="L3416" s="851"/>
    </row>
    <row r="3417" spans="11:12">
      <c r="K3417" s="851"/>
      <c r="L3417" s="851"/>
    </row>
    <row r="3418" spans="11:12">
      <c r="K3418" s="851"/>
      <c r="L3418" s="851"/>
    </row>
    <row r="3419" spans="11:12">
      <c r="K3419" s="851"/>
      <c r="L3419" s="851"/>
    </row>
    <row r="3420" spans="11:12">
      <c r="K3420" s="851"/>
      <c r="L3420" s="851"/>
    </row>
    <row r="3421" spans="11:12">
      <c r="K3421" s="851"/>
      <c r="L3421" s="851"/>
    </row>
    <row r="3422" spans="11:12">
      <c r="K3422" s="851"/>
      <c r="L3422" s="851"/>
    </row>
    <row r="3423" spans="11:12">
      <c r="K3423" s="851"/>
      <c r="L3423" s="851"/>
    </row>
    <row r="3424" spans="11:12">
      <c r="K3424" s="851"/>
      <c r="L3424" s="851"/>
    </row>
    <row r="3425" spans="11:12">
      <c r="K3425" s="851"/>
      <c r="L3425" s="851"/>
    </row>
    <row r="3426" spans="11:12">
      <c r="K3426" s="851"/>
      <c r="L3426" s="851"/>
    </row>
    <row r="3427" spans="11:12">
      <c r="K3427" s="851"/>
      <c r="L3427" s="851"/>
    </row>
    <row r="3428" spans="11:12">
      <c r="K3428" s="851"/>
      <c r="L3428" s="851"/>
    </row>
    <row r="3429" spans="11:12">
      <c r="K3429" s="851"/>
      <c r="L3429" s="851"/>
    </row>
    <row r="3430" spans="11:12">
      <c r="K3430" s="851"/>
      <c r="L3430" s="851"/>
    </row>
    <row r="3431" spans="11:12">
      <c r="K3431" s="851"/>
      <c r="L3431" s="851"/>
    </row>
    <row r="3432" spans="11:12">
      <c r="K3432" s="851"/>
      <c r="L3432" s="851"/>
    </row>
    <row r="3433" spans="11:12">
      <c r="K3433" s="851"/>
      <c r="L3433" s="851"/>
    </row>
    <row r="3434" spans="11:12">
      <c r="K3434" s="851"/>
      <c r="L3434" s="851"/>
    </row>
    <row r="3435" spans="11:12">
      <c r="K3435" s="851"/>
      <c r="L3435" s="851"/>
    </row>
    <row r="3436" spans="11:12">
      <c r="K3436" s="851"/>
      <c r="L3436" s="851"/>
    </row>
    <row r="3437" spans="11:12">
      <c r="K3437" s="851"/>
      <c r="L3437" s="851"/>
    </row>
    <row r="3438" spans="11:12">
      <c r="K3438" s="851"/>
      <c r="L3438" s="851"/>
    </row>
    <row r="3439" spans="11:12">
      <c r="K3439" s="851"/>
      <c r="L3439" s="851"/>
    </row>
    <row r="3440" spans="11:12">
      <c r="K3440" s="851"/>
      <c r="L3440" s="851"/>
    </row>
    <row r="3441" spans="11:12">
      <c r="K3441" s="851"/>
      <c r="L3441" s="851"/>
    </row>
    <row r="3442" spans="11:12">
      <c r="K3442" s="851"/>
      <c r="L3442" s="851"/>
    </row>
    <row r="3443" spans="11:12">
      <c r="K3443" s="851"/>
      <c r="L3443" s="851"/>
    </row>
    <row r="3444" spans="11:12">
      <c r="K3444" s="851"/>
      <c r="L3444" s="851"/>
    </row>
    <row r="3445" spans="11:12">
      <c r="K3445" s="851"/>
      <c r="L3445" s="851"/>
    </row>
    <row r="3446" spans="11:12">
      <c r="K3446" s="851"/>
      <c r="L3446" s="851"/>
    </row>
    <row r="3447" spans="11:12">
      <c r="K3447" s="851"/>
      <c r="L3447" s="851"/>
    </row>
    <row r="3448" spans="11:12">
      <c r="K3448" s="851"/>
      <c r="L3448" s="851"/>
    </row>
    <row r="3449" spans="11:12">
      <c r="K3449" s="851"/>
      <c r="L3449" s="851"/>
    </row>
    <row r="3450" spans="11:12">
      <c r="K3450" s="851"/>
      <c r="L3450" s="851"/>
    </row>
    <row r="3451" spans="11:12">
      <c r="K3451" s="851"/>
      <c r="L3451" s="851"/>
    </row>
    <row r="3452" spans="11:12">
      <c r="K3452" s="851"/>
      <c r="L3452" s="851"/>
    </row>
    <row r="3453" spans="11:12">
      <c r="K3453" s="851"/>
      <c r="L3453" s="851"/>
    </row>
    <row r="3454" spans="11:12">
      <c r="K3454" s="851"/>
      <c r="L3454" s="851"/>
    </row>
    <row r="3455" spans="11:12">
      <c r="K3455" s="851"/>
      <c r="L3455" s="851"/>
    </row>
    <row r="3456" spans="11:12">
      <c r="K3456" s="851"/>
      <c r="L3456" s="851"/>
    </row>
    <row r="3457" spans="11:12">
      <c r="K3457" s="851"/>
      <c r="L3457" s="851"/>
    </row>
    <row r="3458" spans="11:12">
      <c r="K3458" s="851"/>
      <c r="L3458" s="851"/>
    </row>
    <row r="3459" spans="11:12">
      <c r="K3459" s="851"/>
      <c r="L3459" s="851"/>
    </row>
    <row r="3460" spans="11:12">
      <c r="K3460" s="851"/>
      <c r="L3460" s="851"/>
    </row>
    <row r="3461" spans="11:12">
      <c r="K3461" s="851"/>
      <c r="L3461" s="851"/>
    </row>
    <row r="3462" spans="11:12">
      <c r="K3462" s="851"/>
      <c r="L3462" s="851"/>
    </row>
    <row r="3463" spans="11:12">
      <c r="K3463" s="851"/>
      <c r="L3463" s="851"/>
    </row>
    <row r="3464" spans="11:12">
      <c r="K3464" s="851"/>
      <c r="L3464" s="851"/>
    </row>
    <row r="3465" spans="11:12">
      <c r="K3465" s="851"/>
      <c r="L3465" s="851"/>
    </row>
    <row r="3466" spans="11:12">
      <c r="K3466" s="851"/>
      <c r="L3466" s="851"/>
    </row>
    <row r="3467" spans="11:12">
      <c r="K3467" s="851"/>
      <c r="L3467" s="851"/>
    </row>
    <row r="3468" spans="11:12">
      <c r="K3468" s="851"/>
      <c r="L3468" s="851"/>
    </row>
    <row r="3469" spans="11:12">
      <c r="K3469" s="851"/>
      <c r="L3469" s="851"/>
    </row>
    <row r="3470" spans="11:12">
      <c r="K3470" s="851"/>
      <c r="L3470" s="851"/>
    </row>
    <row r="3471" spans="11:12">
      <c r="K3471" s="851"/>
      <c r="L3471" s="851"/>
    </row>
    <row r="3472" spans="11:12">
      <c r="K3472" s="851"/>
      <c r="L3472" s="851"/>
    </row>
    <row r="3473" spans="11:12">
      <c r="K3473" s="851"/>
      <c r="L3473" s="851"/>
    </row>
    <row r="3474" spans="11:12">
      <c r="K3474" s="851"/>
      <c r="L3474" s="851"/>
    </row>
    <row r="3475" spans="11:12">
      <c r="K3475" s="851"/>
      <c r="L3475" s="851"/>
    </row>
    <row r="3476" spans="11:12">
      <c r="K3476" s="851"/>
      <c r="L3476" s="851"/>
    </row>
    <row r="3477" spans="11:12">
      <c r="K3477" s="851"/>
      <c r="L3477" s="851"/>
    </row>
    <row r="3478" spans="11:12">
      <c r="K3478" s="851"/>
      <c r="L3478" s="851"/>
    </row>
    <row r="3479" spans="11:12">
      <c r="K3479" s="851"/>
      <c r="L3479" s="851"/>
    </row>
    <row r="3480" spans="11:12">
      <c r="K3480" s="851"/>
      <c r="L3480" s="851"/>
    </row>
    <row r="3481" spans="11:12">
      <c r="K3481" s="851"/>
      <c r="L3481" s="851"/>
    </row>
    <row r="3482" spans="11:12">
      <c r="K3482" s="851"/>
      <c r="L3482" s="851"/>
    </row>
    <row r="3483" spans="11:12">
      <c r="K3483" s="851"/>
      <c r="L3483" s="851"/>
    </row>
    <row r="3484" spans="11:12">
      <c r="K3484" s="851"/>
      <c r="L3484" s="851"/>
    </row>
    <row r="3485" spans="11:12">
      <c r="K3485" s="851"/>
      <c r="L3485" s="851"/>
    </row>
    <row r="3486" spans="11:12">
      <c r="K3486" s="851"/>
      <c r="L3486" s="851"/>
    </row>
    <row r="3487" spans="11:12">
      <c r="K3487" s="851"/>
      <c r="L3487" s="851"/>
    </row>
    <row r="3488" spans="11:12">
      <c r="K3488" s="851"/>
      <c r="L3488" s="851"/>
    </row>
    <row r="3489" spans="11:12">
      <c r="K3489" s="851"/>
      <c r="L3489" s="851"/>
    </row>
    <row r="3490" spans="11:12">
      <c r="K3490" s="851"/>
      <c r="L3490" s="851"/>
    </row>
    <row r="3491" spans="11:12">
      <c r="K3491" s="851"/>
      <c r="L3491" s="851"/>
    </row>
    <row r="3492" spans="11:12">
      <c r="K3492" s="851"/>
      <c r="L3492" s="851"/>
    </row>
    <row r="3493" spans="11:12">
      <c r="K3493" s="851"/>
      <c r="L3493" s="851"/>
    </row>
    <row r="3494" spans="11:12">
      <c r="K3494" s="851"/>
      <c r="L3494" s="851"/>
    </row>
    <row r="3495" spans="11:12">
      <c r="K3495" s="851"/>
      <c r="L3495" s="851"/>
    </row>
    <row r="3496" spans="11:12">
      <c r="K3496" s="851"/>
      <c r="L3496" s="851"/>
    </row>
    <row r="3497" spans="11:12">
      <c r="K3497" s="851"/>
      <c r="L3497" s="851"/>
    </row>
    <row r="3498" spans="11:12">
      <c r="K3498" s="851"/>
      <c r="L3498" s="851"/>
    </row>
    <row r="3499" spans="11:12">
      <c r="K3499" s="851"/>
      <c r="L3499" s="851"/>
    </row>
    <row r="3500" spans="11:12">
      <c r="K3500" s="851"/>
      <c r="L3500" s="851"/>
    </row>
    <row r="3501" spans="11:12">
      <c r="K3501" s="851"/>
      <c r="L3501" s="851"/>
    </row>
    <row r="3502" spans="11:12">
      <c r="K3502" s="851"/>
      <c r="L3502" s="851"/>
    </row>
    <row r="3503" spans="11:12">
      <c r="K3503" s="851"/>
      <c r="L3503" s="851"/>
    </row>
    <row r="3504" spans="11:12">
      <c r="K3504" s="851"/>
      <c r="L3504" s="851"/>
    </row>
    <row r="3505" spans="11:12">
      <c r="K3505" s="851"/>
      <c r="L3505" s="851"/>
    </row>
    <row r="3506" spans="11:12">
      <c r="K3506" s="851"/>
      <c r="L3506" s="851"/>
    </row>
    <row r="3507" spans="11:12">
      <c r="K3507" s="851"/>
      <c r="L3507" s="851"/>
    </row>
    <row r="3508" spans="11:12">
      <c r="K3508" s="851"/>
      <c r="L3508" s="851"/>
    </row>
    <row r="3509" spans="11:12">
      <c r="K3509" s="851"/>
      <c r="L3509" s="851"/>
    </row>
    <row r="3510" spans="11:12">
      <c r="K3510" s="851"/>
      <c r="L3510" s="851"/>
    </row>
    <row r="3511" spans="11:12">
      <c r="K3511" s="851"/>
      <c r="L3511" s="851"/>
    </row>
    <row r="3512" spans="11:12">
      <c r="K3512" s="851"/>
      <c r="L3512" s="851"/>
    </row>
    <row r="3513" spans="11:12">
      <c r="K3513" s="851"/>
      <c r="L3513" s="851"/>
    </row>
    <row r="3514" spans="11:12">
      <c r="K3514" s="851"/>
      <c r="L3514" s="851"/>
    </row>
    <row r="3515" spans="11:12">
      <c r="K3515" s="851"/>
      <c r="L3515" s="851"/>
    </row>
    <row r="3516" spans="11:12">
      <c r="K3516" s="851"/>
      <c r="L3516" s="851"/>
    </row>
    <row r="3517" spans="11:12">
      <c r="K3517" s="851"/>
      <c r="L3517" s="851"/>
    </row>
    <row r="3518" spans="11:12">
      <c r="K3518" s="851"/>
      <c r="L3518" s="851"/>
    </row>
    <row r="3519" spans="11:12">
      <c r="K3519" s="851"/>
      <c r="L3519" s="851"/>
    </row>
    <row r="3520" spans="11:12">
      <c r="K3520" s="851"/>
      <c r="L3520" s="851"/>
    </row>
    <row r="3521" spans="11:12">
      <c r="K3521" s="851"/>
      <c r="L3521" s="851"/>
    </row>
    <row r="3522" spans="11:12">
      <c r="K3522" s="851"/>
      <c r="L3522" s="851"/>
    </row>
    <row r="3523" spans="11:12">
      <c r="K3523" s="851"/>
      <c r="L3523" s="851"/>
    </row>
    <row r="3524" spans="11:12">
      <c r="K3524" s="851"/>
      <c r="L3524" s="851"/>
    </row>
    <row r="3525" spans="11:12">
      <c r="K3525" s="851"/>
      <c r="L3525" s="851"/>
    </row>
    <row r="3526" spans="11:12">
      <c r="K3526" s="851"/>
      <c r="L3526" s="851"/>
    </row>
    <row r="3527" spans="11:12">
      <c r="K3527" s="851"/>
      <c r="L3527" s="851"/>
    </row>
    <row r="3528" spans="11:12">
      <c r="K3528" s="851"/>
      <c r="L3528" s="851"/>
    </row>
    <row r="3529" spans="11:12">
      <c r="K3529" s="851"/>
      <c r="L3529" s="851"/>
    </row>
    <row r="3530" spans="11:12">
      <c r="K3530" s="851"/>
      <c r="L3530" s="851"/>
    </row>
    <row r="3531" spans="11:12">
      <c r="K3531" s="851"/>
      <c r="L3531" s="851"/>
    </row>
    <row r="3532" spans="11:12">
      <c r="K3532" s="851"/>
      <c r="L3532" s="851"/>
    </row>
    <row r="3533" spans="11:12">
      <c r="K3533" s="851"/>
      <c r="L3533" s="851"/>
    </row>
    <row r="3534" spans="11:12">
      <c r="K3534" s="851"/>
      <c r="L3534" s="851"/>
    </row>
    <row r="3535" spans="11:12">
      <c r="K3535" s="851"/>
      <c r="L3535" s="851"/>
    </row>
    <row r="3536" spans="11:12">
      <c r="K3536" s="851"/>
      <c r="L3536" s="851"/>
    </row>
    <row r="3537" spans="11:12">
      <c r="K3537" s="851"/>
      <c r="L3537" s="851"/>
    </row>
    <row r="3538" spans="11:12">
      <c r="K3538" s="851"/>
      <c r="L3538" s="851"/>
    </row>
    <row r="3539" spans="11:12">
      <c r="K3539" s="851"/>
      <c r="L3539" s="851"/>
    </row>
    <row r="3540" spans="11:12">
      <c r="K3540" s="851"/>
      <c r="L3540" s="851"/>
    </row>
    <row r="3541" spans="11:12">
      <c r="K3541" s="851"/>
      <c r="L3541" s="851"/>
    </row>
    <row r="3542" spans="11:12">
      <c r="K3542" s="851"/>
      <c r="L3542" s="851"/>
    </row>
    <row r="3543" spans="11:12">
      <c r="K3543" s="851"/>
      <c r="L3543" s="851"/>
    </row>
    <row r="3544" spans="11:12">
      <c r="K3544" s="851"/>
      <c r="L3544" s="851"/>
    </row>
    <row r="3545" spans="11:12">
      <c r="K3545" s="851"/>
      <c r="L3545" s="851"/>
    </row>
    <row r="3546" spans="11:12">
      <c r="K3546" s="851"/>
      <c r="L3546" s="851"/>
    </row>
    <row r="3547" spans="11:12">
      <c r="K3547" s="851"/>
      <c r="L3547" s="851"/>
    </row>
    <row r="3548" spans="11:12">
      <c r="K3548" s="851"/>
      <c r="L3548" s="851"/>
    </row>
    <row r="3549" spans="11:12">
      <c r="K3549" s="851"/>
      <c r="L3549" s="851"/>
    </row>
    <row r="3550" spans="11:12">
      <c r="K3550" s="851"/>
      <c r="L3550" s="851"/>
    </row>
    <row r="3551" spans="11:12">
      <c r="K3551" s="851"/>
      <c r="L3551" s="851"/>
    </row>
    <row r="3552" spans="11:12">
      <c r="K3552" s="851"/>
      <c r="L3552" s="851"/>
    </row>
    <row r="3553" spans="11:12">
      <c r="K3553" s="851"/>
      <c r="L3553" s="851"/>
    </row>
    <row r="3554" spans="11:12">
      <c r="K3554" s="851"/>
      <c r="L3554" s="851"/>
    </row>
    <row r="3555" spans="11:12">
      <c r="K3555" s="851"/>
      <c r="L3555" s="851"/>
    </row>
    <row r="3556" spans="11:12">
      <c r="K3556" s="851"/>
      <c r="L3556" s="851"/>
    </row>
    <row r="3557" spans="11:12">
      <c r="K3557" s="851"/>
      <c r="L3557" s="851"/>
    </row>
    <row r="3558" spans="11:12">
      <c r="K3558" s="851"/>
      <c r="L3558" s="851"/>
    </row>
    <row r="3559" spans="11:12">
      <c r="K3559" s="851"/>
      <c r="L3559" s="851"/>
    </row>
    <row r="3560" spans="11:12">
      <c r="K3560" s="851"/>
      <c r="L3560" s="851"/>
    </row>
    <row r="3561" spans="11:12">
      <c r="K3561" s="851"/>
      <c r="L3561" s="851"/>
    </row>
    <row r="3562" spans="11:12">
      <c r="K3562" s="851"/>
      <c r="L3562" s="851"/>
    </row>
    <row r="3563" spans="11:12">
      <c r="K3563" s="851"/>
      <c r="L3563" s="851"/>
    </row>
    <row r="3564" spans="11:12">
      <c r="K3564" s="851"/>
      <c r="L3564" s="851"/>
    </row>
    <row r="3565" spans="11:12">
      <c r="K3565" s="851"/>
      <c r="L3565" s="851"/>
    </row>
    <row r="3566" spans="11:12">
      <c r="K3566" s="851"/>
      <c r="L3566" s="851"/>
    </row>
    <row r="3567" spans="11:12">
      <c r="K3567" s="851"/>
      <c r="L3567" s="851"/>
    </row>
    <row r="3568" spans="11:12">
      <c r="K3568" s="851"/>
      <c r="L3568" s="851"/>
    </row>
    <row r="3569" spans="11:12">
      <c r="K3569" s="851"/>
      <c r="L3569" s="851"/>
    </row>
    <row r="3570" spans="11:12">
      <c r="K3570" s="851"/>
      <c r="L3570" s="851"/>
    </row>
    <row r="3571" spans="11:12">
      <c r="K3571" s="851"/>
      <c r="L3571" s="851"/>
    </row>
    <row r="3572" spans="11:12">
      <c r="K3572" s="851"/>
      <c r="L3572" s="851"/>
    </row>
    <row r="3573" spans="11:12">
      <c r="K3573" s="851"/>
      <c r="L3573" s="851"/>
    </row>
    <row r="3574" spans="11:12">
      <c r="K3574" s="851"/>
      <c r="L3574" s="851"/>
    </row>
    <row r="3575" spans="11:12">
      <c r="K3575" s="851"/>
      <c r="L3575" s="851"/>
    </row>
    <row r="3576" spans="11:12">
      <c r="K3576" s="851"/>
      <c r="L3576" s="851"/>
    </row>
    <row r="3577" spans="11:12">
      <c r="K3577" s="851"/>
      <c r="L3577" s="851"/>
    </row>
    <row r="3578" spans="11:12">
      <c r="K3578" s="851"/>
      <c r="L3578" s="851"/>
    </row>
    <row r="3579" spans="11:12">
      <c r="K3579" s="851"/>
      <c r="L3579" s="851"/>
    </row>
    <row r="3580" spans="11:12">
      <c r="K3580" s="851"/>
      <c r="L3580" s="851"/>
    </row>
    <row r="3581" spans="11:12">
      <c r="K3581" s="851"/>
      <c r="L3581" s="851"/>
    </row>
    <row r="3582" spans="11:12">
      <c r="K3582" s="851"/>
      <c r="L3582" s="851"/>
    </row>
    <row r="3583" spans="11:12">
      <c r="K3583" s="851"/>
      <c r="L3583" s="851"/>
    </row>
    <row r="3584" spans="11:12">
      <c r="K3584" s="851"/>
      <c r="L3584" s="851"/>
    </row>
    <row r="3585" spans="11:12">
      <c r="K3585" s="851"/>
      <c r="L3585" s="851"/>
    </row>
    <row r="3586" spans="11:12">
      <c r="K3586" s="851"/>
      <c r="L3586" s="851"/>
    </row>
    <row r="3587" spans="11:12">
      <c r="K3587" s="851"/>
      <c r="L3587" s="851"/>
    </row>
    <row r="3588" spans="11:12">
      <c r="K3588" s="851"/>
      <c r="L3588" s="851"/>
    </row>
    <row r="3589" spans="11:12">
      <c r="K3589" s="851"/>
      <c r="L3589" s="851"/>
    </row>
    <row r="3590" spans="11:12">
      <c r="K3590" s="851"/>
      <c r="L3590" s="851"/>
    </row>
    <row r="3591" spans="11:12">
      <c r="K3591" s="851"/>
      <c r="L3591" s="851"/>
    </row>
    <row r="3592" spans="11:12">
      <c r="K3592" s="851"/>
      <c r="L3592" s="851"/>
    </row>
    <row r="3593" spans="11:12">
      <c r="K3593" s="851"/>
      <c r="L3593" s="851"/>
    </row>
    <row r="3594" spans="11:12">
      <c r="K3594" s="851"/>
      <c r="L3594" s="851"/>
    </row>
    <row r="3595" spans="11:12">
      <c r="K3595" s="851"/>
      <c r="L3595" s="851"/>
    </row>
    <row r="3596" spans="11:12">
      <c r="K3596" s="851"/>
      <c r="L3596" s="851"/>
    </row>
    <row r="3597" spans="11:12">
      <c r="K3597" s="851"/>
      <c r="L3597" s="851"/>
    </row>
    <row r="3598" spans="11:12">
      <c r="K3598" s="851"/>
      <c r="L3598" s="851"/>
    </row>
    <row r="3599" spans="11:12">
      <c r="K3599" s="851"/>
      <c r="L3599" s="851"/>
    </row>
    <row r="3600" spans="11:12">
      <c r="K3600" s="851"/>
      <c r="L3600" s="851"/>
    </row>
    <row r="3601" spans="11:12">
      <c r="K3601" s="851"/>
      <c r="L3601" s="851"/>
    </row>
    <row r="3602" spans="11:12">
      <c r="K3602" s="851"/>
      <c r="L3602" s="851"/>
    </row>
    <row r="3603" spans="11:12">
      <c r="K3603" s="851"/>
      <c r="L3603" s="851"/>
    </row>
    <row r="3604" spans="11:12">
      <c r="K3604" s="851"/>
      <c r="L3604" s="851"/>
    </row>
    <row r="3605" spans="11:12">
      <c r="K3605" s="851"/>
      <c r="L3605" s="851"/>
    </row>
    <row r="3606" spans="11:12">
      <c r="K3606" s="851"/>
      <c r="L3606" s="851"/>
    </row>
    <row r="3607" spans="11:12">
      <c r="K3607" s="851"/>
      <c r="L3607" s="851"/>
    </row>
    <row r="3608" spans="11:12">
      <c r="K3608" s="851"/>
      <c r="L3608" s="851"/>
    </row>
    <row r="3609" spans="11:12">
      <c r="K3609" s="851"/>
      <c r="L3609" s="851"/>
    </row>
    <row r="3610" spans="11:12">
      <c r="K3610" s="851"/>
      <c r="L3610" s="851"/>
    </row>
    <row r="3611" spans="11:12">
      <c r="K3611" s="851"/>
      <c r="L3611" s="851"/>
    </row>
    <row r="3612" spans="11:12">
      <c r="K3612" s="851"/>
      <c r="L3612" s="851"/>
    </row>
    <row r="3613" spans="11:12">
      <c r="K3613" s="851"/>
      <c r="L3613" s="851"/>
    </row>
    <row r="3614" spans="11:12">
      <c r="K3614" s="851"/>
      <c r="L3614" s="851"/>
    </row>
    <row r="3615" spans="11:12">
      <c r="K3615" s="851"/>
      <c r="L3615" s="851"/>
    </row>
    <row r="3616" spans="11:12">
      <c r="K3616" s="851"/>
      <c r="L3616" s="851"/>
    </row>
    <row r="3617" spans="11:12">
      <c r="K3617" s="851"/>
      <c r="L3617" s="851"/>
    </row>
    <row r="3618" spans="11:12">
      <c r="K3618" s="851"/>
      <c r="L3618" s="851"/>
    </row>
    <row r="3619" spans="11:12">
      <c r="K3619" s="851"/>
      <c r="L3619" s="851"/>
    </row>
    <row r="3620" spans="11:12">
      <c r="K3620" s="851"/>
      <c r="L3620" s="851"/>
    </row>
    <row r="3621" spans="11:12">
      <c r="K3621" s="851"/>
      <c r="L3621" s="851"/>
    </row>
    <row r="3622" spans="11:12">
      <c r="K3622" s="851"/>
      <c r="L3622" s="851"/>
    </row>
    <row r="3623" spans="11:12">
      <c r="K3623" s="851"/>
      <c r="L3623" s="851"/>
    </row>
    <row r="3624" spans="11:12">
      <c r="K3624" s="851"/>
      <c r="L3624" s="851"/>
    </row>
    <row r="3625" spans="11:12">
      <c r="K3625" s="851"/>
      <c r="L3625" s="851"/>
    </row>
    <row r="3626" spans="11:12">
      <c r="K3626" s="851"/>
      <c r="L3626" s="851"/>
    </row>
    <row r="3627" spans="11:12">
      <c r="K3627" s="851"/>
      <c r="L3627" s="851"/>
    </row>
    <row r="3628" spans="11:12">
      <c r="K3628" s="851"/>
      <c r="L3628" s="851"/>
    </row>
    <row r="3629" spans="11:12">
      <c r="K3629" s="851"/>
      <c r="L3629" s="851"/>
    </row>
    <row r="3630" spans="11:12">
      <c r="K3630" s="851"/>
      <c r="L3630" s="851"/>
    </row>
    <row r="3631" spans="11:12">
      <c r="K3631" s="851"/>
      <c r="L3631" s="851"/>
    </row>
    <row r="3632" spans="11:12">
      <c r="K3632" s="851"/>
      <c r="L3632" s="851"/>
    </row>
    <row r="3633" spans="11:12">
      <c r="K3633" s="851"/>
      <c r="L3633" s="851"/>
    </row>
    <row r="3634" spans="11:12">
      <c r="K3634" s="851"/>
      <c r="L3634" s="851"/>
    </row>
    <row r="3635" spans="11:12">
      <c r="K3635" s="851"/>
      <c r="L3635" s="851"/>
    </row>
    <row r="3636" spans="11:12">
      <c r="K3636" s="851"/>
      <c r="L3636" s="851"/>
    </row>
    <row r="3637" spans="11:12">
      <c r="K3637" s="851"/>
      <c r="L3637" s="851"/>
    </row>
    <row r="3638" spans="11:12">
      <c r="K3638" s="851"/>
      <c r="L3638" s="851"/>
    </row>
    <row r="3639" spans="11:12">
      <c r="K3639" s="851"/>
      <c r="L3639" s="851"/>
    </row>
    <row r="3640" spans="11:12">
      <c r="K3640" s="851"/>
      <c r="L3640" s="851"/>
    </row>
    <row r="3641" spans="11:12">
      <c r="K3641" s="851"/>
      <c r="L3641" s="851"/>
    </row>
    <row r="3642" spans="11:12">
      <c r="K3642" s="851"/>
      <c r="L3642" s="851"/>
    </row>
    <row r="3643" spans="11:12">
      <c r="K3643" s="851"/>
      <c r="L3643" s="851"/>
    </row>
    <row r="3644" spans="11:12">
      <c r="K3644" s="851"/>
      <c r="L3644" s="851"/>
    </row>
    <row r="3645" spans="11:12">
      <c r="K3645" s="851"/>
      <c r="L3645" s="851"/>
    </row>
    <row r="3646" spans="11:12">
      <c r="K3646" s="851"/>
      <c r="L3646" s="851"/>
    </row>
    <row r="3647" spans="11:12">
      <c r="K3647" s="851"/>
      <c r="L3647" s="851"/>
    </row>
    <row r="3648" spans="11:12">
      <c r="K3648" s="851"/>
      <c r="L3648" s="851"/>
    </row>
    <row r="3649" spans="11:12">
      <c r="K3649" s="851"/>
      <c r="L3649" s="851"/>
    </row>
    <row r="3650" spans="11:12">
      <c r="K3650" s="851"/>
      <c r="L3650" s="851"/>
    </row>
    <row r="3651" spans="11:12">
      <c r="K3651" s="851"/>
      <c r="L3651" s="851"/>
    </row>
    <row r="3652" spans="11:12">
      <c r="K3652" s="851"/>
      <c r="L3652" s="851"/>
    </row>
    <row r="3653" spans="11:12">
      <c r="K3653" s="851"/>
      <c r="L3653" s="851"/>
    </row>
    <row r="3654" spans="11:12">
      <c r="K3654" s="851"/>
      <c r="L3654" s="851"/>
    </row>
    <row r="3655" spans="11:12">
      <c r="K3655" s="851"/>
      <c r="L3655" s="851"/>
    </row>
    <row r="3656" spans="11:12">
      <c r="K3656" s="851"/>
      <c r="L3656" s="851"/>
    </row>
    <row r="3657" spans="11:12">
      <c r="K3657" s="851"/>
      <c r="L3657" s="851"/>
    </row>
    <row r="3658" spans="11:12">
      <c r="K3658" s="851"/>
      <c r="L3658" s="851"/>
    </row>
    <row r="3659" spans="11:12">
      <c r="K3659" s="851"/>
      <c r="L3659" s="851"/>
    </row>
    <row r="3660" spans="11:12">
      <c r="K3660" s="851"/>
      <c r="L3660" s="851"/>
    </row>
    <row r="3661" spans="11:12">
      <c r="K3661" s="851"/>
      <c r="L3661" s="851"/>
    </row>
    <row r="3662" spans="11:12">
      <c r="K3662" s="851"/>
      <c r="L3662" s="851"/>
    </row>
    <row r="3663" spans="11:12">
      <c r="K3663" s="851"/>
      <c r="L3663" s="851"/>
    </row>
    <row r="3664" spans="11:12">
      <c r="K3664" s="851"/>
      <c r="L3664" s="851"/>
    </row>
    <row r="3665" spans="11:12">
      <c r="K3665" s="851"/>
      <c r="L3665" s="851"/>
    </row>
    <row r="3666" spans="11:12">
      <c r="K3666" s="851"/>
      <c r="L3666" s="851"/>
    </row>
    <row r="3667" spans="11:12">
      <c r="K3667" s="851"/>
      <c r="L3667" s="851"/>
    </row>
    <row r="3668" spans="11:12">
      <c r="K3668" s="851"/>
      <c r="L3668" s="851"/>
    </row>
    <row r="3669" spans="11:12">
      <c r="K3669" s="851"/>
      <c r="L3669" s="851"/>
    </row>
    <row r="3670" spans="11:12">
      <c r="K3670" s="851"/>
      <c r="L3670" s="851"/>
    </row>
    <row r="3671" spans="11:12">
      <c r="K3671" s="851"/>
      <c r="L3671" s="851"/>
    </row>
    <row r="3672" spans="11:12">
      <c r="K3672" s="851"/>
      <c r="L3672" s="851"/>
    </row>
    <row r="3673" spans="11:12">
      <c r="K3673" s="851"/>
      <c r="L3673" s="851"/>
    </row>
    <row r="3674" spans="11:12">
      <c r="K3674" s="851"/>
      <c r="L3674" s="851"/>
    </row>
    <row r="3675" spans="11:12">
      <c r="K3675" s="851"/>
      <c r="L3675" s="851"/>
    </row>
    <row r="3676" spans="11:12">
      <c r="K3676" s="851"/>
      <c r="L3676" s="851"/>
    </row>
    <row r="3677" spans="11:12">
      <c r="K3677" s="851"/>
      <c r="L3677" s="851"/>
    </row>
    <row r="3678" spans="11:12">
      <c r="K3678" s="851"/>
      <c r="L3678" s="851"/>
    </row>
    <row r="3679" spans="11:12">
      <c r="K3679" s="851"/>
      <c r="L3679" s="851"/>
    </row>
    <row r="3680" spans="11:12">
      <c r="K3680" s="851"/>
      <c r="L3680" s="851"/>
    </row>
    <row r="3681" spans="11:12">
      <c r="K3681" s="851"/>
      <c r="L3681" s="851"/>
    </row>
    <row r="3682" spans="11:12">
      <c r="K3682" s="851"/>
      <c r="L3682" s="851"/>
    </row>
    <row r="3683" spans="11:12">
      <c r="K3683" s="851"/>
      <c r="L3683" s="851"/>
    </row>
    <row r="3684" spans="11:12">
      <c r="K3684" s="851"/>
      <c r="L3684" s="851"/>
    </row>
    <row r="3685" spans="11:12">
      <c r="K3685" s="851"/>
      <c r="L3685" s="851"/>
    </row>
    <row r="3686" spans="11:12">
      <c r="K3686" s="851"/>
      <c r="L3686" s="851"/>
    </row>
    <row r="3687" spans="11:12">
      <c r="K3687" s="851"/>
      <c r="L3687" s="851"/>
    </row>
    <row r="3688" spans="11:12">
      <c r="K3688" s="851"/>
      <c r="L3688" s="851"/>
    </row>
    <row r="3689" spans="11:12">
      <c r="K3689" s="851"/>
      <c r="L3689" s="851"/>
    </row>
    <row r="3690" spans="11:12">
      <c r="K3690" s="851"/>
      <c r="L3690" s="851"/>
    </row>
    <row r="3691" spans="11:12">
      <c r="K3691" s="851"/>
      <c r="L3691" s="851"/>
    </row>
    <row r="3692" spans="11:12">
      <c r="K3692" s="851"/>
      <c r="L3692" s="851"/>
    </row>
    <row r="3693" spans="11:12">
      <c r="K3693" s="851"/>
      <c r="L3693" s="851"/>
    </row>
    <row r="3694" spans="11:12">
      <c r="K3694" s="851"/>
      <c r="L3694" s="851"/>
    </row>
    <row r="3695" spans="11:12">
      <c r="K3695" s="851"/>
      <c r="L3695" s="851"/>
    </row>
    <row r="3696" spans="11:12">
      <c r="K3696" s="851"/>
      <c r="L3696" s="851"/>
    </row>
    <row r="3697" spans="11:12">
      <c r="K3697" s="851"/>
      <c r="L3697" s="851"/>
    </row>
    <row r="3698" spans="11:12">
      <c r="K3698" s="851"/>
      <c r="L3698" s="851"/>
    </row>
    <row r="3699" spans="11:12">
      <c r="K3699" s="851"/>
      <c r="L3699" s="851"/>
    </row>
    <row r="3700" spans="11:12">
      <c r="K3700" s="851"/>
      <c r="L3700" s="851"/>
    </row>
    <row r="3701" spans="11:12">
      <c r="K3701" s="851"/>
      <c r="L3701" s="851"/>
    </row>
    <row r="3702" spans="11:12">
      <c r="K3702" s="851"/>
      <c r="L3702" s="851"/>
    </row>
    <row r="3703" spans="11:12">
      <c r="K3703" s="851"/>
      <c r="L3703" s="851"/>
    </row>
    <row r="3704" spans="11:12">
      <c r="K3704" s="851"/>
      <c r="L3704" s="851"/>
    </row>
    <row r="3705" spans="11:12">
      <c r="K3705" s="851"/>
      <c r="L3705" s="851"/>
    </row>
    <row r="3706" spans="11:12">
      <c r="K3706" s="851"/>
      <c r="L3706" s="851"/>
    </row>
    <row r="3707" spans="11:12">
      <c r="K3707" s="851"/>
      <c r="L3707" s="851"/>
    </row>
    <row r="3708" spans="11:12">
      <c r="K3708" s="851"/>
      <c r="L3708" s="851"/>
    </row>
    <row r="3709" spans="11:12">
      <c r="K3709" s="851"/>
      <c r="L3709" s="851"/>
    </row>
    <row r="3710" spans="11:12">
      <c r="K3710" s="851"/>
      <c r="L3710" s="851"/>
    </row>
    <row r="3711" spans="11:12">
      <c r="K3711" s="851"/>
      <c r="L3711" s="851"/>
    </row>
    <row r="3712" spans="11:12">
      <c r="K3712" s="851"/>
      <c r="L3712" s="851"/>
    </row>
    <row r="3713" spans="11:12">
      <c r="K3713" s="851"/>
      <c r="L3713" s="851"/>
    </row>
    <row r="3714" spans="11:12">
      <c r="K3714" s="851"/>
      <c r="L3714" s="851"/>
    </row>
    <row r="3715" spans="11:12">
      <c r="K3715" s="851"/>
      <c r="L3715" s="851"/>
    </row>
    <row r="3716" spans="11:12">
      <c r="K3716" s="851"/>
      <c r="L3716" s="851"/>
    </row>
    <row r="3717" spans="11:12">
      <c r="K3717" s="851"/>
      <c r="L3717" s="851"/>
    </row>
    <row r="3718" spans="11:12">
      <c r="K3718" s="851"/>
      <c r="L3718" s="851"/>
    </row>
    <row r="3719" spans="11:12">
      <c r="K3719" s="851"/>
      <c r="L3719" s="851"/>
    </row>
    <row r="3720" spans="11:12">
      <c r="K3720" s="851"/>
      <c r="L3720" s="851"/>
    </row>
    <row r="3721" spans="11:12">
      <c r="K3721" s="851"/>
      <c r="L3721" s="851"/>
    </row>
    <row r="3722" spans="11:12">
      <c r="K3722" s="851"/>
      <c r="L3722" s="851"/>
    </row>
    <row r="3723" spans="11:12">
      <c r="K3723" s="851"/>
      <c r="L3723" s="851"/>
    </row>
    <row r="3724" spans="11:12">
      <c r="K3724" s="851"/>
      <c r="L3724" s="851"/>
    </row>
    <row r="3725" spans="11:12">
      <c r="K3725" s="851"/>
      <c r="L3725" s="851"/>
    </row>
    <row r="3726" spans="11:12">
      <c r="K3726" s="851"/>
      <c r="L3726" s="851"/>
    </row>
    <row r="3727" spans="11:12">
      <c r="K3727" s="851"/>
      <c r="L3727" s="851"/>
    </row>
    <row r="3728" spans="11:12">
      <c r="K3728" s="851"/>
      <c r="L3728" s="851"/>
    </row>
    <row r="3729" spans="11:12">
      <c r="K3729" s="851"/>
      <c r="L3729" s="851"/>
    </row>
    <row r="3730" spans="11:12">
      <c r="K3730" s="851"/>
      <c r="L3730" s="851"/>
    </row>
    <row r="3731" spans="11:12">
      <c r="K3731" s="851"/>
      <c r="L3731" s="851"/>
    </row>
    <row r="3732" spans="11:12">
      <c r="K3732" s="851"/>
      <c r="L3732" s="851"/>
    </row>
    <row r="3733" spans="11:12">
      <c r="K3733" s="851"/>
      <c r="L3733" s="851"/>
    </row>
    <row r="3734" spans="11:12">
      <c r="K3734" s="851"/>
      <c r="L3734" s="851"/>
    </row>
    <row r="3735" spans="11:12">
      <c r="K3735" s="851"/>
      <c r="L3735" s="851"/>
    </row>
    <row r="3736" spans="11:12">
      <c r="K3736" s="851"/>
      <c r="L3736" s="851"/>
    </row>
    <row r="3737" spans="11:12">
      <c r="K3737" s="851"/>
      <c r="L3737" s="851"/>
    </row>
    <row r="3738" spans="11:12">
      <c r="K3738" s="851"/>
      <c r="L3738" s="851"/>
    </row>
    <row r="3739" spans="11:12">
      <c r="K3739" s="851"/>
      <c r="L3739" s="851"/>
    </row>
    <row r="3740" spans="11:12">
      <c r="K3740" s="851"/>
      <c r="L3740" s="851"/>
    </row>
    <row r="3741" spans="11:12">
      <c r="K3741" s="851"/>
      <c r="L3741" s="851"/>
    </row>
    <row r="3742" spans="11:12">
      <c r="K3742" s="851"/>
      <c r="L3742" s="851"/>
    </row>
    <row r="3743" spans="11:12">
      <c r="K3743" s="851"/>
      <c r="L3743" s="851"/>
    </row>
    <row r="3744" spans="11:12">
      <c r="K3744" s="851"/>
      <c r="L3744" s="851"/>
    </row>
    <row r="3745" spans="11:12">
      <c r="K3745" s="851"/>
      <c r="L3745" s="851"/>
    </row>
    <row r="3746" spans="11:12">
      <c r="K3746" s="851"/>
      <c r="L3746" s="851"/>
    </row>
    <row r="3747" spans="11:12">
      <c r="K3747" s="851"/>
      <c r="L3747" s="851"/>
    </row>
    <row r="3748" spans="11:12">
      <c r="K3748" s="851"/>
      <c r="L3748" s="851"/>
    </row>
    <row r="3749" spans="11:12">
      <c r="K3749" s="851"/>
      <c r="L3749" s="851"/>
    </row>
    <row r="3750" spans="11:12">
      <c r="K3750" s="851"/>
      <c r="L3750" s="851"/>
    </row>
    <row r="3751" spans="11:12">
      <c r="K3751" s="851"/>
      <c r="L3751" s="851"/>
    </row>
    <row r="3752" spans="11:12">
      <c r="K3752" s="851"/>
      <c r="L3752" s="851"/>
    </row>
    <row r="3753" spans="11:12">
      <c r="K3753" s="851"/>
      <c r="L3753" s="851"/>
    </row>
    <row r="3754" spans="11:12">
      <c r="K3754" s="851"/>
      <c r="L3754" s="851"/>
    </row>
    <row r="3755" spans="11:12">
      <c r="K3755" s="851"/>
      <c r="L3755" s="851"/>
    </row>
    <row r="3756" spans="11:12">
      <c r="K3756" s="851"/>
      <c r="L3756" s="851"/>
    </row>
    <row r="3757" spans="11:12">
      <c r="K3757" s="851"/>
      <c r="L3757" s="851"/>
    </row>
    <row r="3758" spans="11:12">
      <c r="K3758" s="851"/>
      <c r="L3758" s="851"/>
    </row>
    <row r="3759" spans="11:12">
      <c r="K3759" s="851"/>
      <c r="L3759" s="851"/>
    </row>
    <row r="3760" spans="11:12">
      <c r="K3760" s="851"/>
      <c r="L3760" s="851"/>
    </row>
    <row r="3761" spans="11:12">
      <c r="K3761" s="851"/>
      <c r="L3761" s="851"/>
    </row>
    <row r="3762" spans="11:12">
      <c r="K3762" s="851"/>
      <c r="L3762" s="851"/>
    </row>
    <row r="3763" spans="11:12">
      <c r="K3763" s="851"/>
      <c r="L3763" s="851"/>
    </row>
    <row r="3764" spans="11:12">
      <c r="K3764" s="851"/>
      <c r="L3764" s="851"/>
    </row>
    <row r="3765" spans="11:12">
      <c r="K3765" s="851"/>
      <c r="L3765" s="851"/>
    </row>
    <row r="3766" spans="11:12">
      <c r="K3766" s="851"/>
      <c r="L3766" s="851"/>
    </row>
    <row r="3767" spans="11:12">
      <c r="K3767" s="851"/>
      <c r="L3767" s="851"/>
    </row>
    <row r="3768" spans="11:12">
      <c r="K3768" s="851"/>
      <c r="L3768" s="851"/>
    </row>
    <row r="3769" spans="11:12">
      <c r="K3769" s="851"/>
      <c r="L3769" s="851"/>
    </row>
    <row r="3770" spans="11:12">
      <c r="K3770" s="851"/>
      <c r="L3770" s="851"/>
    </row>
    <row r="3771" spans="11:12">
      <c r="K3771" s="851"/>
      <c r="L3771" s="851"/>
    </row>
    <row r="3772" spans="11:12">
      <c r="K3772" s="851"/>
      <c r="L3772" s="851"/>
    </row>
    <row r="3773" spans="11:12">
      <c r="K3773" s="851"/>
      <c r="L3773" s="851"/>
    </row>
    <row r="3774" spans="11:12">
      <c r="K3774" s="851"/>
      <c r="L3774" s="851"/>
    </row>
    <row r="3775" spans="11:12">
      <c r="K3775" s="851"/>
      <c r="L3775" s="851"/>
    </row>
    <row r="3776" spans="11:12">
      <c r="K3776" s="851"/>
      <c r="L3776" s="851"/>
    </row>
    <row r="3777" spans="11:12">
      <c r="K3777" s="851"/>
      <c r="L3777" s="851"/>
    </row>
    <row r="3778" spans="11:12">
      <c r="K3778" s="851"/>
      <c r="L3778" s="851"/>
    </row>
    <row r="3779" spans="11:12">
      <c r="K3779" s="851"/>
      <c r="L3779" s="851"/>
    </row>
    <row r="3780" spans="11:12">
      <c r="K3780" s="851"/>
      <c r="L3780" s="851"/>
    </row>
    <row r="3781" spans="11:12">
      <c r="K3781" s="851"/>
      <c r="L3781" s="851"/>
    </row>
    <row r="3782" spans="11:12">
      <c r="K3782" s="851"/>
      <c r="L3782" s="851"/>
    </row>
    <row r="3783" spans="11:12">
      <c r="K3783" s="851"/>
      <c r="L3783" s="851"/>
    </row>
    <row r="3784" spans="11:12">
      <c r="K3784" s="851"/>
      <c r="L3784" s="851"/>
    </row>
    <row r="3785" spans="11:12">
      <c r="K3785" s="851"/>
      <c r="L3785" s="851"/>
    </row>
    <row r="3786" spans="11:12">
      <c r="K3786" s="851"/>
      <c r="L3786" s="851"/>
    </row>
    <row r="3787" spans="11:12">
      <c r="K3787" s="851"/>
      <c r="L3787" s="851"/>
    </row>
    <row r="3788" spans="11:12">
      <c r="K3788" s="851"/>
      <c r="L3788" s="851"/>
    </row>
    <row r="3789" spans="11:12">
      <c r="K3789" s="851"/>
      <c r="L3789" s="851"/>
    </row>
    <row r="3790" spans="11:12">
      <c r="K3790" s="851"/>
      <c r="L3790" s="851"/>
    </row>
    <row r="3791" spans="11:12">
      <c r="K3791" s="851"/>
      <c r="L3791" s="851"/>
    </row>
    <row r="3792" spans="11:12">
      <c r="K3792" s="851"/>
      <c r="L3792" s="851"/>
    </row>
    <row r="3793" spans="11:12">
      <c r="K3793" s="851"/>
      <c r="L3793" s="851"/>
    </row>
    <row r="3794" spans="11:12">
      <c r="K3794" s="851"/>
      <c r="L3794" s="851"/>
    </row>
    <row r="3795" spans="11:12">
      <c r="K3795" s="851"/>
      <c r="L3795" s="851"/>
    </row>
    <row r="3796" spans="11:12">
      <c r="K3796" s="851"/>
      <c r="L3796" s="851"/>
    </row>
    <row r="3797" spans="11:12">
      <c r="K3797" s="851"/>
      <c r="L3797" s="851"/>
    </row>
    <row r="3798" spans="11:12">
      <c r="K3798" s="851"/>
      <c r="L3798" s="851"/>
    </row>
    <row r="3799" spans="11:12">
      <c r="K3799" s="851"/>
      <c r="L3799" s="851"/>
    </row>
    <row r="3800" spans="11:12">
      <c r="K3800" s="851"/>
      <c r="L3800" s="851"/>
    </row>
    <row r="3801" spans="11:12">
      <c r="K3801" s="851"/>
      <c r="L3801" s="851"/>
    </row>
    <row r="3802" spans="11:12">
      <c r="K3802" s="851"/>
      <c r="L3802" s="851"/>
    </row>
    <row r="3803" spans="11:12">
      <c r="K3803" s="851"/>
      <c r="L3803" s="851"/>
    </row>
    <row r="3804" spans="11:12">
      <c r="K3804" s="851"/>
      <c r="L3804" s="851"/>
    </row>
    <row r="3805" spans="11:12">
      <c r="K3805" s="851"/>
      <c r="L3805" s="851"/>
    </row>
    <row r="3806" spans="11:12">
      <c r="K3806" s="851"/>
      <c r="L3806" s="851"/>
    </row>
    <row r="3807" spans="11:12">
      <c r="K3807" s="851"/>
      <c r="L3807" s="851"/>
    </row>
    <row r="3808" spans="11:12">
      <c r="K3808" s="851"/>
      <c r="L3808" s="851"/>
    </row>
    <row r="3809" spans="11:12">
      <c r="K3809" s="851"/>
      <c r="L3809" s="851"/>
    </row>
    <row r="3810" spans="11:12">
      <c r="K3810" s="851"/>
      <c r="L3810" s="851"/>
    </row>
    <row r="3811" spans="11:12">
      <c r="K3811" s="851"/>
      <c r="L3811" s="851"/>
    </row>
    <row r="3812" spans="11:12">
      <c r="K3812" s="851"/>
      <c r="L3812" s="851"/>
    </row>
    <row r="3813" spans="11:12">
      <c r="K3813" s="851"/>
      <c r="L3813" s="851"/>
    </row>
    <row r="3814" spans="11:12">
      <c r="K3814" s="851"/>
      <c r="L3814" s="851"/>
    </row>
    <row r="3815" spans="11:12">
      <c r="K3815" s="851"/>
      <c r="L3815" s="851"/>
    </row>
    <row r="3816" spans="11:12">
      <c r="K3816" s="851"/>
      <c r="L3816" s="851"/>
    </row>
    <row r="3817" spans="11:12">
      <c r="K3817" s="851"/>
      <c r="L3817" s="851"/>
    </row>
    <row r="3818" spans="11:12">
      <c r="K3818" s="851"/>
      <c r="L3818" s="851"/>
    </row>
    <row r="3819" spans="11:12">
      <c r="K3819" s="851"/>
      <c r="L3819" s="851"/>
    </row>
    <row r="3820" spans="11:12">
      <c r="K3820" s="851"/>
      <c r="L3820" s="851"/>
    </row>
    <row r="3821" spans="11:12">
      <c r="K3821" s="851"/>
      <c r="L3821" s="851"/>
    </row>
    <row r="3822" spans="11:12">
      <c r="K3822" s="851"/>
      <c r="L3822" s="851"/>
    </row>
    <row r="3823" spans="11:12">
      <c r="K3823" s="851"/>
      <c r="L3823" s="851"/>
    </row>
    <row r="3824" spans="11:12">
      <c r="K3824" s="851"/>
      <c r="L3824" s="851"/>
    </row>
    <row r="3825" spans="11:12">
      <c r="K3825" s="851"/>
      <c r="L3825" s="851"/>
    </row>
    <row r="3826" spans="11:12">
      <c r="K3826" s="851"/>
      <c r="L3826" s="851"/>
    </row>
    <row r="3827" spans="11:12">
      <c r="K3827" s="851"/>
      <c r="L3827" s="851"/>
    </row>
    <row r="3828" spans="11:12">
      <c r="K3828" s="851"/>
      <c r="L3828" s="851"/>
    </row>
    <row r="3829" spans="11:12">
      <c r="K3829" s="851"/>
      <c r="L3829" s="851"/>
    </row>
    <row r="3830" spans="11:12">
      <c r="K3830" s="851"/>
      <c r="L3830" s="851"/>
    </row>
    <row r="3831" spans="11:12">
      <c r="K3831" s="851"/>
      <c r="L3831" s="851"/>
    </row>
    <row r="3832" spans="11:12">
      <c r="K3832" s="851"/>
      <c r="L3832" s="851"/>
    </row>
    <row r="3833" spans="11:12">
      <c r="K3833" s="851"/>
      <c r="L3833" s="851"/>
    </row>
    <row r="3834" spans="11:12">
      <c r="K3834" s="851"/>
      <c r="L3834" s="851"/>
    </row>
    <row r="3835" spans="11:12">
      <c r="K3835" s="851"/>
      <c r="L3835" s="851"/>
    </row>
    <row r="3836" spans="11:12">
      <c r="K3836" s="851"/>
      <c r="L3836" s="851"/>
    </row>
    <row r="3837" spans="11:12">
      <c r="K3837" s="851"/>
      <c r="L3837" s="851"/>
    </row>
    <row r="3838" spans="11:12">
      <c r="K3838" s="851"/>
      <c r="L3838" s="851"/>
    </row>
    <row r="3839" spans="11:12">
      <c r="K3839" s="851"/>
      <c r="L3839" s="851"/>
    </row>
    <row r="3840" spans="11:12">
      <c r="K3840" s="851"/>
      <c r="L3840" s="851"/>
    </row>
    <row r="3841" spans="11:12">
      <c r="K3841" s="851"/>
      <c r="L3841" s="851"/>
    </row>
    <row r="3842" spans="11:12">
      <c r="K3842" s="851"/>
      <c r="L3842" s="851"/>
    </row>
    <row r="3843" spans="11:12">
      <c r="K3843" s="851"/>
      <c r="L3843" s="851"/>
    </row>
    <row r="3844" spans="11:12">
      <c r="K3844" s="851"/>
      <c r="L3844" s="851"/>
    </row>
    <row r="3845" spans="11:12">
      <c r="K3845" s="851"/>
      <c r="L3845" s="851"/>
    </row>
    <row r="3846" spans="11:12">
      <c r="K3846" s="851"/>
      <c r="L3846" s="851"/>
    </row>
    <row r="3847" spans="11:12">
      <c r="K3847" s="851"/>
      <c r="L3847" s="851"/>
    </row>
    <row r="3848" spans="11:12">
      <c r="K3848" s="851"/>
      <c r="L3848" s="851"/>
    </row>
    <row r="3849" spans="11:12">
      <c r="K3849" s="851"/>
      <c r="L3849" s="851"/>
    </row>
    <row r="3850" spans="11:12">
      <c r="K3850" s="851"/>
      <c r="L3850" s="851"/>
    </row>
    <row r="3851" spans="11:12">
      <c r="K3851" s="851"/>
      <c r="L3851" s="851"/>
    </row>
    <row r="3852" spans="11:12">
      <c r="K3852" s="851"/>
      <c r="L3852" s="851"/>
    </row>
    <row r="3853" spans="11:12">
      <c r="K3853" s="851"/>
      <c r="L3853" s="851"/>
    </row>
    <row r="3854" spans="11:12">
      <c r="K3854" s="851"/>
      <c r="L3854" s="851"/>
    </row>
    <row r="3855" spans="11:12">
      <c r="K3855" s="851"/>
      <c r="L3855" s="851"/>
    </row>
    <row r="3856" spans="11:12">
      <c r="K3856" s="851"/>
      <c r="L3856" s="851"/>
    </row>
    <row r="3857" spans="11:12">
      <c r="K3857" s="851"/>
      <c r="L3857" s="851"/>
    </row>
    <row r="3858" spans="11:12">
      <c r="K3858" s="851"/>
      <c r="L3858" s="851"/>
    </row>
    <row r="3859" spans="11:12">
      <c r="K3859" s="851"/>
      <c r="L3859" s="851"/>
    </row>
    <row r="3860" spans="11:12">
      <c r="K3860" s="851"/>
      <c r="L3860" s="851"/>
    </row>
    <row r="3861" spans="11:12">
      <c r="K3861" s="851"/>
      <c r="L3861" s="851"/>
    </row>
    <row r="3862" spans="11:12">
      <c r="K3862" s="851"/>
      <c r="L3862" s="851"/>
    </row>
    <row r="3863" spans="11:12">
      <c r="K3863" s="851"/>
      <c r="L3863" s="851"/>
    </row>
    <row r="3864" spans="11:12">
      <c r="K3864" s="851"/>
      <c r="L3864" s="851"/>
    </row>
    <row r="3865" spans="11:12">
      <c r="K3865" s="851"/>
      <c r="L3865" s="851"/>
    </row>
    <row r="3866" spans="11:12">
      <c r="K3866" s="851"/>
      <c r="L3866" s="851"/>
    </row>
    <row r="3867" spans="11:12">
      <c r="K3867" s="851"/>
      <c r="L3867" s="851"/>
    </row>
    <row r="3868" spans="11:12">
      <c r="K3868" s="851"/>
      <c r="L3868" s="851"/>
    </row>
    <row r="3869" spans="11:12">
      <c r="K3869" s="851"/>
      <c r="L3869" s="851"/>
    </row>
    <row r="3870" spans="11:12">
      <c r="K3870" s="851"/>
      <c r="L3870" s="851"/>
    </row>
    <row r="3871" spans="11:12">
      <c r="K3871" s="851"/>
      <c r="L3871" s="851"/>
    </row>
    <row r="3872" spans="11:12">
      <c r="K3872" s="851"/>
      <c r="L3872" s="851"/>
    </row>
    <row r="3873" spans="11:12">
      <c r="K3873" s="851"/>
      <c r="L3873" s="851"/>
    </row>
    <row r="3874" spans="11:12">
      <c r="K3874" s="851"/>
      <c r="L3874" s="851"/>
    </row>
    <row r="3875" spans="11:12">
      <c r="K3875" s="851"/>
      <c r="L3875" s="851"/>
    </row>
    <row r="3876" spans="11:12">
      <c r="K3876" s="851"/>
      <c r="L3876" s="851"/>
    </row>
    <row r="3877" spans="11:12">
      <c r="K3877" s="851"/>
      <c r="L3877" s="851"/>
    </row>
    <row r="3878" spans="11:12">
      <c r="K3878" s="851"/>
      <c r="L3878" s="851"/>
    </row>
    <row r="3879" spans="11:12">
      <c r="K3879" s="851"/>
      <c r="L3879" s="851"/>
    </row>
    <row r="3880" spans="11:12">
      <c r="K3880" s="851"/>
      <c r="L3880" s="851"/>
    </row>
    <row r="3881" spans="11:12">
      <c r="K3881" s="851"/>
      <c r="L3881" s="851"/>
    </row>
    <row r="3882" spans="11:12">
      <c r="K3882" s="851"/>
      <c r="L3882" s="851"/>
    </row>
    <row r="3883" spans="11:12">
      <c r="K3883" s="851"/>
      <c r="L3883" s="851"/>
    </row>
    <row r="3884" spans="11:12">
      <c r="K3884" s="851"/>
      <c r="L3884" s="851"/>
    </row>
    <row r="3885" spans="11:12">
      <c r="K3885" s="851"/>
      <c r="L3885" s="851"/>
    </row>
    <row r="3886" spans="11:12">
      <c r="K3886" s="851"/>
      <c r="L3886" s="851"/>
    </row>
    <row r="3887" spans="11:12">
      <c r="K3887" s="851"/>
      <c r="L3887" s="851"/>
    </row>
    <row r="3888" spans="11:12">
      <c r="K3888" s="851"/>
      <c r="L3888" s="851"/>
    </row>
    <row r="3889" spans="11:12">
      <c r="K3889" s="851"/>
      <c r="L3889" s="851"/>
    </row>
    <row r="3890" spans="11:12">
      <c r="K3890" s="851"/>
      <c r="L3890" s="851"/>
    </row>
    <row r="3891" spans="11:12">
      <c r="K3891" s="851"/>
      <c r="L3891" s="851"/>
    </row>
    <row r="3892" spans="11:12">
      <c r="K3892" s="851"/>
      <c r="L3892" s="851"/>
    </row>
    <row r="3893" spans="11:12">
      <c r="K3893" s="851"/>
      <c r="L3893" s="851"/>
    </row>
    <row r="3894" spans="11:12">
      <c r="K3894" s="851"/>
      <c r="L3894" s="851"/>
    </row>
    <row r="3895" spans="11:12">
      <c r="K3895" s="851"/>
      <c r="L3895" s="851"/>
    </row>
    <row r="3896" spans="11:12">
      <c r="K3896" s="851"/>
      <c r="L3896" s="851"/>
    </row>
    <row r="3897" spans="11:12">
      <c r="K3897" s="851"/>
      <c r="L3897" s="851"/>
    </row>
    <row r="3898" spans="11:12">
      <c r="K3898" s="851"/>
      <c r="L3898" s="851"/>
    </row>
    <row r="3899" spans="11:12">
      <c r="K3899" s="851"/>
      <c r="L3899" s="851"/>
    </row>
    <row r="3900" spans="11:12">
      <c r="K3900" s="851"/>
      <c r="L3900" s="851"/>
    </row>
    <row r="3901" spans="11:12">
      <c r="K3901" s="851"/>
      <c r="L3901" s="851"/>
    </row>
    <row r="3902" spans="11:12">
      <c r="K3902" s="851"/>
      <c r="L3902" s="851"/>
    </row>
    <row r="3903" spans="11:12">
      <c r="K3903" s="851"/>
      <c r="L3903" s="851"/>
    </row>
    <row r="3904" spans="11:12">
      <c r="K3904" s="851"/>
      <c r="L3904" s="851"/>
    </row>
    <row r="3905" spans="11:12">
      <c r="K3905" s="851"/>
      <c r="L3905" s="851"/>
    </row>
    <row r="3906" spans="11:12">
      <c r="K3906" s="851"/>
      <c r="L3906" s="851"/>
    </row>
    <row r="3907" spans="11:12">
      <c r="K3907" s="851"/>
      <c r="L3907" s="851"/>
    </row>
    <row r="3908" spans="11:12">
      <c r="K3908" s="851"/>
      <c r="L3908" s="851"/>
    </row>
    <row r="3909" spans="11:12">
      <c r="K3909" s="851"/>
      <c r="L3909" s="851"/>
    </row>
    <row r="3910" spans="11:12">
      <c r="K3910" s="851"/>
      <c r="L3910" s="851"/>
    </row>
    <row r="3911" spans="11:12">
      <c r="K3911" s="851"/>
      <c r="L3911" s="851"/>
    </row>
    <row r="3912" spans="11:12">
      <c r="K3912" s="851"/>
      <c r="L3912" s="851"/>
    </row>
    <row r="3913" spans="11:12">
      <c r="K3913" s="851"/>
      <c r="L3913" s="851"/>
    </row>
    <row r="3914" spans="11:12">
      <c r="K3914" s="851"/>
      <c r="L3914" s="851"/>
    </row>
    <row r="3915" spans="11:12">
      <c r="K3915" s="851"/>
      <c r="L3915" s="851"/>
    </row>
    <row r="3916" spans="11:12">
      <c r="K3916" s="851"/>
      <c r="L3916" s="851"/>
    </row>
    <row r="3917" spans="11:12">
      <c r="K3917" s="851"/>
      <c r="L3917" s="851"/>
    </row>
    <row r="3918" spans="11:12">
      <c r="K3918" s="851"/>
      <c r="L3918" s="851"/>
    </row>
    <row r="3919" spans="11:12">
      <c r="K3919" s="851"/>
      <c r="L3919" s="851"/>
    </row>
    <row r="3920" spans="11:12">
      <c r="K3920" s="851"/>
      <c r="L3920" s="851"/>
    </row>
    <row r="3921" spans="11:12">
      <c r="K3921" s="851"/>
      <c r="L3921" s="851"/>
    </row>
    <row r="3922" spans="11:12">
      <c r="K3922" s="851"/>
      <c r="L3922" s="851"/>
    </row>
    <row r="3923" spans="11:12">
      <c r="K3923" s="851"/>
      <c r="L3923" s="851"/>
    </row>
    <row r="3924" spans="11:12">
      <c r="K3924" s="851"/>
      <c r="L3924" s="851"/>
    </row>
    <row r="3925" spans="11:12">
      <c r="K3925" s="851"/>
      <c r="L3925" s="851"/>
    </row>
    <row r="3926" spans="11:12">
      <c r="K3926" s="851"/>
      <c r="L3926" s="851"/>
    </row>
    <row r="3927" spans="11:12">
      <c r="K3927" s="851"/>
      <c r="L3927" s="851"/>
    </row>
    <row r="3928" spans="11:12">
      <c r="K3928" s="851"/>
      <c r="L3928" s="851"/>
    </row>
    <row r="3929" spans="11:12">
      <c r="K3929" s="851"/>
      <c r="L3929" s="851"/>
    </row>
    <row r="3930" spans="11:12">
      <c r="K3930" s="851"/>
      <c r="L3930" s="851"/>
    </row>
    <row r="3931" spans="11:12">
      <c r="K3931" s="851"/>
      <c r="L3931" s="851"/>
    </row>
    <row r="3932" spans="11:12">
      <c r="K3932" s="851"/>
      <c r="L3932" s="851"/>
    </row>
    <row r="3933" spans="11:12">
      <c r="K3933" s="851"/>
      <c r="L3933" s="851"/>
    </row>
    <row r="3934" spans="11:12">
      <c r="K3934" s="851"/>
      <c r="L3934" s="851"/>
    </row>
    <row r="3935" spans="11:12">
      <c r="K3935" s="851"/>
      <c r="L3935" s="851"/>
    </row>
    <row r="3936" spans="11:12">
      <c r="K3936" s="851"/>
      <c r="L3936" s="851"/>
    </row>
    <row r="3937" spans="11:12">
      <c r="K3937" s="851"/>
      <c r="L3937" s="851"/>
    </row>
    <row r="3938" spans="11:12">
      <c r="K3938" s="851"/>
      <c r="L3938" s="851"/>
    </row>
    <row r="3939" spans="11:12">
      <c r="K3939" s="851"/>
      <c r="L3939" s="851"/>
    </row>
    <row r="3940" spans="11:12">
      <c r="K3940" s="851"/>
      <c r="L3940" s="851"/>
    </row>
    <row r="3941" spans="11:12">
      <c r="K3941" s="851"/>
      <c r="L3941" s="851"/>
    </row>
    <row r="3942" spans="11:12">
      <c r="K3942" s="851"/>
      <c r="L3942" s="851"/>
    </row>
    <row r="3943" spans="11:12">
      <c r="K3943" s="851"/>
      <c r="L3943" s="851"/>
    </row>
    <row r="3944" spans="11:12">
      <c r="K3944" s="851"/>
      <c r="L3944" s="851"/>
    </row>
    <row r="3945" spans="11:12">
      <c r="K3945" s="851"/>
      <c r="L3945" s="851"/>
    </row>
    <row r="3946" spans="11:12">
      <c r="K3946" s="851"/>
      <c r="L3946" s="851"/>
    </row>
    <row r="3947" spans="11:12">
      <c r="K3947" s="851"/>
      <c r="L3947" s="851"/>
    </row>
    <row r="3948" spans="11:12">
      <c r="K3948" s="851"/>
      <c r="L3948" s="851"/>
    </row>
    <row r="3949" spans="11:12">
      <c r="K3949" s="851"/>
      <c r="L3949" s="851"/>
    </row>
    <row r="3950" spans="11:12">
      <c r="K3950" s="851"/>
      <c r="L3950" s="851"/>
    </row>
    <row r="3951" spans="11:12">
      <c r="K3951" s="851"/>
      <c r="L3951" s="851"/>
    </row>
    <row r="3952" spans="11:12">
      <c r="K3952" s="851"/>
      <c r="L3952" s="851"/>
    </row>
    <row r="3953" spans="11:12">
      <c r="K3953" s="851"/>
      <c r="L3953" s="851"/>
    </row>
    <row r="3954" spans="11:12">
      <c r="K3954" s="851"/>
      <c r="L3954" s="851"/>
    </row>
    <row r="3955" spans="11:12">
      <c r="K3955" s="851"/>
      <c r="L3955" s="851"/>
    </row>
    <row r="3956" spans="11:12">
      <c r="K3956" s="851"/>
      <c r="L3956" s="851"/>
    </row>
    <row r="3957" spans="11:12">
      <c r="K3957" s="851"/>
      <c r="L3957" s="851"/>
    </row>
    <row r="3958" spans="11:12">
      <c r="K3958" s="851"/>
      <c r="L3958" s="851"/>
    </row>
    <row r="3959" spans="11:12">
      <c r="K3959" s="851"/>
      <c r="L3959" s="851"/>
    </row>
    <row r="3960" spans="11:12">
      <c r="K3960" s="851"/>
      <c r="L3960" s="851"/>
    </row>
    <row r="3961" spans="11:12">
      <c r="K3961" s="851"/>
      <c r="L3961" s="851"/>
    </row>
    <row r="3962" spans="11:12">
      <c r="K3962" s="851"/>
      <c r="L3962" s="851"/>
    </row>
    <row r="3963" spans="11:12">
      <c r="K3963" s="851"/>
      <c r="L3963" s="851"/>
    </row>
    <row r="3964" spans="11:12">
      <c r="K3964" s="851"/>
      <c r="L3964" s="851"/>
    </row>
    <row r="3965" spans="11:12">
      <c r="K3965" s="851"/>
      <c r="L3965" s="851"/>
    </row>
    <row r="3966" spans="11:12">
      <c r="K3966" s="851"/>
      <c r="L3966" s="851"/>
    </row>
    <row r="3967" spans="11:12">
      <c r="K3967" s="851"/>
      <c r="L3967" s="851"/>
    </row>
    <row r="3968" spans="11:12">
      <c r="K3968" s="851"/>
      <c r="L3968" s="851"/>
    </row>
    <row r="3969" spans="11:12">
      <c r="K3969" s="851"/>
      <c r="L3969" s="851"/>
    </row>
    <row r="3970" spans="11:12">
      <c r="K3970" s="851"/>
      <c r="L3970" s="851"/>
    </row>
    <row r="3971" spans="11:12">
      <c r="K3971" s="851"/>
      <c r="L3971" s="851"/>
    </row>
    <row r="3972" spans="11:12">
      <c r="K3972" s="851"/>
      <c r="L3972" s="851"/>
    </row>
    <row r="3973" spans="11:12">
      <c r="K3973" s="851"/>
      <c r="L3973" s="851"/>
    </row>
    <row r="3974" spans="11:12">
      <c r="K3974" s="851"/>
      <c r="L3974" s="851"/>
    </row>
    <row r="3975" spans="11:12">
      <c r="K3975" s="851"/>
      <c r="L3975" s="851"/>
    </row>
    <row r="3976" spans="11:12">
      <c r="K3976" s="851"/>
      <c r="L3976" s="851"/>
    </row>
    <row r="3977" spans="11:12">
      <c r="K3977" s="851"/>
      <c r="L3977" s="851"/>
    </row>
    <row r="3978" spans="11:12">
      <c r="K3978" s="851"/>
      <c r="L3978" s="851"/>
    </row>
    <row r="3979" spans="11:12">
      <c r="K3979" s="851"/>
      <c r="L3979" s="851"/>
    </row>
    <row r="3980" spans="11:12">
      <c r="K3980" s="851"/>
      <c r="L3980" s="851"/>
    </row>
    <row r="3981" spans="11:12">
      <c r="K3981" s="851"/>
      <c r="L3981" s="851"/>
    </row>
    <row r="3982" spans="11:12">
      <c r="K3982" s="851"/>
      <c r="L3982" s="851"/>
    </row>
    <row r="3983" spans="11:12">
      <c r="K3983" s="851"/>
      <c r="L3983" s="851"/>
    </row>
    <row r="3984" spans="11:12">
      <c r="K3984" s="851"/>
      <c r="L3984" s="851"/>
    </row>
    <row r="3985" spans="11:12">
      <c r="K3985" s="851"/>
      <c r="L3985" s="851"/>
    </row>
    <row r="3986" spans="11:12">
      <c r="K3986" s="851"/>
      <c r="L3986" s="851"/>
    </row>
    <row r="3987" spans="11:12">
      <c r="K3987" s="851"/>
      <c r="L3987" s="851"/>
    </row>
    <row r="3988" spans="11:12">
      <c r="K3988" s="851"/>
      <c r="L3988" s="851"/>
    </row>
    <row r="3989" spans="11:12">
      <c r="K3989" s="851"/>
      <c r="L3989" s="851"/>
    </row>
    <row r="3990" spans="11:12">
      <c r="K3990" s="851"/>
      <c r="L3990" s="851"/>
    </row>
    <row r="3991" spans="11:12">
      <c r="K3991" s="851"/>
      <c r="L3991" s="851"/>
    </row>
    <row r="3992" spans="11:12">
      <c r="K3992" s="851"/>
      <c r="L3992" s="851"/>
    </row>
    <row r="3993" spans="11:12">
      <c r="K3993" s="851"/>
      <c r="L3993" s="851"/>
    </row>
    <row r="3994" spans="11:12">
      <c r="K3994" s="851"/>
      <c r="L3994" s="851"/>
    </row>
    <row r="3995" spans="11:12">
      <c r="K3995" s="851"/>
      <c r="L3995" s="851"/>
    </row>
    <row r="3996" spans="11:12">
      <c r="K3996" s="851"/>
      <c r="L3996" s="851"/>
    </row>
    <row r="3997" spans="11:12">
      <c r="K3997" s="851"/>
      <c r="L3997" s="851"/>
    </row>
    <row r="3998" spans="11:12">
      <c r="K3998" s="851"/>
      <c r="L3998" s="851"/>
    </row>
    <row r="3999" spans="11:12">
      <c r="K3999" s="851"/>
      <c r="L3999" s="851"/>
    </row>
    <row r="4000" spans="11:12">
      <c r="K4000" s="851"/>
      <c r="L4000" s="851"/>
    </row>
    <row r="4001" spans="11:12">
      <c r="K4001" s="851"/>
      <c r="L4001" s="851"/>
    </row>
    <row r="4002" spans="11:12">
      <c r="K4002" s="851"/>
      <c r="L4002" s="851"/>
    </row>
    <row r="4003" spans="11:12">
      <c r="K4003" s="851"/>
      <c r="L4003" s="851"/>
    </row>
    <row r="4004" spans="11:12">
      <c r="K4004" s="851"/>
      <c r="L4004" s="851"/>
    </row>
    <row r="4005" spans="11:12">
      <c r="K4005" s="851"/>
      <c r="L4005" s="851"/>
    </row>
    <row r="4006" spans="11:12">
      <c r="K4006" s="851"/>
      <c r="L4006" s="851"/>
    </row>
    <row r="4007" spans="11:12">
      <c r="K4007" s="851"/>
      <c r="L4007" s="851"/>
    </row>
    <row r="4008" spans="11:12">
      <c r="K4008" s="851"/>
      <c r="L4008" s="851"/>
    </row>
    <row r="4009" spans="11:12">
      <c r="K4009" s="851"/>
      <c r="L4009" s="851"/>
    </row>
    <row r="4010" spans="11:12">
      <c r="K4010" s="851"/>
      <c r="L4010" s="851"/>
    </row>
    <row r="4011" spans="11:12">
      <c r="K4011" s="851"/>
      <c r="L4011" s="851"/>
    </row>
    <row r="4012" spans="11:12">
      <c r="K4012" s="851"/>
      <c r="L4012" s="851"/>
    </row>
    <row r="4013" spans="11:12">
      <c r="K4013" s="851"/>
      <c r="L4013" s="851"/>
    </row>
    <row r="4014" spans="11:12">
      <c r="K4014" s="851"/>
      <c r="L4014" s="851"/>
    </row>
    <row r="4015" spans="11:12">
      <c r="K4015" s="851"/>
      <c r="L4015" s="851"/>
    </row>
    <row r="4016" spans="11:12">
      <c r="K4016" s="851"/>
      <c r="L4016" s="851"/>
    </row>
    <row r="4017" spans="11:12">
      <c r="K4017" s="851"/>
      <c r="L4017" s="851"/>
    </row>
    <row r="4018" spans="11:12">
      <c r="K4018" s="851"/>
      <c r="L4018" s="851"/>
    </row>
    <row r="4019" spans="11:12">
      <c r="K4019" s="851"/>
      <c r="L4019" s="851"/>
    </row>
    <row r="4020" spans="11:12">
      <c r="K4020" s="851"/>
      <c r="L4020" s="851"/>
    </row>
    <row r="4021" spans="11:12">
      <c r="K4021" s="851"/>
      <c r="L4021" s="851"/>
    </row>
    <row r="4022" spans="11:12">
      <c r="K4022" s="851"/>
      <c r="L4022" s="851"/>
    </row>
    <row r="4023" spans="11:12">
      <c r="K4023" s="851"/>
      <c r="L4023" s="851"/>
    </row>
    <row r="4024" spans="11:12">
      <c r="K4024" s="851"/>
      <c r="L4024" s="851"/>
    </row>
    <row r="4025" spans="11:12">
      <c r="K4025" s="851"/>
      <c r="L4025" s="851"/>
    </row>
    <row r="4026" spans="11:12">
      <c r="K4026" s="851"/>
      <c r="L4026" s="851"/>
    </row>
    <row r="4027" spans="11:12">
      <c r="K4027" s="851"/>
      <c r="L4027" s="851"/>
    </row>
    <row r="4028" spans="11:12">
      <c r="K4028" s="851"/>
      <c r="L4028" s="851"/>
    </row>
    <row r="4029" spans="11:12">
      <c r="K4029" s="851"/>
      <c r="L4029" s="851"/>
    </row>
    <row r="4030" spans="11:12">
      <c r="K4030" s="851"/>
      <c r="L4030" s="851"/>
    </row>
    <row r="4031" spans="11:12">
      <c r="K4031" s="851"/>
      <c r="L4031" s="851"/>
    </row>
    <row r="4032" spans="11:12">
      <c r="K4032" s="851"/>
      <c r="L4032" s="851"/>
    </row>
    <row r="4033" spans="11:12">
      <c r="K4033" s="851"/>
      <c r="L4033" s="851"/>
    </row>
    <row r="4034" spans="11:12">
      <c r="K4034" s="851"/>
      <c r="L4034" s="851"/>
    </row>
    <row r="4035" spans="11:12">
      <c r="K4035" s="851"/>
      <c r="L4035" s="851"/>
    </row>
    <row r="4036" spans="11:12">
      <c r="K4036" s="851"/>
      <c r="L4036" s="851"/>
    </row>
    <row r="4037" spans="11:12">
      <c r="K4037" s="851"/>
      <c r="L4037" s="851"/>
    </row>
    <row r="4038" spans="11:12">
      <c r="K4038" s="851"/>
      <c r="L4038" s="851"/>
    </row>
    <row r="4039" spans="11:12">
      <c r="K4039" s="851"/>
      <c r="L4039" s="851"/>
    </row>
    <row r="4040" spans="11:12">
      <c r="K4040" s="851"/>
      <c r="L4040" s="851"/>
    </row>
    <row r="4041" spans="11:12">
      <c r="K4041" s="851"/>
      <c r="L4041" s="851"/>
    </row>
    <row r="4042" spans="11:12">
      <c r="K4042" s="851"/>
      <c r="L4042" s="851"/>
    </row>
    <row r="4043" spans="11:12">
      <c r="K4043" s="851"/>
      <c r="L4043" s="851"/>
    </row>
    <row r="4044" spans="11:12">
      <c r="K4044" s="851"/>
      <c r="L4044" s="851"/>
    </row>
    <row r="4045" spans="11:12">
      <c r="K4045" s="851"/>
      <c r="L4045" s="851"/>
    </row>
    <row r="4046" spans="11:12">
      <c r="K4046" s="851"/>
      <c r="L4046" s="851"/>
    </row>
    <row r="4047" spans="11:12">
      <c r="K4047" s="851"/>
      <c r="L4047" s="851"/>
    </row>
    <row r="4048" spans="11:12">
      <c r="K4048" s="851"/>
      <c r="L4048" s="851"/>
    </row>
    <row r="4049" spans="11:12">
      <c r="K4049" s="851"/>
      <c r="L4049" s="851"/>
    </row>
    <row r="4050" spans="11:12">
      <c r="K4050" s="851"/>
      <c r="L4050" s="851"/>
    </row>
    <row r="4051" spans="11:12">
      <c r="K4051" s="851"/>
      <c r="L4051" s="851"/>
    </row>
    <row r="4052" spans="11:12">
      <c r="K4052" s="851"/>
      <c r="L4052" s="851"/>
    </row>
    <row r="4053" spans="11:12">
      <c r="K4053" s="851"/>
      <c r="L4053" s="851"/>
    </row>
    <row r="4054" spans="11:12">
      <c r="K4054" s="851"/>
      <c r="L4054" s="851"/>
    </row>
    <row r="4055" spans="11:12">
      <c r="K4055" s="851"/>
      <c r="L4055" s="851"/>
    </row>
    <row r="4056" spans="11:12">
      <c r="K4056" s="851"/>
      <c r="L4056" s="851"/>
    </row>
    <row r="4057" spans="11:12">
      <c r="K4057" s="851"/>
      <c r="L4057" s="851"/>
    </row>
    <row r="4058" spans="11:12">
      <c r="K4058" s="851"/>
      <c r="L4058" s="851"/>
    </row>
    <row r="4059" spans="11:12">
      <c r="K4059" s="851"/>
      <c r="L4059" s="851"/>
    </row>
    <row r="4060" spans="11:12">
      <c r="K4060" s="851"/>
      <c r="L4060" s="851"/>
    </row>
    <row r="4061" spans="11:12">
      <c r="K4061" s="851"/>
      <c r="L4061" s="851"/>
    </row>
    <row r="4062" spans="11:12">
      <c r="K4062" s="851"/>
      <c r="L4062" s="851"/>
    </row>
    <row r="4063" spans="11:12">
      <c r="K4063" s="851"/>
      <c r="L4063" s="851"/>
    </row>
    <row r="4064" spans="11:12">
      <c r="K4064" s="851"/>
      <c r="L4064" s="851"/>
    </row>
    <row r="4065" spans="11:12">
      <c r="K4065" s="851"/>
      <c r="L4065" s="851"/>
    </row>
    <row r="4066" spans="11:12">
      <c r="K4066" s="851"/>
      <c r="L4066" s="851"/>
    </row>
    <row r="4067" spans="11:12">
      <c r="K4067" s="851"/>
      <c r="L4067" s="851"/>
    </row>
    <row r="4068" spans="11:12">
      <c r="K4068" s="851"/>
      <c r="L4068" s="851"/>
    </row>
    <row r="4069" spans="11:12">
      <c r="K4069" s="851"/>
      <c r="L4069" s="851"/>
    </row>
    <row r="4070" spans="11:12">
      <c r="K4070" s="851"/>
      <c r="L4070" s="851"/>
    </row>
    <row r="4071" spans="11:12">
      <c r="K4071" s="851"/>
      <c r="L4071" s="851"/>
    </row>
    <row r="4072" spans="11:12">
      <c r="K4072" s="851"/>
      <c r="L4072" s="851"/>
    </row>
    <row r="4073" spans="11:12">
      <c r="K4073" s="851"/>
      <c r="L4073" s="851"/>
    </row>
    <row r="4074" spans="11:12">
      <c r="K4074" s="851"/>
      <c r="L4074" s="851"/>
    </row>
    <row r="4075" spans="11:12">
      <c r="K4075" s="851"/>
      <c r="L4075" s="851"/>
    </row>
    <row r="4076" spans="11:12">
      <c r="K4076" s="851"/>
      <c r="L4076" s="851"/>
    </row>
    <row r="4077" spans="11:12">
      <c r="K4077" s="851"/>
      <c r="L4077" s="851"/>
    </row>
    <row r="4078" spans="11:12">
      <c r="K4078" s="851"/>
      <c r="L4078" s="851"/>
    </row>
    <row r="4079" spans="11:12">
      <c r="K4079" s="851"/>
      <c r="L4079" s="851"/>
    </row>
    <row r="4080" spans="11:12">
      <c r="K4080" s="851"/>
      <c r="L4080" s="851"/>
    </row>
    <row r="4081" spans="11:12">
      <c r="K4081" s="851"/>
      <c r="L4081" s="851"/>
    </row>
    <row r="4082" spans="11:12">
      <c r="K4082" s="851"/>
      <c r="L4082" s="851"/>
    </row>
    <row r="4083" spans="11:12">
      <c r="K4083" s="851"/>
      <c r="L4083" s="851"/>
    </row>
    <row r="4084" spans="11:12">
      <c r="K4084" s="851"/>
      <c r="L4084" s="851"/>
    </row>
    <row r="4085" spans="11:12">
      <c r="K4085" s="851"/>
      <c r="L4085" s="851"/>
    </row>
    <row r="4086" spans="11:12">
      <c r="K4086" s="851"/>
      <c r="L4086" s="851"/>
    </row>
    <row r="4087" spans="11:12">
      <c r="K4087" s="851"/>
      <c r="L4087" s="851"/>
    </row>
    <row r="4088" spans="11:12">
      <c r="K4088" s="851"/>
      <c r="L4088" s="851"/>
    </row>
    <row r="4089" spans="11:12">
      <c r="K4089" s="851"/>
      <c r="L4089" s="851"/>
    </row>
    <row r="4090" spans="11:12">
      <c r="K4090" s="851"/>
      <c r="L4090" s="851"/>
    </row>
    <row r="4091" spans="11:12">
      <c r="K4091" s="851"/>
      <c r="L4091" s="851"/>
    </row>
    <row r="4092" spans="11:12">
      <c r="K4092" s="851"/>
      <c r="L4092" s="851"/>
    </row>
    <row r="4093" spans="11:12">
      <c r="K4093" s="851"/>
      <c r="L4093" s="851"/>
    </row>
    <row r="4094" spans="11:12">
      <c r="K4094" s="851"/>
      <c r="L4094" s="851"/>
    </row>
    <row r="4095" spans="11:12">
      <c r="K4095" s="851"/>
      <c r="L4095" s="851"/>
    </row>
    <row r="4096" spans="11:12">
      <c r="K4096" s="851"/>
      <c r="L4096" s="851"/>
    </row>
    <row r="4097" spans="11:12">
      <c r="K4097" s="851"/>
      <c r="L4097" s="851"/>
    </row>
    <row r="4098" spans="11:12">
      <c r="K4098" s="851"/>
      <c r="L4098" s="851"/>
    </row>
    <row r="4099" spans="11:12">
      <c r="K4099" s="851"/>
      <c r="L4099" s="851"/>
    </row>
    <row r="4100" spans="11:12">
      <c r="K4100" s="851"/>
      <c r="L4100" s="851"/>
    </row>
    <row r="4101" spans="11:12">
      <c r="K4101" s="851"/>
      <c r="L4101" s="851"/>
    </row>
    <row r="4102" spans="11:12">
      <c r="K4102" s="851"/>
      <c r="L4102" s="851"/>
    </row>
    <row r="4103" spans="11:12">
      <c r="K4103" s="851"/>
      <c r="L4103" s="851"/>
    </row>
    <row r="4104" spans="11:12">
      <c r="K4104" s="851"/>
      <c r="L4104" s="851"/>
    </row>
    <row r="4105" spans="11:12">
      <c r="K4105" s="851"/>
      <c r="L4105" s="851"/>
    </row>
    <row r="4106" spans="11:12">
      <c r="K4106" s="851"/>
      <c r="L4106" s="851"/>
    </row>
    <row r="4107" spans="11:12">
      <c r="K4107" s="851"/>
      <c r="L4107" s="851"/>
    </row>
    <row r="4108" spans="11:12">
      <c r="K4108" s="851"/>
      <c r="L4108" s="851"/>
    </row>
    <row r="4109" spans="11:12">
      <c r="K4109" s="851"/>
      <c r="L4109" s="851"/>
    </row>
    <row r="4110" spans="11:12">
      <c r="K4110" s="851"/>
      <c r="L4110" s="851"/>
    </row>
    <row r="4111" spans="11:12">
      <c r="K4111" s="851"/>
      <c r="L4111" s="851"/>
    </row>
    <row r="4112" spans="11:12">
      <c r="K4112" s="851"/>
      <c r="L4112" s="851"/>
    </row>
    <row r="4113" spans="11:12">
      <c r="K4113" s="851"/>
      <c r="L4113" s="851"/>
    </row>
    <row r="4114" spans="11:12">
      <c r="K4114" s="851"/>
      <c r="L4114" s="851"/>
    </row>
    <row r="4115" spans="11:12">
      <c r="K4115" s="851"/>
      <c r="L4115" s="851"/>
    </row>
    <row r="4116" spans="11:12">
      <c r="K4116" s="851"/>
      <c r="L4116" s="851"/>
    </row>
    <row r="4117" spans="11:12">
      <c r="K4117" s="851"/>
      <c r="L4117" s="851"/>
    </row>
    <row r="4118" spans="11:12">
      <c r="K4118" s="851"/>
      <c r="L4118" s="851"/>
    </row>
    <row r="4119" spans="11:12">
      <c r="K4119" s="851"/>
      <c r="L4119" s="851"/>
    </row>
    <row r="4120" spans="11:12">
      <c r="K4120" s="851"/>
      <c r="L4120" s="851"/>
    </row>
    <row r="4121" spans="11:12">
      <c r="K4121" s="851"/>
      <c r="L4121" s="851"/>
    </row>
    <row r="4122" spans="11:12">
      <c r="K4122" s="851"/>
      <c r="L4122" s="851"/>
    </row>
    <row r="4123" spans="11:12">
      <c r="K4123" s="851"/>
      <c r="L4123" s="851"/>
    </row>
    <row r="4124" spans="11:12">
      <c r="K4124" s="851"/>
      <c r="L4124" s="851"/>
    </row>
    <row r="4125" spans="11:12">
      <c r="K4125" s="851"/>
      <c r="L4125" s="851"/>
    </row>
    <row r="4126" spans="11:12">
      <c r="K4126" s="851"/>
      <c r="L4126" s="851"/>
    </row>
    <row r="4127" spans="11:12">
      <c r="K4127" s="851"/>
      <c r="L4127" s="851"/>
    </row>
    <row r="4128" spans="11:12">
      <c r="K4128" s="851"/>
      <c r="L4128" s="851"/>
    </row>
    <row r="4129" spans="11:12">
      <c r="K4129" s="851"/>
      <c r="L4129" s="851"/>
    </row>
    <row r="4130" spans="11:12">
      <c r="K4130" s="851"/>
      <c r="L4130" s="851"/>
    </row>
    <row r="4131" spans="11:12">
      <c r="K4131" s="851"/>
      <c r="L4131" s="851"/>
    </row>
    <row r="4132" spans="11:12">
      <c r="K4132" s="851"/>
      <c r="L4132" s="851"/>
    </row>
    <row r="4133" spans="11:12">
      <c r="K4133" s="851"/>
      <c r="L4133" s="851"/>
    </row>
    <row r="4134" spans="11:12">
      <c r="K4134" s="851"/>
      <c r="L4134" s="851"/>
    </row>
    <row r="4135" spans="11:12">
      <c r="K4135" s="851"/>
      <c r="L4135" s="851"/>
    </row>
    <row r="4136" spans="11:12">
      <c r="K4136" s="851"/>
      <c r="L4136" s="851"/>
    </row>
    <row r="4137" spans="11:12">
      <c r="K4137" s="851"/>
      <c r="L4137" s="851"/>
    </row>
    <row r="4138" spans="11:12">
      <c r="K4138" s="851"/>
      <c r="L4138" s="851"/>
    </row>
    <row r="4139" spans="11:12">
      <c r="K4139" s="851"/>
      <c r="L4139" s="851"/>
    </row>
    <row r="4140" spans="11:12">
      <c r="K4140" s="851"/>
      <c r="L4140" s="851"/>
    </row>
    <row r="4141" spans="11:12">
      <c r="K4141" s="851"/>
      <c r="L4141" s="851"/>
    </row>
    <row r="4142" spans="11:12">
      <c r="K4142" s="851"/>
      <c r="L4142" s="851"/>
    </row>
    <row r="4143" spans="11:12">
      <c r="K4143" s="851"/>
      <c r="L4143" s="851"/>
    </row>
    <row r="4144" spans="11:12">
      <c r="K4144" s="851"/>
      <c r="L4144" s="851"/>
    </row>
    <row r="4145" spans="11:12">
      <c r="K4145" s="851"/>
      <c r="L4145" s="851"/>
    </row>
    <row r="4146" spans="11:12">
      <c r="K4146" s="851"/>
      <c r="L4146" s="851"/>
    </row>
    <row r="4147" spans="11:12">
      <c r="K4147" s="851"/>
      <c r="L4147" s="851"/>
    </row>
    <row r="4148" spans="11:12">
      <c r="K4148" s="851"/>
      <c r="L4148" s="851"/>
    </row>
    <row r="4149" spans="11:12">
      <c r="K4149" s="851"/>
      <c r="L4149" s="851"/>
    </row>
    <row r="4150" spans="11:12">
      <c r="K4150" s="851"/>
      <c r="L4150" s="851"/>
    </row>
    <row r="4151" spans="11:12">
      <c r="K4151" s="851"/>
      <c r="L4151" s="851"/>
    </row>
    <row r="4152" spans="11:12">
      <c r="K4152" s="851"/>
      <c r="L4152" s="851"/>
    </row>
    <row r="4153" spans="11:12">
      <c r="K4153" s="851"/>
      <c r="L4153" s="851"/>
    </row>
    <row r="4154" spans="11:12">
      <c r="K4154" s="851"/>
      <c r="L4154" s="851"/>
    </row>
    <row r="4155" spans="11:12">
      <c r="K4155" s="851"/>
      <c r="L4155" s="851"/>
    </row>
    <row r="4156" spans="11:12">
      <c r="K4156" s="851"/>
      <c r="L4156" s="851"/>
    </row>
    <row r="4157" spans="11:12">
      <c r="K4157" s="851"/>
      <c r="L4157" s="851"/>
    </row>
    <row r="4158" spans="11:12">
      <c r="K4158" s="851"/>
      <c r="L4158" s="851"/>
    </row>
    <row r="4159" spans="11:12">
      <c r="K4159" s="851"/>
      <c r="L4159" s="851"/>
    </row>
    <row r="4160" spans="11:12">
      <c r="K4160" s="851"/>
      <c r="L4160" s="851"/>
    </row>
    <row r="4161" spans="11:12">
      <c r="K4161" s="851"/>
      <c r="L4161" s="851"/>
    </row>
    <row r="4162" spans="11:12">
      <c r="K4162" s="851"/>
      <c r="L4162" s="851"/>
    </row>
    <row r="4163" spans="11:12">
      <c r="K4163" s="851"/>
      <c r="L4163" s="851"/>
    </row>
    <row r="4164" spans="11:12">
      <c r="K4164" s="851"/>
      <c r="L4164" s="851"/>
    </row>
    <row r="4165" spans="11:12">
      <c r="K4165" s="851"/>
      <c r="L4165" s="851"/>
    </row>
    <row r="4166" spans="11:12">
      <c r="K4166" s="851"/>
      <c r="L4166" s="851"/>
    </row>
    <row r="4167" spans="11:12">
      <c r="K4167" s="851"/>
      <c r="L4167" s="851"/>
    </row>
    <row r="4168" spans="11:12">
      <c r="K4168" s="851"/>
      <c r="L4168" s="851"/>
    </row>
    <row r="4169" spans="11:12">
      <c r="K4169" s="851"/>
      <c r="L4169" s="851"/>
    </row>
    <row r="4170" spans="11:12">
      <c r="K4170" s="851"/>
      <c r="L4170" s="851"/>
    </row>
    <row r="4171" spans="11:12">
      <c r="K4171" s="851"/>
      <c r="L4171" s="851"/>
    </row>
    <row r="4172" spans="11:12">
      <c r="K4172" s="851"/>
      <c r="L4172" s="851"/>
    </row>
    <row r="4173" spans="11:12">
      <c r="K4173" s="851"/>
      <c r="L4173" s="851"/>
    </row>
    <row r="4174" spans="11:12">
      <c r="K4174" s="851"/>
      <c r="L4174" s="851"/>
    </row>
    <row r="4175" spans="11:12">
      <c r="K4175" s="851"/>
      <c r="L4175" s="851"/>
    </row>
    <row r="4176" spans="11:12">
      <c r="K4176" s="851"/>
      <c r="L4176" s="851"/>
    </row>
    <row r="4177" spans="11:12">
      <c r="K4177" s="851"/>
      <c r="L4177" s="851"/>
    </row>
    <row r="4178" spans="11:12">
      <c r="K4178" s="851"/>
      <c r="L4178" s="851"/>
    </row>
    <row r="4179" spans="11:12">
      <c r="K4179" s="851"/>
      <c r="L4179" s="851"/>
    </row>
    <row r="4180" spans="11:12">
      <c r="K4180" s="851"/>
      <c r="L4180" s="851"/>
    </row>
    <row r="4181" spans="11:12">
      <c r="K4181" s="851"/>
      <c r="L4181" s="851"/>
    </row>
    <row r="4182" spans="11:12">
      <c r="K4182" s="851"/>
      <c r="L4182" s="851"/>
    </row>
    <row r="4183" spans="11:12">
      <c r="K4183" s="851"/>
      <c r="L4183" s="851"/>
    </row>
    <row r="4184" spans="11:12">
      <c r="K4184" s="851"/>
      <c r="L4184" s="851"/>
    </row>
    <row r="4185" spans="11:12">
      <c r="K4185" s="851"/>
      <c r="L4185" s="851"/>
    </row>
    <row r="4186" spans="11:12">
      <c r="K4186" s="851"/>
      <c r="L4186" s="851"/>
    </row>
    <row r="4187" spans="11:12">
      <c r="K4187" s="851"/>
      <c r="L4187" s="851"/>
    </row>
    <row r="4188" spans="11:12">
      <c r="K4188" s="851"/>
      <c r="L4188" s="851"/>
    </row>
    <row r="4189" spans="11:12">
      <c r="K4189" s="851"/>
      <c r="L4189" s="851"/>
    </row>
    <row r="4190" spans="11:12">
      <c r="K4190" s="851"/>
      <c r="L4190" s="851"/>
    </row>
    <row r="4191" spans="11:12">
      <c r="K4191" s="851"/>
      <c r="L4191" s="851"/>
    </row>
    <row r="4192" spans="11:12">
      <c r="K4192" s="851"/>
      <c r="L4192" s="851"/>
    </row>
    <row r="4193" spans="11:12">
      <c r="K4193" s="851"/>
      <c r="L4193" s="851"/>
    </row>
    <row r="4194" spans="11:12">
      <c r="K4194" s="851"/>
      <c r="L4194" s="851"/>
    </row>
    <row r="4195" spans="11:12">
      <c r="K4195" s="851"/>
      <c r="L4195" s="851"/>
    </row>
    <row r="4196" spans="11:12">
      <c r="K4196" s="851"/>
      <c r="L4196" s="851"/>
    </row>
    <row r="4197" spans="11:12">
      <c r="K4197" s="851"/>
      <c r="L4197" s="851"/>
    </row>
    <row r="4198" spans="11:12">
      <c r="K4198" s="851"/>
      <c r="L4198" s="851"/>
    </row>
    <row r="4199" spans="11:12">
      <c r="K4199" s="851"/>
      <c r="L4199" s="851"/>
    </row>
    <row r="4200" spans="11:12">
      <c r="K4200" s="851"/>
      <c r="L4200" s="851"/>
    </row>
    <row r="4201" spans="11:12">
      <c r="K4201" s="851"/>
      <c r="L4201" s="851"/>
    </row>
    <row r="4202" spans="11:12">
      <c r="K4202" s="851"/>
      <c r="L4202" s="851"/>
    </row>
    <row r="4203" spans="11:12">
      <c r="K4203" s="851"/>
      <c r="L4203" s="851"/>
    </row>
    <row r="4204" spans="11:12">
      <c r="K4204" s="851"/>
      <c r="L4204" s="851"/>
    </row>
    <row r="4205" spans="11:12">
      <c r="K4205" s="851"/>
      <c r="L4205" s="851"/>
    </row>
    <row r="4206" spans="11:12">
      <c r="K4206" s="851"/>
      <c r="L4206" s="851"/>
    </row>
    <row r="4207" spans="11:12">
      <c r="K4207" s="851"/>
      <c r="L4207" s="851"/>
    </row>
    <row r="4208" spans="11:12">
      <c r="K4208" s="851"/>
      <c r="L4208" s="851"/>
    </row>
    <row r="4209" spans="11:12">
      <c r="K4209" s="851"/>
      <c r="L4209" s="851"/>
    </row>
    <row r="4210" spans="11:12">
      <c r="K4210" s="851"/>
      <c r="L4210" s="851"/>
    </row>
    <row r="4211" spans="11:12">
      <c r="K4211" s="851"/>
      <c r="L4211" s="851"/>
    </row>
    <row r="4212" spans="11:12">
      <c r="K4212" s="851"/>
      <c r="L4212" s="851"/>
    </row>
    <row r="4213" spans="11:12">
      <c r="K4213" s="851"/>
      <c r="L4213" s="851"/>
    </row>
    <row r="4214" spans="11:12">
      <c r="K4214" s="851"/>
      <c r="L4214" s="851"/>
    </row>
    <row r="4215" spans="11:12">
      <c r="K4215" s="851"/>
      <c r="L4215" s="851"/>
    </row>
    <row r="4216" spans="11:12">
      <c r="K4216" s="851"/>
      <c r="L4216" s="851"/>
    </row>
    <row r="4217" spans="11:12">
      <c r="K4217" s="851"/>
      <c r="L4217" s="851"/>
    </row>
    <row r="4218" spans="11:12">
      <c r="K4218" s="851"/>
      <c r="L4218" s="851"/>
    </row>
    <row r="4219" spans="11:12">
      <c r="K4219" s="851"/>
      <c r="L4219" s="851"/>
    </row>
    <row r="4220" spans="11:12">
      <c r="K4220" s="851"/>
      <c r="L4220" s="851"/>
    </row>
    <row r="4221" spans="11:12">
      <c r="K4221" s="851"/>
      <c r="L4221" s="851"/>
    </row>
    <row r="4222" spans="11:12">
      <c r="K4222" s="851"/>
      <c r="L4222" s="851"/>
    </row>
    <row r="4223" spans="11:12">
      <c r="K4223" s="851"/>
      <c r="L4223" s="851"/>
    </row>
    <row r="4224" spans="11:12">
      <c r="K4224" s="851"/>
      <c r="L4224" s="851"/>
    </row>
    <row r="4225" spans="11:12">
      <c r="K4225" s="851"/>
      <c r="L4225" s="851"/>
    </row>
    <row r="4226" spans="11:12">
      <c r="K4226" s="851"/>
      <c r="L4226" s="851"/>
    </row>
    <row r="4227" spans="11:12">
      <c r="K4227" s="851"/>
      <c r="L4227" s="851"/>
    </row>
    <row r="4228" spans="11:12">
      <c r="K4228" s="851"/>
      <c r="L4228" s="851"/>
    </row>
    <row r="4229" spans="11:12">
      <c r="K4229" s="851"/>
      <c r="L4229" s="851"/>
    </row>
    <row r="4230" spans="11:12">
      <c r="K4230" s="851"/>
      <c r="L4230" s="851"/>
    </row>
    <row r="4231" spans="11:12">
      <c r="K4231" s="851"/>
      <c r="L4231" s="851"/>
    </row>
    <row r="4232" spans="11:12">
      <c r="K4232" s="851"/>
      <c r="L4232" s="851"/>
    </row>
    <row r="4233" spans="11:12">
      <c r="K4233" s="851"/>
      <c r="L4233" s="851"/>
    </row>
    <row r="4234" spans="11:12">
      <c r="K4234" s="851"/>
      <c r="L4234" s="851"/>
    </row>
    <row r="4235" spans="11:12">
      <c r="K4235" s="851"/>
      <c r="L4235" s="851"/>
    </row>
    <row r="4236" spans="11:12">
      <c r="K4236" s="851"/>
      <c r="L4236" s="851"/>
    </row>
    <row r="4237" spans="11:12">
      <c r="K4237" s="851"/>
      <c r="L4237" s="851"/>
    </row>
    <row r="4238" spans="11:12">
      <c r="K4238" s="851"/>
      <c r="L4238" s="851"/>
    </row>
    <row r="4239" spans="11:12">
      <c r="K4239" s="851"/>
      <c r="L4239" s="851"/>
    </row>
    <row r="4240" spans="11:12">
      <c r="K4240" s="851"/>
      <c r="L4240" s="851"/>
    </row>
    <row r="4241" spans="11:12">
      <c r="K4241" s="851"/>
      <c r="L4241" s="851"/>
    </row>
    <row r="4242" spans="11:12">
      <c r="K4242" s="851"/>
      <c r="L4242" s="851"/>
    </row>
    <row r="4243" spans="11:12">
      <c r="K4243" s="851"/>
      <c r="L4243" s="851"/>
    </row>
    <row r="4244" spans="11:12">
      <c r="K4244" s="851"/>
      <c r="L4244" s="851"/>
    </row>
    <row r="4245" spans="11:12">
      <c r="K4245" s="851"/>
      <c r="L4245" s="851"/>
    </row>
    <row r="4246" spans="11:12">
      <c r="K4246" s="851"/>
      <c r="L4246" s="851"/>
    </row>
    <row r="4247" spans="11:12">
      <c r="K4247" s="851"/>
      <c r="L4247" s="851"/>
    </row>
    <row r="4248" spans="11:12">
      <c r="K4248" s="851"/>
      <c r="L4248" s="851"/>
    </row>
    <row r="4249" spans="11:12">
      <c r="K4249" s="851"/>
      <c r="L4249" s="851"/>
    </row>
    <row r="4250" spans="11:12">
      <c r="K4250" s="851"/>
      <c r="L4250" s="851"/>
    </row>
    <row r="4251" spans="11:12">
      <c r="K4251" s="851"/>
      <c r="L4251" s="851"/>
    </row>
    <row r="4252" spans="11:12">
      <c r="K4252" s="851"/>
      <c r="L4252" s="851"/>
    </row>
    <row r="4253" spans="11:12">
      <c r="K4253" s="851"/>
      <c r="L4253" s="851"/>
    </row>
    <row r="4254" spans="11:12">
      <c r="K4254" s="851"/>
      <c r="L4254" s="851"/>
    </row>
    <row r="4255" spans="11:12">
      <c r="K4255" s="851"/>
      <c r="L4255" s="851"/>
    </row>
    <row r="4256" spans="11:12">
      <c r="K4256" s="851"/>
      <c r="L4256" s="851"/>
    </row>
    <row r="4257" spans="11:12">
      <c r="K4257" s="851"/>
      <c r="L4257" s="851"/>
    </row>
    <row r="4258" spans="11:12">
      <c r="K4258" s="851"/>
      <c r="L4258" s="851"/>
    </row>
    <row r="4259" spans="11:12">
      <c r="K4259" s="851"/>
      <c r="L4259" s="851"/>
    </row>
    <row r="4260" spans="11:12">
      <c r="K4260" s="851"/>
      <c r="L4260" s="851"/>
    </row>
    <row r="4261" spans="11:12">
      <c r="K4261" s="851"/>
      <c r="L4261" s="851"/>
    </row>
    <row r="4262" spans="11:12">
      <c r="K4262" s="851"/>
      <c r="L4262" s="851"/>
    </row>
    <row r="4263" spans="11:12">
      <c r="K4263" s="851"/>
      <c r="L4263" s="851"/>
    </row>
    <row r="4264" spans="11:12">
      <c r="K4264" s="851"/>
      <c r="L4264" s="851"/>
    </row>
    <row r="4265" spans="11:12">
      <c r="K4265" s="851"/>
      <c r="L4265" s="851"/>
    </row>
    <row r="4266" spans="11:12">
      <c r="K4266" s="851"/>
      <c r="L4266" s="851"/>
    </row>
    <row r="4267" spans="11:12">
      <c r="K4267" s="851"/>
      <c r="L4267" s="851"/>
    </row>
    <row r="4268" spans="11:12">
      <c r="K4268" s="851"/>
      <c r="L4268" s="851"/>
    </row>
    <row r="4269" spans="11:12">
      <c r="K4269" s="851"/>
      <c r="L4269" s="851"/>
    </row>
    <row r="4270" spans="11:12">
      <c r="K4270" s="851"/>
      <c r="L4270" s="851"/>
    </row>
    <row r="4271" spans="11:12">
      <c r="K4271" s="851"/>
      <c r="L4271" s="851"/>
    </row>
    <row r="4272" spans="11:12">
      <c r="K4272" s="851"/>
      <c r="L4272" s="851"/>
    </row>
    <row r="4273" spans="11:12">
      <c r="K4273" s="851"/>
      <c r="L4273" s="851"/>
    </row>
    <row r="4274" spans="11:12">
      <c r="K4274" s="851"/>
      <c r="L4274" s="851"/>
    </row>
    <row r="4275" spans="11:12">
      <c r="K4275" s="851"/>
      <c r="L4275" s="851"/>
    </row>
    <row r="4276" spans="11:12">
      <c r="K4276" s="851"/>
      <c r="L4276" s="851"/>
    </row>
    <row r="4277" spans="11:12">
      <c r="K4277" s="851"/>
      <c r="L4277" s="851"/>
    </row>
    <row r="4278" spans="11:12">
      <c r="K4278" s="851"/>
      <c r="L4278" s="851"/>
    </row>
    <row r="4279" spans="11:12">
      <c r="K4279" s="851"/>
      <c r="L4279" s="851"/>
    </row>
    <row r="4280" spans="11:12">
      <c r="K4280" s="851"/>
      <c r="L4280" s="851"/>
    </row>
    <row r="4281" spans="11:12">
      <c r="K4281" s="851"/>
      <c r="L4281" s="851"/>
    </row>
    <row r="4282" spans="11:12">
      <c r="K4282" s="851"/>
      <c r="L4282" s="851"/>
    </row>
    <row r="4283" spans="11:12">
      <c r="K4283" s="851"/>
      <c r="L4283" s="851"/>
    </row>
    <row r="4284" spans="11:12">
      <c r="K4284" s="851"/>
      <c r="L4284" s="851"/>
    </row>
    <row r="4285" spans="11:12">
      <c r="K4285" s="851"/>
      <c r="L4285" s="851"/>
    </row>
    <row r="4286" spans="11:12">
      <c r="K4286" s="851"/>
      <c r="L4286" s="851"/>
    </row>
    <row r="4287" spans="11:12">
      <c r="K4287" s="851"/>
      <c r="L4287" s="851"/>
    </row>
    <row r="4288" spans="11:12">
      <c r="K4288" s="851"/>
      <c r="L4288" s="851"/>
    </row>
    <row r="4289" spans="11:12">
      <c r="K4289" s="851"/>
      <c r="L4289" s="851"/>
    </row>
    <row r="4290" spans="11:12">
      <c r="K4290" s="851"/>
      <c r="L4290" s="851"/>
    </row>
    <row r="4291" spans="11:12">
      <c r="K4291" s="851"/>
      <c r="L4291" s="851"/>
    </row>
    <row r="4292" spans="11:12">
      <c r="K4292" s="851"/>
      <c r="L4292" s="851"/>
    </row>
    <row r="4293" spans="11:12">
      <c r="K4293" s="851"/>
      <c r="L4293" s="851"/>
    </row>
    <row r="4294" spans="11:12">
      <c r="K4294" s="851"/>
      <c r="L4294" s="851"/>
    </row>
    <row r="4295" spans="11:12">
      <c r="K4295" s="851"/>
      <c r="L4295" s="851"/>
    </row>
    <row r="4296" spans="11:12">
      <c r="K4296" s="851"/>
      <c r="L4296" s="851"/>
    </row>
    <row r="4297" spans="11:12">
      <c r="K4297" s="851"/>
      <c r="L4297" s="851"/>
    </row>
    <row r="4298" spans="11:12">
      <c r="K4298" s="851"/>
      <c r="L4298" s="851"/>
    </row>
    <row r="4299" spans="11:12">
      <c r="K4299" s="851"/>
      <c r="L4299" s="851"/>
    </row>
    <row r="4300" spans="11:12">
      <c r="K4300" s="851"/>
      <c r="L4300" s="851"/>
    </row>
    <row r="4301" spans="11:12">
      <c r="K4301" s="851"/>
      <c r="L4301" s="851"/>
    </row>
    <row r="4302" spans="11:12">
      <c r="K4302" s="851"/>
      <c r="L4302" s="851"/>
    </row>
    <row r="4303" spans="11:12">
      <c r="K4303" s="851"/>
      <c r="L4303" s="851"/>
    </row>
    <row r="4304" spans="11:12">
      <c r="K4304" s="851"/>
      <c r="L4304" s="851"/>
    </row>
    <row r="4305" spans="11:12">
      <c r="K4305" s="851"/>
      <c r="L4305" s="851"/>
    </row>
    <row r="4306" spans="11:12">
      <c r="K4306" s="851"/>
      <c r="L4306" s="851"/>
    </row>
    <row r="4307" spans="11:12">
      <c r="K4307" s="851"/>
      <c r="L4307" s="851"/>
    </row>
    <row r="4308" spans="11:12">
      <c r="K4308" s="851"/>
      <c r="L4308" s="851"/>
    </row>
    <row r="4309" spans="11:12">
      <c r="K4309" s="851"/>
      <c r="L4309" s="851"/>
    </row>
    <row r="4310" spans="11:12">
      <c r="K4310" s="851"/>
      <c r="L4310" s="851"/>
    </row>
    <row r="4311" spans="11:12">
      <c r="K4311" s="851"/>
      <c r="L4311" s="851"/>
    </row>
    <row r="4312" spans="11:12">
      <c r="K4312" s="851"/>
      <c r="L4312" s="851"/>
    </row>
    <row r="4313" spans="11:12">
      <c r="K4313" s="851"/>
      <c r="L4313" s="851"/>
    </row>
    <row r="4314" spans="11:12">
      <c r="K4314" s="851"/>
      <c r="L4314" s="851"/>
    </row>
    <row r="4315" spans="11:12">
      <c r="K4315" s="851"/>
      <c r="L4315" s="851"/>
    </row>
    <row r="4316" spans="11:12">
      <c r="K4316" s="851"/>
      <c r="L4316" s="851"/>
    </row>
    <row r="4317" spans="11:12">
      <c r="K4317" s="851"/>
      <c r="L4317" s="851"/>
    </row>
    <row r="4318" spans="11:12">
      <c r="K4318" s="851"/>
      <c r="L4318" s="851"/>
    </row>
    <row r="4319" spans="11:12">
      <c r="K4319" s="851"/>
      <c r="L4319" s="851"/>
    </row>
    <row r="4320" spans="11:12">
      <c r="K4320" s="851"/>
      <c r="L4320" s="851"/>
    </row>
    <row r="4321" spans="11:12">
      <c r="K4321" s="851"/>
      <c r="L4321" s="851"/>
    </row>
    <row r="4322" spans="11:12">
      <c r="K4322" s="851"/>
      <c r="L4322" s="851"/>
    </row>
    <row r="4323" spans="11:12">
      <c r="K4323" s="851"/>
      <c r="L4323" s="851"/>
    </row>
    <row r="4324" spans="11:12">
      <c r="K4324" s="851"/>
      <c r="L4324" s="851"/>
    </row>
    <row r="4325" spans="11:12">
      <c r="K4325" s="851"/>
      <c r="L4325" s="851"/>
    </row>
    <row r="4326" spans="11:12">
      <c r="K4326" s="851"/>
      <c r="L4326" s="851"/>
    </row>
    <row r="4327" spans="11:12">
      <c r="K4327" s="851"/>
      <c r="L4327" s="851"/>
    </row>
    <row r="4328" spans="11:12">
      <c r="K4328" s="851"/>
      <c r="L4328" s="851"/>
    </row>
    <row r="4329" spans="11:12">
      <c r="K4329" s="851"/>
      <c r="L4329" s="851"/>
    </row>
    <row r="4330" spans="11:12">
      <c r="K4330" s="851"/>
      <c r="L4330" s="851"/>
    </row>
    <row r="4331" spans="11:12">
      <c r="K4331" s="851"/>
      <c r="L4331" s="851"/>
    </row>
    <row r="4332" spans="11:12">
      <c r="K4332" s="851"/>
      <c r="L4332" s="851"/>
    </row>
    <row r="4333" spans="11:12">
      <c r="K4333" s="851"/>
      <c r="L4333" s="851"/>
    </row>
    <row r="4334" spans="11:12">
      <c r="K4334" s="851"/>
      <c r="L4334" s="851"/>
    </row>
    <row r="4335" spans="11:12">
      <c r="K4335" s="851"/>
      <c r="L4335" s="851"/>
    </row>
    <row r="4336" spans="11:12">
      <c r="K4336" s="851"/>
      <c r="L4336" s="851"/>
    </row>
    <row r="4337" spans="11:12">
      <c r="K4337" s="851"/>
      <c r="L4337" s="851"/>
    </row>
    <row r="4338" spans="11:12">
      <c r="K4338" s="851"/>
      <c r="L4338" s="851"/>
    </row>
    <row r="4339" spans="11:12">
      <c r="K4339" s="851"/>
      <c r="L4339" s="851"/>
    </row>
    <row r="4340" spans="11:12">
      <c r="K4340" s="851"/>
      <c r="L4340" s="851"/>
    </row>
    <row r="4341" spans="11:12">
      <c r="K4341" s="851"/>
      <c r="L4341" s="851"/>
    </row>
    <row r="4342" spans="11:12">
      <c r="K4342" s="851"/>
      <c r="L4342" s="851"/>
    </row>
    <row r="4343" spans="11:12">
      <c r="K4343" s="851"/>
      <c r="L4343" s="851"/>
    </row>
    <row r="4344" spans="11:12">
      <c r="K4344" s="851"/>
      <c r="L4344" s="851"/>
    </row>
    <row r="4345" spans="11:12">
      <c r="K4345" s="851"/>
      <c r="L4345" s="851"/>
    </row>
    <row r="4346" spans="11:12">
      <c r="K4346" s="851"/>
      <c r="L4346" s="851"/>
    </row>
    <row r="4347" spans="11:12">
      <c r="K4347" s="851"/>
      <c r="L4347" s="851"/>
    </row>
    <row r="4348" spans="11:12">
      <c r="K4348" s="851"/>
      <c r="L4348" s="851"/>
    </row>
    <row r="4349" spans="11:12">
      <c r="K4349" s="851"/>
      <c r="L4349" s="851"/>
    </row>
    <row r="4350" spans="11:12">
      <c r="K4350" s="851"/>
      <c r="L4350" s="851"/>
    </row>
    <row r="4351" spans="11:12">
      <c r="K4351" s="851"/>
      <c r="L4351" s="851"/>
    </row>
    <row r="4352" spans="11:12">
      <c r="K4352" s="851"/>
      <c r="L4352" s="851"/>
    </row>
    <row r="4353" spans="11:12">
      <c r="K4353" s="851"/>
      <c r="L4353" s="851"/>
    </row>
    <row r="4354" spans="11:12">
      <c r="K4354" s="851"/>
      <c r="L4354" s="851"/>
    </row>
    <row r="4355" spans="11:12">
      <c r="K4355" s="851"/>
      <c r="L4355" s="851"/>
    </row>
    <row r="4356" spans="11:12">
      <c r="K4356" s="851"/>
      <c r="L4356" s="851"/>
    </row>
    <row r="4357" spans="11:12">
      <c r="K4357" s="851"/>
      <c r="L4357" s="851"/>
    </row>
    <row r="4358" spans="11:12">
      <c r="K4358" s="851"/>
      <c r="L4358" s="851"/>
    </row>
    <row r="4359" spans="11:12">
      <c r="K4359" s="851"/>
      <c r="L4359" s="851"/>
    </row>
    <row r="4360" spans="11:12">
      <c r="K4360" s="851"/>
      <c r="L4360" s="851"/>
    </row>
    <row r="4361" spans="11:12">
      <c r="K4361" s="851"/>
      <c r="L4361" s="851"/>
    </row>
    <row r="4362" spans="11:12">
      <c r="K4362" s="851"/>
      <c r="L4362" s="851"/>
    </row>
    <row r="4363" spans="11:12">
      <c r="K4363" s="851"/>
      <c r="L4363" s="851"/>
    </row>
    <row r="4364" spans="11:12">
      <c r="K4364" s="851"/>
      <c r="L4364" s="851"/>
    </row>
    <row r="4365" spans="11:12">
      <c r="K4365" s="851"/>
      <c r="L4365" s="851"/>
    </row>
    <row r="4366" spans="11:12">
      <c r="K4366" s="851"/>
      <c r="L4366" s="851"/>
    </row>
    <row r="4367" spans="11:12">
      <c r="K4367" s="851"/>
      <c r="L4367" s="851"/>
    </row>
    <row r="4368" spans="11:12">
      <c r="K4368" s="851"/>
      <c r="L4368" s="851"/>
    </row>
    <row r="4369" spans="11:12">
      <c r="K4369" s="851"/>
      <c r="L4369" s="851"/>
    </row>
    <row r="4370" spans="11:12">
      <c r="K4370" s="851"/>
      <c r="L4370" s="851"/>
    </row>
    <row r="4371" spans="11:12">
      <c r="K4371" s="851"/>
      <c r="L4371" s="851"/>
    </row>
    <row r="4372" spans="11:12">
      <c r="K4372" s="851"/>
      <c r="L4372" s="851"/>
    </row>
    <row r="4373" spans="11:12">
      <c r="K4373" s="851"/>
      <c r="L4373" s="851"/>
    </row>
    <row r="4374" spans="11:12">
      <c r="K4374" s="851"/>
      <c r="L4374" s="851"/>
    </row>
    <row r="4375" spans="11:12">
      <c r="K4375" s="851"/>
      <c r="L4375" s="851"/>
    </row>
    <row r="4376" spans="11:12">
      <c r="K4376" s="851"/>
      <c r="L4376" s="851"/>
    </row>
    <row r="4377" spans="11:12">
      <c r="K4377" s="851"/>
      <c r="L4377" s="851"/>
    </row>
    <row r="4378" spans="11:12">
      <c r="K4378" s="851"/>
      <c r="L4378" s="851"/>
    </row>
    <row r="4379" spans="11:12">
      <c r="K4379" s="851"/>
      <c r="L4379" s="851"/>
    </row>
    <row r="4380" spans="11:12">
      <c r="K4380" s="851"/>
      <c r="L4380" s="851"/>
    </row>
    <row r="4381" spans="11:12">
      <c r="K4381" s="851"/>
      <c r="L4381" s="851"/>
    </row>
    <row r="4382" spans="11:12">
      <c r="K4382" s="851"/>
      <c r="L4382" s="851"/>
    </row>
    <row r="4383" spans="11:12">
      <c r="K4383" s="851"/>
      <c r="L4383" s="851"/>
    </row>
    <row r="4384" spans="11:12">
      <c r="K4384" s="851"/>
      <c r="L4384" s="851"/>
    </row>
    <row r="4385" spans="11:12">
      <c r="K4385" s="851"/>
      <c r="L4385" s="851"/>
    </row>
    <row r="4386" spans="11:12">
      <c r="K4386" s="851"/>
      <c r="L4386" s="851"/>
    </row>
    <row r="4387" spans="11:12">
      <c r="K4387" s="851"/>
      <c r="L4387" s="851"/>
    </row>
    <row r="4388" spans="11:12">
      <c r="K4388" s="851"/>
      <c r="L4388" s="851"/>
    </row>
    <row r="4389" spans="11:12">
      <c r="K4389" s="851"/>
      <c r="L4389" s="851"/>
    </row>
    <row r="4390" spans="11:12">
      <c r="K4390" s="851"/>
      <c r="L4390" s="851"/>
    </row>
    <row r="4391" spans="11:12">
      <c r="K4391" s="851"/>
      <c r="L4391" s="851"/>
    </row>
    <row r="4392" spans="11:12">
      <c r="K4392" s="851"/>
      <c r="L4392" s="851"/>
    </row>
    <row r="4393" spans="11:12">
      <c r="K4393" s="851"/>
      <c r="L4393" s="851"/>
    </row>
    <row r="4394" spans="11:12">
      <c r="K4394" s="851"/>
      <c r="L4394" s="851"/>
    </row>
    <row r="4395" spans="11:12">
      <c r="K4395" s="851"/>
      <c r="L4395" s="851"/>
    </row>
    <row r="4396" spans="11:12">
      <c r="K4396" s="851"/>
      <c r="L4396" s="851"/>
    </row>
    <row r="4397" spans="11:12">
      <c r="K4397" s="851"/>
      <c r="L4397" s="851"/>
    </row>
    <row r="4398" spans="11:12">
      <c r="K4398" s="851"/>
      <c r="L4398" s="851"/>
    </row>
    <row r="4399" spans="11:12">
      <c r="K4399" s="851"/>
      <c r="L4399" s="851"/>
    </row>
    <row r="4400" spans="11:12">
      <c r="K4400" s="851"/>
      <c r="L4400" s="851"/>
    </row>
    <row r="4401" spans="11:12">
      <c r="K4401" s="851"/>
      <c r="L4401" s="851"/>
    </row>
    <row r="4402" spans="11:12">
      <c r="K4402" s="851"/>
      <c r="L4402" s="851"/>
    </row>
    <row r="4403" spans="11:12">
      <c r="K4403" s="851"/>
      <c r="L4403" s="851"/>
    </row>
    <row r="4404" spans="11:12">
      <c r="K4404" s="851"/>
      <c r="L4404" s="851"/>
    </row>
    <row r="4405" spans="11:12">
      <c r="K4405" s="851"/>
      <c r="L4405" s="851"/>
    </row>
    <row r="4406" spans="11:12">
      <c r="K4406" s="851"/>
      <c r="L4406" s="851"/>
    </row>
    <row r="4407" spans="11:12">
      <c r="K4407" s="851"/>
      <c r="L4407" s="851"/>
    </row>
    <row r="4408" spans="11:12">
      <c r="K4408" s="851"/>
      <c r="L4408" s="851"/>
    </row>
    <row r="4409" spans="11:12">
      <c r="K4409" s="851"/>
      <c r="L4409" s="851"/>
    </row>
    <row r="4410" spans="11:12">
      <c r="K4410" s="851"/>
      <c r="L4410" s="851"/>
    </row>
    <row r="4411" spans="11:12">
      <c r="K4411" s="851"/>
      <c r="L4411" s="851"/>
    </row>
    <row r="4412" spans="11:12">
      <c r="K4412" s="851"/>
      <c r="L4412" s="851"/>
    </row>
    <row r="4413" spans="11:12">
      <c r="K4413" s="851"/>
      <c r="L4413" s="851"/>
    </row>
    <row r="4414" spans="11:12">
      <c r="K4414" s="851"/>
      <c r="L4414" s="851"/>
    </row>
    <row r="4415" spans="11:12">
      <c r="K4415" s="851"/>
      <c r="L4415" s="851"/>
    </row>
    <row r="4416" spans="11:12">
      <c r="K4416" s="851"/>
      <c r="L4416" s="851"/>
    </row>
    <row r="4417" spans="11:12">
      <c r="K4417" s="851"/>
      <c r="L4417" s="851"/>
    </row>
    <row r="4418" spans="11:12">
      <c r="K4418" s="851"/>
      <c r="L4418" s="851"/>
    </row>
    <row r="4419" spans="11:12">
      <c r="K4419" s="851"/>
      <c r="L4419" s="851"/>
    </row>
    <row r="4420" spans="11:12">
      <c r="K4420" s="851"/>
      <c r="L4420" s="851"/>
    </row>
    <row r="4421" spans="11:12">
      <c r="K4421" s="851"/>
      <c r="L4421" s="851"/>
    </row>
    <row r="4422" spans="11:12">
      <c r="K4422" s="851"/>
      <c r="L4422" s="851"/>
    </row>
    <row r="4423" spans="11:12">
      <c r="K4423" s="851"/>
      <c r="L4423" s="851"/>
    </row>
    <row r="4424" spans="11:12">
      <c r="K4424" s="851"/>
      <c r="L4424" s="851"/>
    </row>
    <row r="4425" spans="11:12">
      <c r="K4425" s="851"/>
      <c r="L4425" s="851"/>
    </row>
    <row r="4426" spans="11:12">
      <c r="K4426" s="851"/>
      <c r="L4426" s="851"/>
    </row>
    <row r="4427" spans="11:12">
      <c r="K4427" s="851"/>
      <c r="L4427" s="851"/>
    </row>
    <row r="4428" spans="11:12">
      <c r="K4428" s="851"/>
      <c r="L4428" s="851"/>
    </row>
    <row r="4429" spans="11:12">
      <c r="K4429" s="851"/>
      <c r="L4429" s="851"/>
    </row>
    <row r="4430" spans="11:12">
      <c r="K4430" s="851"/>
      <c r="L4430" s="851"/>
    </row>
    <row r="4431" spans="11:12">
      <c r="K4431" s="851"/>
      <c r="L4431" s="851"/>
    </row>
    <row r="4432" spans="11:12">
      <c r="K4432" s="851"/>
      <c r="L4432" s="851"/>
    </row>
    <row r="4433" spans="11:12">
      <c r="K4433" s="851"/>
      <c r="L4433" s="851"/>
    </row>
    <row r="4434" spans="11:12">
      <c r="K4434" s="851"/>
      <c r="L4434" s="851"/>
    </row>
    <row r="4435" spans="11:12">
      <c r="K4435" s="851"/>
      <c r="L4435" s="851"/>
    </row>
    <row r="4436" spans="11:12">
      <c r="K4436" s="851"/>
      <c r="L4436" s="851"/>
    </row>
    <row r="4437" spans="11:12">
      <c r="K4437" s="851"/>
      <c r="L4437" s="851"/>
    </row>
    <row r="4438" spans="11:12">
      <c r="K4438" s="851"/>
      <c r="L4438" s="851"/>
    </row>
    <row r="4439" spans="11:12">
      <c r="K4439" s="851"/>
      <c r="L4439" s="851"/>
    </row>
    <row r="4440" spans="11:12">
      <c r="K4440" s="851"/>
      <c r="L4440" s="851"/>
    </row>
    <row r="4441" spans="11:12">
      <c r="K4441" s="851"/>
      <c r="L4441" s="851"/>
    </row>
    <row r="4442" spans="11:12">
      <c r="K4442" s="851"/>
      <c r="L4442" s="851"/>
    </row>
    <row r="4443" spans="11:12">
      <c r="K4443" s="851"/>
      <c r="L4443" s="851"/>
    </row>
    <row r="4444" spans="11:12">
      <c r="K4444" s="851"/>
      <c r="L4444" s="851"/>
    </row>
    <row r="4445" spans="11:12">
      <c r="K4445" s="851"/>
      <c r="L4445" s="851"/>
    </row>
    <row r="4446" spans="11:12">
      <c r="K4446" s="851"/>
      <c r="L4446" s="851"/>
    </row>
    <row r="4447" spans="11:12">
      <c r="K4447" s="851"/>
      <c r="L4447" s="851"/>
    </row>
    <row r="4448" spans="11:12">
      <c r="K4448" s="851"/>
      <c r="L4448" s="851"/>
    </row>
    <row r="4449" spans="11:12">
      <c r="K4449" s="851"/>
      <c r="L4449" s="851"/>
    </row>
    <row r="4450" spans="11:12">
      <c r="K4450" s="851"/>
      <c r="L4450" s="851"/>
    </row>
    <row r="4451" spans="11:12">
      <c r="K4451" s="851"/>
      <c r="L4451" s="851"/>
    </row>
    <row r="4452" spans="11:12">
      <c r="K4452" s="851"/>
      <c r="L4452" s="851"/>
    </row>
    <row r="4453" spans="11:12">
      <c r="K4453" s="851"/>
      <c r="L4453" s="851"/>
    </row>
    <row r="4454" spans="11:12">
      <c r="K4454" s="851"/>
      <c r="L4454" s="851"/>
    </row>
    <row r="4455" spans="11:12">
      <c r="K4455" s="851"/>
      <c r="L4455" s="851"/>
    </row>
    <row r="4456" spans="11:12">
      <c r="K4456" s="851"/>
      <c r="L4456" s="851"/>
    </row>
    <row r="4457" spans="11:12">
      <c r="K4457" s="851"/>
      <c r="L4457" s="851"/>
    </row>
    <row r="4458" spans="11:12">
      <c r="K4458" s="851"/>
      <c r="L4458" s="851"/>
    </row>
    <row r="4459" spans="11:12">
      <c r="K4459" s="851"/>
      <c r="L4459" s="851"/>
    </row>
    <row r="4460" spans="11:12">
      <c r="K4460" s="851"/>
      <c r="L4460" s="851"/>
    </row>
    <row r="4461" spans="11:12">
      <c r="K4461" s="851"/>
      <c r="L4461" s="851"/>
    </row>
    <row r="4462" spans="11:12">
      <c r="K4462" s="851"/>
      <c r="L4462" s="851"/>
    </row>
    <row r="4463" spans="11:12">
      <c r="K4463" s="851"/>
      <c r="L4463" s="851"/>
    </row>
    <row r="4464" spans="11:12">
      <c r="K4464" s="851"/>
      <c r="L4464" s="851"/>
    </row>
    <row r="4465" spans="11:12">
      <c r="K4465" s="851"/>
      <c r="L4465" s="851"/>
    </row>
    <row r="4466" spans="11:12">
      <c r="K4466" s="851"/>
      <c r="L4466" s="851"/>
    </row>
    <row r="4467" spans="11:12">
      <c r="K4467" s="851"/>
      <c r="L4467" s="851"/>
    </row>
    <row r="4468" spans="11:12">
      <c r="K4468" s="851"/>
      <c r="L4468" s="851"/>
    </row>
    <row r="4469" spans="11:12">
      <c r="K4469" s="851"/>
      <c r="L4469" s="851"/>
    </row>
    <row r="4470" spans="11:12">
      <c r="K4470" s="851"/>
      <c r="L4470" s="851"/>
    </row>
    <row r="4471" spans="11:12">
      <c r="K4471" s="851"/>
      <c r="L4471" s="851"/>
    </row>
    <row r="4472" spans="11:12">
      <c r="K4472" s="851"/>
      <c r="L4472" s="851"/>
    </row>
    <row r="4473" spans="11:12">
      <c r="K4473" s="851"/>
      <c r="L4473" s="851"/>
    </row>
    <row r="4474" spans="11:12">
      <c r="K4474" s="851"/>
      <c r="L4474" s="851"/>
    </row>
    <row r="4475" spans="11:12">
      <c r="K4475" s="851"/>
      <c r="L4475" s="851"/>
    </row>
    <row r="4476" spans="11:12">
      <c r="K4476" s="851"/>
      <c r="L4476" s="851"/>
    </row>
    <row r="4477" spans="11:12">
      <c r="K4477" s="851"/>
      <c r="L4477" s="851"/>
    </row>
    <row r="4478" spans="11:12">
      <c r="K4478" s="851"/>
      <c r="L4478" s="851"/>
    </row>
    <row r="4479" spans="11:12">
      <c r="K4479" s="851"/>
      <c r="L4479" s="851"/>
    </row>
    <row r="4480" spans="11:12">
      <c r="K4480" s="851"/>
      <c r="L4480" s="851"/>
    </row>
    <row r="4481" spans="11:12">
      <c r="K4481" s="851"/>
      <c r="L4481" s="851"/>
    </row>
    <row r="4482" spans="11:12">
      <c r="K4482" s="851"/>
      <c r="L4482" s="851"/>
    </row>
    <row r="4483" spans="11:12">
      <c r="K4483" s="851"/>
      <c r="L4483" s="851"/>
    </row>
    <row r="4484" spans="11:12">
      <c r="K4484" s="851"/>
      <c r="L4484" s="851"/>
    </row>
    <row r="4485" spans="11:12">
      <c r="K4485" s="851"/>
      <c r="L4485" s="851"/>
    </row>
    <row r="4486" spans="11:12">
      <c r="K4486" s="851"/>
      <c r="L4486" s="851"/>
    </row>
    <row r="4487" spans="11:12">
      <c r="K4487" s="851"/>
      <c r="L4487" s="851"/>
    </row>
    <row r="4488" spans="11:12">
      <c r="K4488" s="851"/>
      <c r="L4488" s="851"/>
    </row>
    <row r="4489" spans="11:12">
      <c r="K4489" s="851"/>
      <c r="L4489" s="851"/>
    </row>
    <row r="4490" spans="11:12">
      <c r="K4490" s="851"/>
      <c r="L4490" s="851"/>
    </row>
    <row r="4491" spans="11:12">
      <c r="K4491" s="851"/>
      <c r="L4491" s="851"/>
    </row>
    <row r="4492" spans="11:12">
      <c r="K4492" s="851"/>
      <c r="L4492" s="851"/>
    </row>
    <row r="4493" spans="11:12">
      <c r="K4493" s="851"/>
      <c r="L4493" s="851"/>
    </row>
    <row r="4494" spans="11:12">
      <c r="K4494" s="851"/>
      <c r="L4494" s="851"/>
    </row>
    <row r="4495" spans="11:12">
      <c r="K4495" s="851"/>
      <c r="L4495" s="851"/>
    </row>
    <row r="4496" spans="11:12">
      <c r="K4496" s="851"/>
      <c r="L4496" s="851"/>
    </row>
    <row r="4497" spans="11:12">
      <c r="K4497" s="851"/>
      <c r="L4497" s="851"/>
    </row>
    <row r="4498" spans="11:12">
      <c r="K4498" s="851"/>
      <c r="L4498" s="851"/>
    </row>
    <row r="4499" spans="11:12">
      <c r="K4499" s="851"/>
      <c r="L4499" s="851"/>
    </row>
    <row r="4500" spans="11:12">
      <c r="K4500" s="851"/>
      <c r="L4500" s="851"/>
    </row>
    <row r="4501" spans="11:12">
      <c r="K4501" s="851"/>
      <c r="L4501" s="851"/>
    </row>
    <row r="4502" spans="11:12">
      <c r="K4502" s="851"/>
      <c r="L4502" s="851"/>
    </row>
    <row r="4503" spans="11:12">
      <c r="K4503" s="851"/>
      <c r="L4503" s="851"/>
    </row>
    <row r="4504" spans="11:12">
      <c r="K4504" s="851"/>
      <c r="L4504" s="851"/>
    </row>
    <row r="4505" spans="11:12">
      <c r="K4505" s="851"/>
      <c r="L4505" s="851"/>
    </row>
    <row r="4506" spans="11:12">
      <c r="K4506" s="851"/>
      <c r="L4506" s="851"/>
    </row>
    <row r="4507" spans="11:12">
      <c r="K4507" s="851"/>
      <c r="L4507" s="851"/>
    </row>
    <row r="4508" spans="11:12">
      <c r="K4508" s="851"/>
      <c r="L4508" s="851"/>
    </row>
    <row r="4509" spans="11:12">
      <c r="K4509" s="851"/>
      <c r="L4509" s="851"/>
    </row>
    <row r="4510" spans="11:12">
      <c r="K4510" s="851"/>
      <c r="L4510" s="851"/>
    </row>
    <row r="4511" spans="11:12">
      <c r="K4511" s="851"/>
      <c r="L4511" s="851"/>
    </row>
    <row r="4512" spans="11:12">
      <c r="K4512" s="851"/>
      <c r="L4512" s="851"/>
    </row>
    <row r="4513" spans="11:12">
      <c r="K4513" s="851"/>
      <c r="L4513" s="851"/>
    </row>
    <row r="4514" spans="11:12">
      <c r="K4514" s="851"/>
      <c r="L4514" s="851"/>
    </row>
    <row r="4515" spans="11:12">
      <c r="K4515" s="851"/>
      <c r="L4515" s="851"/>
    </row>
    <row r="4516" spans="11:12">
      <c r="K4516" s="851"/>
      <c r="L4516" s="851"/>
    </row>
    <row r="4517" spans="11:12">
      <c r="K4517" s="851"/>
      <c r="L4517" s="851"/>
    </row>
    <row r="4518" spans="11:12">
      <c r="K4518" s="851"/>
      <c r="L4518" s="851"/>
    </row>
    <row r="4519" spans="11:12">
      <c r="K4519" s="851"/>
      <c r="L4519" s="851"/>
    </row>
    <row r="4520" spans="11:12">
      <c r="K4520" s="851"/>
      <c r="L4520" s="851"/>
    </row>
    <row r="4521" spans="11:12">
      <c r="K4521" s="851"/>
      <c r="L4521" s="851"/>
    </row>
    <row r="4522" spans="11:12">
      <c r="K4522" s="851"/>
      <c r="L4522" s="851"/>
    </row>
    <row r="4523" spans="11:12">
      <c r="K4523" s="851"/>
      <c r="L4523" s="851"/>
    </row>
    <row r="4524" spans="11:12">
      <c r="K4524" s="851"/>
      <c r="L4524" s="851"/>
    </row>
    <row r="4525" spans="11:12">
      <c r="K4525" s="851"/>
      <c r="L4525" s="851"/>
    </row>
    <row r="4526" spans="11:12">
      <c r="K4526" s="851"/>
      <c r="L4526" s="851"/>
    </row>
    <row r="4527" spans="11:12">
      <c r="K4527" s="851"/>
      <c r="L4527" s="851"/>
    </row>
    <row r="4528" spans="11:12">
      <c r="K4528" s="851"/>
      <c r="L4528" s="851"/>
    </row>
    <row r="4529" spans="11:12">
      <c r="K4529" s="851"/>
      <c r="L4529" s="851"/>
    </row>
    <row r="4530" spans="11:12">
      <c r="K4530" s="851"/>
      <c r="L4530" s="851"/>
    </row>
    <row r="4531" spans="11:12">
      <c r="K4531" s="851"/>
      <c r="L4531" s="851"/>
    </row>
    <row r="4532" spans="11:12">
      <c r="K4532" s="851"/>
      <c r="L4532" s="851"/>
    </row>
    <row r="4533" spans="11:12">
      <c r="K4533" s="851"/>
      <c r="L4533" s="851"/>
    </row>
    <row r="4534" spans="11:12">
      <c r="K4534" s="851"/>
      <c r="L4534" s="851"/>
    </row>
    <row r="4535" spans="11:12">
      <c r="K4535" s="851"/>
      <c r="L4535" s="851"/>
    </row>
    <row r="4536" spans="11:12">
      <c r="K4536" s="851"/>
      <c r="L4536" s="851"/>
    </row>
    <row r="4537" spans="11:12">
      <c r="K4537" s="851"/>
      <c r="L4537" s="851"/>
    </row>
    <row r="4538" spans="11:12">
      <c r="K4538" s="851"/>
      <c r="L4538" s="851"/>
    </row>
    <row r="4539" spans="11:12">
      <c r="K4539" s="851"/>
      <c r="L4539" s="851"/>
    </row>
    <row r="4540" spans="11:12">
      <c r="K4540" s="851"/>
      <c r="L4540" s="851"/>
    </row>
    <row r="4541" spans="11:12">
      <c r="K4541" s="851"/>
      <c r="L4541" s="851"/>
    </row>
    <row r="4542" spans="11:12">
      <c r="K4542" s="851"/>
      <c r="L4542" s="851"/>
    </row>
    <row r="4543" spans="11:12">
      <c r="K4543" s="851"/>
      <c r="L4543" s="851"/>
    </row>
    <row r="4544" spans="11:12">
      <c r="K4544" s="851"/>
      <c r="L4544" s="851"/>
    </row>
    <row r="4545" spans="11:12">
      <c r="K4545" s="851"/>
      <c r="L4545" s="851"/>
    </row>
    <row r="4546" spans="11:12">
      <c r="K4546" s="851"/>
      <c r="L4546" s="851"/>
    </row>
    <row r="4547" spans="11:12">
      <c r="K4547" s="851"/>
      <c r="L4547" s="851"/>
    </row>
    <row r="4548" spans="11:12">
      <c r="K4548" s="851"/>
      <c r="L4548" s="851"/>
    </row>
    <row r="4549" spans="11:12">
      <c r="K4549" s="851"/>
      <c r="L4549" s="851"/>
    </row>
    <row r="4550" spans="11:12">
      <c r="K4550" s="851"/>
      <c r="L4550" s="851"/>
    </row>
    <row r="4551" spans="11:12">
      <c r="K4551" s="851"/>
      <c r="L4551" s="851"/>
    </row>
    <row r="4552" spans="11:12">
      <c r="K4552" s="851"/>
      <c r="L4552" s="851"/>
    </row>
    <row r="4553" spans="11:12">
      <c r="K4553" s="851"/>
      <c r="L4553" s="851"/>
    </row>
    <row r="4554" spans="11:12">
      <c r="K4554" s="851"/>
      <c r="L4554" s="851"/>
    </row>
    <row r="4555" spans="11:12">
      <c r="K4555" s="851"/>
      <c r="L4555" s="851"/>
    </row>
    <row r="4556" spans="11:12">
      <c r="K4556" s="851"/>
      <c r="L4556" s="851"/>
    </row>
    <row r="4557" spans="11:12">
      <c r="K4557" s="851"/>
      <c r="L4557" s="851"/>
    </row>
    <row r="4558" spans="11:12">
      <c r="K4558" s="851"/>
      <c r="L4558" s="851"/>
    </row>
    <row r="4559" spans="11:12">
      <c r="K4559" s="851"/>
      <c r="L4559" s="851"/>
    </row>
    <row r="4560" spans="11:12">
      <c r="K4560" s="851"/>
      <c r="L4560" s="851"/>
    </row>
    <row r="4561" spans="11:12">
      <c r="K4561" s="851"/>
      <c r="L4561" s="851"/>
    </row>
    <row r="4562" spans="11:12">
      <c r="K4562" s="851"/>
      <c r="L4562" s="851"/>
    </row>
    <row r="4563" spans="11:12">
      <c r="K4563" s="851"/>
      <c r="L4563" s="851"/>
    </row>
    <row r="4564" spans="11:12">
      <c r="K4564" s="851"/>
      <c r="L4564" s="851"/>
    </row>
    <row r="4565" spans="11:12">
      <c r="K4565" s="851"/>
      <c r="L4565" s="851"/>
    </row>
    <row r="4566" spans="11:12">
      <c r="K4566" s="851"/>
      <c r="L4566" s="851"/>
    </row>
    <row r="4567" spans="11:12">
      <c r="K4567" s="851"/>
      <c r="L4567" s="851"/>
    </row>
    <row r="4568" spans="11:12">
      <c r="K4568" s="851"/>
      <c r="L4568" s="851"/>
    </row>
    <row r="4569" spans="11:12">
      <c r="K4569" s="851"/>
      <c r="L4569" s="851"/>
    </row>
    <row r="4570" spans="11:12">
      <c r="K4570" s="851"/>
      <c r="L4570" s="851"/>
    </row>
    <row r="4571" spans="11:12">
      <c r="K4571" s="851"/>
      <c r="L4571" s="851"/>
    </row>
    <row r="4572" spans="11:12">
      <c r="K4572" s="851"/>
      <c r="L4572" s="851"/>
    </row>
    <row r="4573" spans="11:12">
      <c r="K4573" s="851"/>
      <c r="L4573" s="851"/>
    </row>
    <row r="4574" spans="11:12">
      <c r="K4574" s="851"/>
      <c r="L4574" s="851"/>
    </row>
    <row r="4575" spans="11:12">
      <c r="K4575" s="851"/>
      <c r="L4575" s="851"/>
    </row>
    <row r="4576" spans="11:12">
      <c r="K4576" s="851"/>
      <c r="L4576" s="851"/>
    </row>
    <row r="4577" spans="11:12">
      <c r="K4577" s="851"/>
      <c r="L4577" s="851"/>
    </row>
    <row r="4578" spans="11:12">
      <c r="K4578" s="851"/>
      <c r="L4578" s="851"/>
    </row>
    <row r="4579" spans="11:12">
      <c r="K4579" s="851"/>
      <c r="L4579" s="851"/>
    </row>
    <row r="4580" spans="11:12">
      <c r="K4580" s="851"/>
      <c r="L4580" s="851"/>
    </row>
    <row r="4581" spans="11:12">
      <c r="K4581" s="851"/>
      <c r="L4581" s="851"/>
    </row>
    <row r="4582" spans="11:12">
      <c r="K4582" s="851"/>
      <c r="L4582" s="851"/>
    </row>
    <row r="4583" spans="11:12">
      <c r="K4583" s="851"/>
      <c r="L4583" s="851"/>
    </row>
    <row r="4584" spans="11:12">
      <c r="K4584" s="851"/>
      <c r="L4584" s="851"/>
    </row>
    <row r="4585" spans="11:12">
      <c r="K4585" s="851"/>
      <c r="L4585" s="851"/>
    </row>
    <row r="4586" spans="11:12">
      <c r="K4586" s="851"/>
      <c r="L4586" s="851"/>
    </row>
    <row r="4587" spans="11:12">
      <c r="K4587" s="851"/>
      <c r="L4587" s="851"/>
    </row>
    <row r="4588" spans="11:12">
      <c r="K4588" s="851"/>
      <c r="L4588" s="851"/>
    </row>
    <row r="4589" spans="11:12">
      <c r="K4589" s="851"/>
      <c r="L4589" s="851"/>
    </row>
    <row r="4590" spans="11:12">
      <c r="K4590" s="851"/>
      <c r="L4590" s="851"/>
    </row>
    <row r="4591" spans="11:12">
      <c r="K4591" s="851"/>
      <c r="L4591" s="851"/>
    </row>
    <row r="4592" spans="11:12">
      <c r="K4592" s="851"/>
      <c r="L4592" s="851"/>
    </row>
    <row r="4593" spans="11:12">
      <c r="K4593" s="851"/>
      <c r="L4593" s="851"/>
    </row>
    <row r="4594" spans="11:12">
      <c r="K4594" s="851"/>
      <c r="L4594" s="851"/>
    </row>
    <row r="4595" spans="11:12">
      <c r="K4595" s="851"/>
      <c r="L4595" s="851"/>
    </row>
    <row r="4596" spans="11:12">
      <c r="K4596" s="851"/>
      <c r="L4596" s="851"/>
    </row>
    <row r="4597" spans="11:12">
      <c r="K4597" s="851"/>
      <c r="L4597" s="851"/>
    </row>
    <row r="4598" spans="11:12">
      <c r="K4598" s="851"/>
      <c r="L4598" s="851"/>
    </row>
    <row r="4599" spans="11:12">
      <c r="K4599" s="851"/>
      <c r="L4599" s="851"/>
    </row>
    <row r="4600" spans="11:12">
      <c r="K4600" s="851"/>
      <c r="L4600" s="851"/>
    </row>
    <row r="4601" spans="11:12">
      <c r="K4601" s="851"/>
      <c r="L4601" s="851"/>
    </row>
    <row r="4602" spans="11:12">
      <c r="K4602" s="851"/>
      <c r="L4602" s="851"/>
    </row>
    <row r="4603" spans="11:12">
      <c r="K4603" s="851"/>
      <c r="L4603" s="851"/>
    </row>
    <row r="4604" spans="11:12">
      <c r="K4604" s="851"/>
      <c r="L4604" s="851"/>
    </row>
    <row r="4605" spans="11:12">
      <c r="K4605" s="851"/>
      <c r="L4605" s="851"/>
    </row>
    <row r="4606" spans="11:12">
      <c r="K4606" s="851"/>
      <c r="L4606" s="851"/>
    </row>
    <row r="4607" spans="11:12">
      <c r="K4607" s="851"/>
      <c r="L4607" s="851"/>
    </row>
    <row r="4608" spans="11:12">
      <c r="K4608" s="851"/>
      <c r="L4608" s="851"/>
    </row>
    <row r="4609" spans="11:12">
      <c r="K4609" s="851"/>
      <c r="L4609" s="851"/>
    </row>
    <row r="4610" spans="11:12">
      <c r="K4610" s="851"/>
      <c r="L4610" s="851"/>
    </row>
    <row r="4611" spans="11:12">
      <c r="K4611" s="851"/>
      <c r="L4611" s="851"/>
    </row>
    <row r="4612" spans="11:12">
      <c r="K4612" s="851"/>
      <c r="L4612" s="851"/>
    </row>
    <row r="4613" spans="11:12">
      <c r="K4613" s="851"/>
      <c r="L4613" s="851"/>
    </row>
    <row r="4614" spans="11:12">
      <c r="K4614" s="851"/>
      <c r="L4614" s="851"/>
    </row>
    <row r="4615" spans="11:12">
      <c r="K4615" s="851"/>
      <c r="L4615" s="851"/>
    </row>
    <row r="4616" spans="11:12">
      <c r="K4616" s="851"/>
      <c r="L4616" s="851"/>
    </row>
    <row r="4617" spans="11:12">
      <c r="K4617" s="851"/>
      <c r="L4617" s="851"/>
    </row>
    <row r="4618" spans="11:12">
      <c r="K4618" s="851"/>
      <c r="L4618" s="851"/>
    </row>
    <row r="4619" spans="11:12">
      <c r="K4619" s="851"/>
      <c r="L4619" s="851"/>
    </row>
    <row r="4620" spans="11:12">
      <c r="K4620" s="851"/>
      <c r="L4620" s="851"/>
    </row>
    <row r="4621" spans="11:12">
      <c r="K4621" s="851"/>
      <c r="L4621" s="851"/>
    </row>
    <row r="4622" spans="11:12">
      <c r="K4622" s="851"/>
      <c r="L4622" s="851"/>
    </row>
    <row r="4623" spans="11:12">
      <c r="K4623" s="851"/>
      <c r="L4623" s="851"/>
    </row>
    <row r="4624" spans="11:12">
      <c r="K4624" s="851"/>
      <c r="L4624" s="851"/>
    </row>
    <row r="4625" spans="11:12">
      <c r="K4625" s="851"/>
      <c r="L4625" s="851"/>
    </row>
    <row r="4626" spans="11:12">
      <c r="K4626" s="851"/>
      <c r="L4626" s="851"/>
    </row>
    <row r="4627" spans="11:12">
      <c r="K4627" s="851"/>
      <c r="L4627" s="851"/>
    </row>
    <row r="4628" spans="11:12">
      <c r="K4628" s="851"/>
      <c r="L4628" s="851"/>
    </row>
    <row r="4629" spans="11:12">
      <c r="K4629" s="851"/>
      <c r="L4629" s="851"/>
    </row>
    <row r="4630" spans="11:12">
      <c r="K4630" s="851"/>
      <c r="L4630" s="851"/>
    </row>
    <row r="4631" spans="11:12">
      <c r="K4631" s="851"/>
      <c r="L4631" s="851"/>
    </row>
    <row r="4632" spans="11:12">
      <c r="K4632" s="851"/>
      <c r="L4632" s="851"/>
    </row>
    <row r="4633" spans="11:12">
      <c r="K4633" s="851"/>
      <c r="L4633" s="851"/>
    </row>
    <row r="4634" spans="11:12">
      <c r="K4634" s="851"/>
      <c r="L4634" s="851"/>
    </row>
    <row r="4635" spans="11:12">
      <c r="K4635" s="851"/>
      <c r="L4635" s="851"/>
    </row>
    <row r="4636" spans="11:12">
      <c r="K4636" s="851"/>
      <c r="L4636" s="851"/>
    </row>
    <row r="4637" spans="11:12">
      <c r="K4637" s="851"/>
      <c r="L4637" s="851"/>
    </row>
    <row r="4638" spans="11:12">
      <c r="K4638" s="851"/>
      <c r="L4638" s="851"/>
    </row>
    <row r="4639" spans="11:12">
      <c r="K4639" s="851"/>
      <c r="L4639" s="851"/>
    </row>
    <row r="4640" spans="11:12">
      <c r="K4640" s="851"/>
      <c r="L4640" s="851"/>
    </row>
    <row r="4641" spans="11:12">
      <c r="K4641" s="851"/>
      <c r="L4641" s="851"/>
    </row>
    <row r="4642" spans="11:12">
      <c r="K4642" s="851"/>
      <c r="L4642" s="851"/>
    </row>
    <row r="4643" spans="11:12">
      <c r="K4643" s="851"/>
      <c r="L4643" s="851"/>
    </row>
    <row r="4644" spans="11:12">
      <c r="K4644" s="851"/>
      <c r="L4644" s="851"/>
    </row>
    <row r="4645" spans="11:12">
      <c r="K4645" s="851"/>
      <c r="L4645" s="851"/>
    </row>
    <row r="4646" spans="11:12">
      <c r="K4646" s="851"/>
      <c r="L4646" s="851"/>
    </row>
    <row r="4647" spans="11:12">
      <c r="K4647" s="851"/>
      <c r="L4647" s="851"/>
    </row>
    <row r="4648" spans="11:12">
      <c r="K4648" s="851"/>
      <c r="L4648" s="851"/>
    </row>
    <row r="4649" spans="11:12">
      <c r="K4649" s="851"/>
      <c r="L4649" s="851"/>
    </row>
    <row r="4650" spans="11:12">
      <c r="K4650" s="851"/>
      <c r="L4650" s="851"/>
    </row>
    <row r="4651" spans="11:12">
      <c r="K4651" s="851"/>
      <c r="L4651" s="851"/>
    </row>
    <row r="4652" spans="11:12">
      <c r="K4652" s="851"/>
      <c r="L4652" s="851"/>
    </row>
    <row r="4653" spans="11:12">
      <c r="K4653" s="851"/>
      <c r="L4653" s="851"/>
    </row>
    <row r="4654" spans="11:12">
      <c r="K4654" s="851"/>
      <c r="L4654" s="851"/>
    </row>
    <row r="4655" spans="11:12">
      <c r="K4655" s="851"/>
      <c r="L4655" s="851"/>
    </row>
    <row r="4656" spans="11:12">
      <c r="K4656" s="851"/>
      <c r="L4656" s="851"/>
    </row>
    <row r="4657" spans="11:12">
      <c r="K4657" s="851"/>
      <c r="L4657" s="851"/>
    </row>
    <row r="4658" spans="11:12">
      <c r="K4658" s="851"/>
      <c r="L4658" s="851"/>
    </row>
    <row r="4659" spans="11:12">
      <c r="K4659" s="851"/>
      <c r="L4659" s="851"/>
    </row>
    <row r="4660" spans="11:12">
      <c r="K4660" s="851"/>
      <c r="L4660" s="851"/>
    </row>
    <row r="4661" spans="11:12">
      <c r="K4661" s="851"/>
      <c r="L4661" s="851"/>
    </row>
    <row r="4662" spans="11:12">
      <c r="K4662" s="851"/>
      <c r="L4662" s="851"/>
    </row>
    <row r="4663" spans="11:12">
      <c r="K4663" s="851"/>
      <c r="L4663" s="851"/>
    </row>
    <row r="4664" spans="11:12">
      <c r="K4664" s="851"/>
      <c r="L4664" s="851"/>
    </row>
    <row r="4665" spans="11:12">
      <c r="K4665" s="851"/>
      <c r="L4665" s="851"/>
    </row>
    <row r="4666" spans="11:12">
      <c r="K4666" s="851"/>
      <c r="L4666" s="851"/>
    </row>
    <row r="4667" spans="11:12">
      <c r="K4667" s="851"/>
      <c r="L4667" s="851"/>
    </row>
    <row r="4668" spans="11:12">
      <c r="K4668" s="851"/>
      <c r="L4668" s="851"/>
    </row>
    <row r="4669" spans="11:12">
      <c r="K4669" s="851"/>
      <c r="L4669" s="851"/>
    </row>
    <row r="4670" spans="11:12">
      <c r="K4670" s="851"/>
      <c r="L4670" s="851"/>
    </row>
    <row r="4671" spans="11:12">
      <c r="K4671" s="851"/>
      <c r="L4671" s="851"/>
    </row>
    <row r="4672" spans="11:12">
      <c r="K4672" s="851"/>
      <c r="L4672" s="851"/>
    </row>
    <row r="4673" spans="11:12">
      <c r="K4673" s="851"/>
      <c r="L4673" s="851"/>
    </row>
    <row r="4674" spans="11:12">
      <c r="K4674" s="851"/>
      <c r="L4674" s="851"/>
    </row>
    <row r="4675" spans="11:12">
      <c r="K4675" s="851"/>
      <c r="L4675" s="851"/>
    </row>
    <row r="4676" spans="11:12">
      <c r="K4676" s="851"/>
      <c r="L4676" s="851"/>
    </row>
    <row r="4677" spans="11:12">
      <c r="K4677" s="851"/>
      <c r="L4677" s="851"/>
    </row>
    <row r="4678" spans="11:12">
      <c r="K4678" s="851"/>
      <c r="L4678" s="851"/>
    </row>
    <row r="4679" spans="11:12">
      <c r="K4679" s="851"/>
      <c r="L4679" s="851"/>
    </row>
    <row r="4680" spans="11:12">
      <c r="K4680" s="851"/>
      <c r="L4680" s="851"/>
    </row>
    <row r="4681" spans="11:12">
      <c r="K4681" s="851"/>
      <c r="L4681" s="851"/>
    </row>
    <row r="4682" spans="11:12">
      <c r="K4682" s="851"/>
      <c r="L4682" s="851"/>
    </row>
    <row r="4683" spans="11:12">
      <c r="K4683" s="851"/>
      <c r="L4683" s="851"/>
    </row>
    <row r="4684" spans="11:12">
      <c r="K4684" s="851"/>
      <c r="L4684" s="851"/>
    </row>
    <row r="4685" spans="11:12">
      <c r="K4685" s="851"/>
      <c r="L4685" s="851"/>
    </row>
    <row r="4686" spans="11:12">
      <c r="K4686" s="851"/>
      <c r="L4686" s="851"/>
    </row>
    <row r="4687" spans="11:12">
      <c r="K4687" s="851"/>
      <c r="L4687" s="851"/>
    </row>
    <row r="4688" spans="11:12">
      <c r="K4688" s="851"/>
      <c r="L4688" s="851"/>
    </row>
    <row r="4689" spans="11:12">
      <c r="K4689" s="851"/>
      <c r="L4689" s="851"/>
    </row>
    <row r="4690" spans="11:12">
      <c r="K4690" s="851"/>
      <c r="L4690" s="851"/>
    </row>
    <row r="4691" spans="11:12">
      <c r="K4691" s="851"/>
      <c r="L4691" s="851"/>
    </row>
    <row r="4692" spans="11:12">
      <c r="K4692" s="851"/>
      <c r="L4692" s="851"/>
    </row>
    <row r="4693" spans="11:12">
      <c r="K4693" s="851"/>
      <c r="L4693" s="851"/>
    </row>
    <row r="4694" spans="11:12">
      <c r="K4694" s="851"/>
      <c r="L4694" s="851"/>
    </row>
    <row r="4695" spans="11:12">
      <c r="K4695" s="851"/>
      <c r="L4695" s="851"/>
    </row>
    <row r="4696" spans="11:12">
      <c r="K4696" s="851"/>
      <c r="L4696" s="851"/>
    </row>
    <row r="4697" spans="11:12">
      <c r="K4697" s="851"/>
      <c r="L4697" s="851"/>
    </row>
    <row r="4698" spans="11:12">
      <c r="K4698" s="851"/>
      <c r="L4698" s="851"/>
    </row>
    <row r="4699" spans="11:12">
      <c r="K4699" s="851"/>
      <c r="L4699" s="851"/>
    </row>
    <row r="4700" spans="11:12">
      <c r="K4700" s="851"/>
      <c r="L4700" s="851"/>
    </row>
    <row r="4701" spans="11:12">
      <c r="K4701" s="851"/>
      <c r="L4701" s="851"/>
    </row>
    <row r="4702" spans="11:12">
      <c r="K4702" s="851"/>
      <c r="L4702" s="851"/>
    </row>
    <row r="4703" spans="11:12">
      <c r="K4703" s="851"/>
      <c r="L4703" s="851"/>
    </row>
    <row r="4704" spans="11:12">
      <c r="K4704" s="851"/>
      <c r="L4704" s="851"/>
    </row>
    <row r="4705" spans="11:12">
      <c r="K4705" s="851"/>
      <c r="L4705" s="851"/>
    </row>
    <row r="4706" spans="11:12">
      <c r="K4706" s="851"/>
      <c r="L4706" s="851"/>
    </row>
    <row r="4707" spans="11:12">
      <c r="K4707" s="851"/>
      <c r="L4707" s="851"/>
    </row>
    <row r="4708" spans="11:12">
      <c r="K4708" s="851"/>
      <c r="L4708" s="851"/>
    </row>
    <row r="4709" spans="11:12">
      <c r="K4709" s="851"/>
      <c r="L4709" s="851"/>
    </row>
    <row r="4710" spans="11:12">
      <c r="K4710" s="851"/>
      <c r="L4710" s="851"/>
    </row>
    <row r="4711" spans="11:12">
      <c r="K4711" s="851"/>
      <c r="L4711" s="851"/>
    </row>
    <row r="4712" spans="11:12">
      <c r="K4712" s="851"/>
      <c r="L4712" s="851"/>
    </row>
    <row r="4713" spans="11:12">
      <c r="K4713" s="851"/>
      <c r="L4713" s="851"/>
    </row>
    <row r="4714" spans="11:12">
      <c r="K4714" s="851"/>
      <c r="L4714" s="851"/>
    </row>
    <row r="4715" spans="11:12">
      <c r="K4715" s="851"/>
      <c r="L4715" s="851"/>
    </row>
    <row r="4716" spans="11:12">
      <c r="K4716" s="851"/>
      <c r="L4716" s="851"/>
    </row>
    <row r="4717" spans="11:12">
      <c r="K4717" s="851"/>
      <c r="L4717" s="851"/>
    </row>
    <row r="4718" spans="11:12">
      <c r="K4718" s="851"/>
      <c r="L4718" s="851"/>
    </row>
    <row r="4719" spans="11:12">
      <c r="K4719" s="851"/>
      <c r="L4719" s="851"/>
    </row>
    <row r="4720" spans="11:12">
      <c r="K4720" s="851"/>
      <c r="L4720" s="851"/>
    </row>
    <row r="4721" spans="11:12">
      <c r="K4721" s="851"/>
      <c r="L4721" s="851"/>
    </row>
    <row r="4722" spans="11:12">
      <c r="K4722" s="851"/>
      <c r="L4722" s="851"/>
    </row>
    <row r="4723" spans="11:12">
      <c r="K4723" s="851"/>
      <c r="L4723" s="851"/>
    </row>
    <row r="4724" spans="11:12">
      <c r="K4724" s="851"/>
      <c r="L4724" s="851"/>
    </row>
    <row r="4725" spans="11:12">
      <c r="K4725" s="851"/>
      <c r="L4725" s="851"/>
    </row>
    <row r="4726" spans="11:12">
      <c r="K4726" s="851"/>
      <c r="L4726" s="851"/>
    </row>
    <row r="4727" spans="11:12">
      <c r="K4727" s="851"/>
      <c r="L4727" s="851"/>
    </row>
    <row r="4728" spans="11:12">
      <c r="K4728" s="851"/>
      <c r="L4728" s="851"/>
    </row>
    <row r="4729" spans="11:12">
      <c r="K4729" s="851"/>
      <c r="L4729" s="851"/>
    </row>
    <row r="4730" spans="11:12">
      <c r="K4730" s="851"/>
      <c r="L4730" s="851"/>
    </row>
    <row r="4731" spans="11:12">
      <c r="K4731" s="851"/>
      <c r="L4731" s="851"/>
    </row>
    <row r="4732" spans="11:12">
      <c r="K4732" s="851"/>
      <c r="L4732" s="851"/>
    </row>
    <row r="4733" spans="11:12">
      <c r="K4733" s="851"/>
      <c r="L4733" s="851"/>
    </row>
    <row r="4734" spans="11:12">
      <c r="K4734" s="851"/>
      <c r="L4734" s="851"/>
    </row>
    <row r="4735" spans="11:12">
      <c r="K4735" s="851"/>
      <c r="L4735" s="851"/>
    </row>
    <row r="4736" spans="11:12">
      <c r="K4736" s="851"/>
      <c r="L4736" s="851"/>
    </row>
    <row r="4737" spans="11:12">
      <c r="K4737" s="851"/>
      <c r="L4737" s="851"/>
    </row>
    <row r="4738" spans="11:12">
      <c r="K4738" s="851"/>
      <c r="L4738" s="851"/>
    </row>
    <row r="4739" spans="11:12">
      <c r="K4739" s="851"/>
      <c r="L4739" s="851"/>
    </row>
    <row r="4740" spans="11:12">
      <c r="K4740" s="851"/>
      <c r="L4740" s="851"/>
    </row>
    <row r="4741" spans="11:12">
      <c r="K4741" s="851"/>
      <c r="L4741" s="851"/>
    </row>
    <row r="4742" spans="11:12">
      <c r="K4742" s="851"/>
      <c r="L4742" s="851"/>
    </row>
    <row r="4743" spans="11:12">
      <c r="K4743" s="851"/>
      <c r="L4743" s="851"/>
    </row>
    <row r="4744" spans="11:12">
      <c r="K4744" s="851"/>
      <c r="L4744" s="851"/>
    </row>
    <row r="4745" spans="11:12">
      <c r="K4745" s="851"/>
      <c r="L4745" s="851"/>
    </row>
    <row r="4746" spans="11:12">
      <c r="K4746" s="851"/>
      <c r="L4746" s="851"/>
    </row>
    <row r="4747" spans="11:12">
      <c r="K4747" s="851"/>
      <c r="L4747" s="851"/>
    </row>
    <row r="4748" spans="11:12">
      <c r="K4748" s="851"/>
      <c r="L4748" s="851"/>
    </row>
    <row r="4749" spans="11:12">
      <c r="K4749" s="851"/>
      <c r="L4749" s="851"/>
    </row>
    <row r="4750" spans="11:12">
      <c r="K4750" s="851"/>
      <c r="L4750" s="851"/>
    </row>
    <row r="4751" spans="11:12">
      <c r="K4751" s="851"/>
      <c r="L4751" s="851"/>
    </row>
    <row r="4752" spans="11:12">
      <c r="K4752" s="851"/>
      <c r="L4752" s="851"/>
    </row>
    <row r="4753" spans="11:12">
      <c r="K4753" s="851"/>
      <c r="L4753" s="851"/>
    </row>
    <row r="4754" spans="11:12">
      <c r="K4754" s="851"/>
      <c r="L4754" s="851"/>
    </row>
    <row r="4755" spans="11:12">
      <c r="K4755" s="851"/>
      <c r="L4755" s="851"/>
    </row>
    <row r="4756" spans="11:12">
      <c r="K4756" s="851"/>
      <c r="L4756" s="851"/>
    </row>
    <row r="4757" spans="11:12">
      <c r="K4757" s="851"/>
      <c r="L4757" s="851"/>
    </row>
    <row r="4758" spans="11:12">
      <c r="K4758" s="851"/>
      <c r="L4758" s="851"/>
    </row>
    <row r="4759" spans="11:12">
      <c r="K4759" s="851"/>
      <c r="L4759" s="851"/>
    </row>
    <row r="4760" spans="11:12">
      <c r="K4760" s="851"/>
      <c r="L4760" s="851"/>
    </row>
    <row r="4761" spans="11:12">
      <c r="K4761" s="851"/>
      <c r="L4761" s="851"/>
    </row>
    <row r="4762" spans="11:12">
      <c r="K4762" s="851"/>
      <c r="L4762" s="851"/>
    </row>
    <row r="4763" spans="11:12">
      <c r="K4763" s="851"/>
      <c r="L4763" s="851"/>
    </row>
    <row r="4764" spans="11:12">
      <c r="K4764" s="851"/>
      <c r="L4764" s="851"/>
    </row>
    <row r="4765" spans="11:12">
      <c r="K4765" s="851"/>
      <c r="L4765" s="851"/>
    </row>
    <row r="4766" spans="11:12">
      <c r="K4766" s="851"/>
      <c r="L4766" s="851"/>
    </row>
    <row r="4767" spans="11:12">
      <c r="K4767" s="851"/>
      <c r="L4767" s="851"/>
    </row>
    <row r="4768" spans="11:12">
      <c r="K4768" s="851"/>
      <c r="L4768" s="851"/>
    </row>
    <row r="4769" spans="11:12">
      <c r="K4769" s="851"/>
      <c r="L4769" s="851"/>
    </row>
    <row r="4770" spans="11:12">
      <c r="K4770" s="851"/>
      <c r="L4770" s="851"/>
    </row>
    <row r="4771" spans="11:12">
      <c r="K4771" s="851"/>
      <c r="L4771" s="851"/>
    </row>
    <row r="4772" spans="11:12">
      <c r="K4772" s="851"/>
      <c r="L4772" s="851"/>
    </row>
    <row r="4773" spans="11:12">
      <c r="K4773" s="851"/>
      <c r="L4773" s="851"/>
    </row>
    <row r="4774" spans="11:12">
      <c r="K4774" s="851"/>
      <c r="L4774" s="851"/>
    </row>
    <row r="4775" spans="11:12">
      <c r="K4775" s="851"/>
      <c r="L4775" s="851"/>
    </row>
    <row r="4776" spans="11:12">
      <c r="K4776" s="851"/>
      <c r="L4776" s="851"/>
    </row>
    <row r="4777" spans="11:12">
      <c r="K4777" s="851"/>
      <c r="L4777" s="851"/>
    </row>
    <row r="4778" spans="11:12">
      <c r="K4778" s="851"/>
      <c r="L4778" s="851"/>
    </row>
    <row r="4779" spans="11:12">
      <c r="K4779" s="851"/>
      <c r="L4779" s="851"/>
    </row>
    <row r="4780" spans="11:12">
      <c r="K4780" s="851"/>
      <c r="L4780" s="851"/>
    </row>
    <row r="4781" spans="11:12">
      <c r="K4781" s="851"/>
      <c r="L4781" s="851"/>
    </row>
    <row r="4782" spans="11:12">
      <c r="K4782" s="851"/>
      <c r="L4782" s="851"/>
    </row>
    <row r="4783" spans="11:12">
      <c r="K4783" s="851"/>
      <c r="L4783" s="851"/>
    </row>
    <row r="4784" spans="11:12">
      <c r="K4784" s="851"/>
      <c r="L4784" s="851"/>
    </row>
    <row r="4785" spans="11:12">
      <c r="K4785" s="851"/>
      <c r="L4785" s="851"/>
    </row>
    <row r="4786" spans="11:12">
      <c r="K4786" s="851"/>
      <c r="L4786" s="851"/>
    </row>
    <row r="4787" spans="11:12">
      <c r="K4787" s="851"/>
      <c r="L4787" s="851"/>
    </row>
    <row r="4788" spans="11:12">
      <c r="K4788" s="851"/>
      <c r="L4788" s="851"/>
    </row>
    <row r="4789" spans="11:12">
      <c r="K4789" s="851"/>
      <c r="L4789" s="851"/>
    </row>
    <row r="4790" spans="11:12">
      <c r="K4790" s="851"/>
      <c r="L4790" s="851"/>
    </row>
    <row r="4791" spans="11:12">
      <c r="K4791" s="851"/>
      <c r="L4791" s="851"/>
    </row>
    <row r="4792" spans="11:12">
      <c r="K4792" s="851"/>
      <c r="L4792" s="851"/>
    </row>
    <row r="4793" spans="11:12">
      <c r="K4793" s="851"/>
      <c r="L4793" s="851"/>
    </row>
    <row r="4794" spans="11:12">
      <c r="K4794" s="851"/>
      <c r="L4794" s="851"/>
    </row>
    <row r="4795" spans="11:12">
      <c r="K4795" s="851"/>
      <c r="L4795" s="851"/>
    </row>
    <row r="4796" spans="11:12">
      <c r="K4796" s="851"/>
      <c r="L4796" s="851"/>
    </row>
    <row r="4797" spans="11:12">
      <c r="K4797" s="851"/>
      <c r="L4797" s="851"/>
    </row>
    <row r="4798" spans="11:12">
      <c r="K4798" s="851"/>
      <c r="L4798" s="851"/>
    </row>
    <row r="4799" spans="11:12">
      <c r="K4799" s="851"/>
      <c r="L4799" s="851"/>
    </row>
    <row r="4800" spans="11:12">
      <c r="K4800" s="851"/>
      <c r="L4800" s="851"/>
    </row>
    <row r="4801" spans="11:12">
      <c r="K4801" s="851"/>
      <c r="L4801" s="851"/>
    </row>
    <row r="4802" spans="11:12">
      <c r="K4802" s="851"/>
      <c r="L4802" s="851"/>
    </row>
    <row r="4803" spans="11:12">
      <c r="K4803" s="851"/>
      <c r="L4803" s="851"/>
    </row>
    <row r="4804" spans="11:12">
      <c r="K4804" s="851"/>
      <c r="L4804" s="851"/>
    </row>
    <row r="4805" spans="11:12">
      <c r="K4805" s="851"/>
      <c r="L4805" s="851"/>
    </row>
    <row r="4806" spans="11:12">
      <c r="K4806" s="851"/>
      <c r="L4806" s="851"/>
    </row>
    <row r="4807" spans="11:12">
      <c r="K4807" s="851"/>
      <c r="L4807" s="851"/>
    </row>
    <row r="4808" spans="11:12">
      <c r="K4808" s="851"/>
      <c r="L4808" s="851"/>
    </row>
    <row r="4809" spans="11:12">
      <c r="K4809" s="851"/>
      <c r="L4809" s="851"/>
    </row>
    <row r="4810" spans="11:12">
      <c r="K4810" s="851"/>
      <c r="L4810" s="851"/>
    </row>
    <row r="4811" spans="11:12">
      <c r="K4811" s="851"/>
      <c r="L4811" s="851"/>
    </row>
    <row r="4812" spans="11:12">
      <c r="K4812" s="851"/>
      <c r="L4812" s="851"/>
    </row>
    <row r="4813" spans="11:12">
      <c r="K4813" s="851"/>
      <c r="L4813" s="851"/>
    </row>
    <row r="4814" spans="11:12">
      <c r="K4814" s="851"/>
      <c r="L4814" s="851"/>
    </row>
    <row r="4815" spans="11:12">
      <c r="K4815" s="851"/>
      <c r="L4815" s="851"/>
    </row>
    <row r="4816" spans="11:12">
      <c r="K4816" s="851"/>
      <c r="L4816" s="851"/>
    </row>
    <row r="4817" spans="11:12">
      <c r="K4817" s="851"/>
      <c r="L4817" s="851"/>
    </row>
    <row r="4818" spans="11:12">
      <c r="K4818" s="851"/>
      <c r="L4818" s="851"/>
    </row>
    <row r="4819" spans="11:12">
      <c r="K4819" s="851"/>
      <c r="L4819" s="851"/>
    </row>
    <row r="4820" spans="11:12">
      <c r="K4820" s="851"/>
      <c r="L4820" s="851"/>
    </row>
    <row r="4821" spans="11:12">
      <c r="K4821" s="851"/>
      <c r="L4821" s="851"/>
    </row>
    <row r="4822" spans="11:12">
      <c r="K4822" s="851"/>
      <c r="L4822" s="851"/>
    </row>
    <row r="4823" spans="11:12">
      <c r="K4823" s="851"/>
      <c r="L4823" s="851"/>
    </row>
    <row r="4824" spans="11:12">
      <c r="K4824" s="851"/>
      <c r="L4824" s="851"/>
    </row>
    <row r="4825" spans="11:12">
      <c r="K4825" s="851"/>
      <c r="L4825" s="851"/>
    </row>
    <row r="4826" spans="11:12">
      <c r="K4826" s="851"/>
      <c r="L4826" s="851"/>
    </row>
    <row r="4827" spans="11:12">
      <c r="K4827" s="851"/>
      <c r="L4827" s="851"/>
    </row>
    <row r="4828" spans="11:12">
      <c r="K4828" s="851"/>
      <c r="L4828" s="851"/>
    </row>
    <row r="4829" spans="11:12">
      <c r="K4829" s="851"/>
      <c r="L4829" s="851"/>
    </row>
    <row r="4830" spans="11:12">
      <c r="K4830" s="851"/>
      <c r="L4830" s="851"/>
    </row>
    <row r="4831" spans="11:12">
      <c r="K4831" s="851"/>
      <c r="L4831" s="851"/>
    </row>
    <row r="4832" spans="11:12">
      <c r="K4832" s="851"/>
      <c r="L4832" s="851"/>
    </row>
    <row r="4833" spans="11:12">
      <c r="K4833" s="851"/>
      <c r="L4833" s="851"/>
    </row>
    <row r="4834" spans="11:12">
      <c r="K4834" s="851"/>
      <c r="L4834" s="851"/>
    </row>
    <row r="4835" spans="11:12">
      <c r="K4835" s="851"/>
      <c r="L4835" s="851"/>
    </row>
    <row r="4836" spans="11:12">
      <c r="K4836" s="851"/>
      <c r="L4836" s="851"/>
    </row>
    <row r="4837" spans="11:12">
      <c r="K4837" s="851"/>
      <c r="L4837" s="851"/>
    </row>
    <row r="4838" spans="11:12">
      <c r="K4838" s="851"/>
      <c r="L4838" s="851"/>
    </row>
    <row r="4839" spans="11:12">
      <c r="K4839" s="851"/>
      <c r="L4839" s="851"/>
    </row>
    <row r="4840" spans="11:12">
      <c r="K4840" s="851"/>
      <c r="L4840" s="851"/>
    </row>
    <row r="4841" spans="11:12">
      <c r="K4841" s="851"/>
      <c r="L4841" s="851"/>
    </row>
    <row r="4842" spans="11:12">
      <c r="K4842" s="851"/>
      <c r="L4842" s="851"/>
    </row>
    <row r="4843" spans="11:12">
      <c r="K4843" s="851"/>
      <c r="L4843" s="851"/>
    </row>
    <row r="4844" spans="11:12">
      <c r="K4844" s="851"/>
      <c r="L4844" s="851"/>
    </row>
    <row r="4845" spans="11:12">
      <c r="K4845" s="851"/>
      <c r="L4845" s="851"/>
    </row>
    <row r="4846" spans="11:12">
      <c r="K4846" s="851"/>
      <c r="L4846" s="851"/>
    </row>
    <row r="4847" spans="11:12">
      <c r="K4847" s="851"/>
      <c r="L4847" s="851"/>
    </row>
    <row r="4848" spans="11:12">
      <c r="K4848" s="851"/>
      <c r="L4848" s="851"/>
    </row>
    <row r="4849" spans="11:12">
      <c r="K4849" s="851"/>
      <c r="L4849" s="851"/>
    </row>
    <row r="4850" spans="11:12">
      <c r="K4850" s="851"/>
      <c r="L4850" s="851"/>
    </row>
    <row r="4851" spans="11:12">
      <c r="K4851" s="851"/>
      <c r="L4851" s="851"/>
    </row>
    <row r="4852" spans="11:12">
      <c r="K4852" s="851"/>
      <c r="L4852" s="851"/>
    </row>
    <row r="4853" spans="11:12">
      <c r="K4853" s="851"/>
      <c r="L4853" s="851"/>
    </row>
    <row r="4854" spans="11:12">
      <c r="K4854" s="851"/>
      <c r="L4854" s="851"/>
    </row>
    <row r="4855" spans="11:12">
      <c r="K4855" s="851"/>
      <c r="L4855" s="851"/>
    </row>
    <row r="4856" spans="11:12">
      <c r="K4856" s="851"/>
      <c r="L4856" s="851"/>
    </row>
    <row r="4857" spans="11:12">
      <c r="K4857" s="851"/>
      <c r="L4857" s="851"/>
    </row>
    <row r="4858" spans="11:12">
      <c r="K4858" s="851"/>
      <c r="L4858" s="851"/>
    </row>
    <row r="4859" spans="11:12">
      <c r="K4859" s="851"/>
      <c r="L4859" s="851"/>
    </row>
    <row r="4860" spans="11:12">
      <c r="K4860" s="851"/>
      <c r="L4860" s="851"/>
    </row>
    <row r="4861" spans="11:12">
      <c r="K4861" s="851"/>
      <c r="L4861" s="851"/>
    </row>
    <row r="4862" spans="11:12">
      <c r="K4862" s="851"/>
      <c r="L4862" s="851"/>
    </row>
    <row r="4863" spans="11:12">
      <c r="K4863" s="851"/>
      <c r="L4863" s="851"/>
    </row>
    <row r="4864" spans="11:12">
      <c r="K4864" s="851"/>
      <c r="L4864" s="851"/>
    </row>
    <row r="4865" spans="11:12">
      <c r="K4865" s="851"/>
      <c r="L4865" s="851"/>
    </row>
    <row r="4866" spans="11:12">
      <c r="K4866" s="851"/>
      <c r="L4866" s="851"/>
    </row>
    <row r="4867" spans="11:12">
      <c r="K4867" s="851"/>
      <c r="L4867" s="851"/>
    </row>
    <row r="4868" spans="11:12">
      <c r="K4868" s="851"/>
      <c r="L4868" s="851"/>
    </row>
    <row r="4869" spans="11:12">
      <c r="K4869" s="851"/>
      <c r="L4869" s="851"/>
    </row>
    <row r="4870" spans="11:12">
      <c r="K4870" s="851"/>
      <c r="L4870" s="851"/>
    </row>
    <row r="4871" spans="11:12">
      <c r="K4871" s="851"/>
      <c r="L4871" s="851"/>
    </row>
    <row r="4872" spans="11:12">
      <c r="K4872" s="851"/>
      <c r="L4872" s="851"/>
    </row>
    <row r="4873" spans="11:12">
      <c r="K4873" s="851"/>
      <c r="L4873" s="851"/>
    </row>
    <row r="4874" spans="11:12">
      <c r="K4874" s="851"/>
      <c r="L4874" s="851"/>
    </row>
    <row r="4875" spans="11:12">
      <c r="K4875" s="851"/>
      <c r="L4875" s="851"/>
    </row>
    <row r="4876" spans="11:12">
      <c r="K4876" s="851"/>
      <c r="L4876" s="851"/>
    </row>
    <row r="4877" spans="11:12">
      <c r="K4877" s="851"/>
      <c r="L4877" s="851"/>
    </row>
    <row r="4878" spans="11:12">
      <c r="K4878" s="851"/>
      <c r="L4878" s="851"/>
    </row>
    <row r="4879" spans="11:12">
      <c r="K4879" s="851"/>
      <c r="L4879" s="851"/>
    </row>
    <row r="4880" spans="11:12">
      <c r="K4880" s="851"/>
      <c r="L4880" s="851"/>
    </row>
    <row r="4881" spans="11:12">
      <c r="K4881" s="851"/>
      <c r="L4881" s="851"/>
    </row>
    <row r="4882" spans="11:12">
      <c r="K4882" s="851"/>
      <c r="L4882" s="851"/>
    </row>
    <row r="4883" spans="11:12">
      <c r="K4883" s="851"/>
      <c r="L4883" s="851"/>
    </row>
    <row r="4884" spans="11:12">
      <c r="K4884" s="851"/>
      <c r="L4884" s="851"/>
    </row>
    <row r="4885" spans="11:12">
      <c r="K4885" s="851"/>
      <c r="L4885" s="851"/>
    </row>
    <row r="4886" spans="11:12">
      <c r="K4886" s="851"/>
      <c r="L4886" s="851"/>
    </row>
    <row r="4887" spans="11:12">
      <c r="K4887" s="851"/>
      <c r="L4887" s="851"/>
    </row>
    <row r="4888" spans="11:12">
      <c r="K4888" s="851"/>
      <c r="L4888" s="851"/>
    </row>
    <row r="4889" spans="11:12">
      <c r="K4889" s="851"/>
      <c r="L4889" s="851"/>
    </row>
    <row r="4890" spans="11:12">
      <c r="K4890" s="851"/>
      <c r="L4890" s="851"/>
    </row>
    <row r="4891" spans="11:12">
      <c r="K4891" s="851"/>
      <c r="L4891" s="851"/>
    </row>
    <row r="4892" spans="11:12">
      <c r="K4892" s="851"/>
      <c r="L4892" s="851"/>
    </row>
    <row r="4893" spans="11:12">
      <c r="K4893" s="851"/>
      <c r="L4893" s="851"/>
    </row>
    <row r="4894" spans="11:12">
      <c r="K4894" s="851"/>
      <c r="L4894" s="851"/>
    </row>
    <row r="4895" spans="11:12">
      <c r="K4895" s="851"/>
      <c r="L4895" s="851"/>
    </row>
    <row r="4896" spans="11:12">
      <c r="K4896" s="851"/>
      <c r="L4896" s="851"/>
    </row>
    <row r="4897" spans="11:12">
      <c r="K4897" s="851"/>
      <c r="L4897" s="851"/>
    </row>
    <row r="4898" spans="11:12">
      <c r="K4898" s="851"/>
      <c r="L4898" s="851"/>
    </row>
    <row r="4899" spans="11:12">
      <c r="K4899" s="851"/>
      <c r="L4899" s="851"/>
    </row>
    <row r="4900" spans="11:12">
      <c r="K4900" s="851"/>
      <c r="L4900" s="851"/>
    </row>
    <row r="4901" spans="11:12">
      <c r="K4901" s="851"/>
      <c r="L4901" s="851"/>
    </row>
    <row r="4902" spans="11:12">
      <c r="K4902" s="851"/>
      <c r="L4902" s="851"/>
    </row>
    <row r="4903" spans="11:12">
      <c r="K4903" s="851"/>
      <c r="L4903" s="851"/>
    </row>
    <row r="4904" spans="11:12">
      <c r="K4904" s="851"/>
      <c r="L4904" s="851"/>
    </row>
    <row r="4905" spans="11:12">
      <c r="K4905" s="851"/>
      <c r="L4905" s="851"/>
    </row>
    <row r="4906" spans="11:12">
      <c r="K4906" s="851"/>
      <c r="L4906" s="851"/>
    </row>
    <row r="4907" spans="11:12">
      <c r="K4907" s="851"/>
      <c r="L4907" s="851"/>
    </row>
    <row r="4908" spans="11:12">
      <c r="K4908" s="851"/>
      <c r="L4908" s="851"/>
    </row>
    <row r="4909" spans="11:12">
      <c r="K4909" s="851"/>
      <c r="L4909" s="851"/>
    </row>
    <row r="4910" spans="11:12">
      <c r="K4910" s="851"/>
      <c r="L4910" s="851"/>
    </row>
    <row r="4911" spans="11:12">
      <c r="K4911" s="851"/>
      <c r="L4911" s="851"/>
    </row>
    <row r="4912" spans="11:12">
      <c r="K4912" s="851"/>
      <c r="L4912" s="851"/>
    </row>
    <row r="4913" spans="11:12">
      <c r="K4913" s="851"/>
      <c r="L4913" s="851"/>
    </row>
    <row r="4914" spans="11:12">
      <c r="K4914" s="851"/>
      <c r="L4914" s="851"/>
    </row>
    <row r="4915" spans="11:12">
      <c r="K4915" s="851"/>
      <c r="L4915" s="851"/>
    </row>
    <row r="4916" spans="11:12">
      <c r="K4916" s="851"/>
      <c r="L4916" s="851"/>
    </row>
    <row r="4917" spans="11:12">
      <c r="K4917" s="851"/>
      <c r="L4917" s="851"/>
    </row>
    <row r="4918" spans="11:12">
      <c r="K4918" s="851"/>
      <c r="L4918" s="851"/>
    </row>
    <row r="4919" spans="11:12">
      <c r="K4919" s="851"/>
      <c r="L4919" s="851"/>
    </row>
    <row r="4920" spans="11:12">
      <c r="K4920" s="851"/>
      <c r="L4920" s="851"/>
    </row>
    <row r="4921" spans="11:12">
      <c r="K4921" s="851"/>
      <c r="L4921" s="851"/>
    </row>
    <row r="4922" spans="11:12">
      <c r="K4922" s="851"/>
      <c r="L4922" s="851"/>
    </row>
    <row r="4923" spans="11:12">
      <c r="K4923" s="851"/>
      <c r="L4923" s="851"/>
    </row>
    <row r="4924" spans="11:12">
      <c r="K4924" s="851"/>
      <c r="L4924" s="851"/>
    </row>
    <row r="4925" spans="11:12">
      <c r="K4925" s="851"/>
      <c r="L4925" s="851"/>
    </row>
    <row r="4926" spans="11:12">
      <c r="K4926" s="851"/>
      <c r="L4926" s="851"/>
    </row>
    <row r="4927" spans="11:12">
      <c r="K4927" s="851"/>
      <c r="L4927" s="851"/>
    </row>
    <row r="4928" spans="11:12">
      <c r="K4928" s="851"/>
      <c r="L4928" s="851"/>
    </row>
    <row r="4929" spans="11:12">
      <c r="K4929" s="851"/>
      <c r="L4929" s="851"/>
    </row>
    <row r="4930" spans="11:12">
      <c r="K4930" s="851"/>
      <c r="L4930" s="851"/>
    </row>
    <row r="4931" spans="11:12">
      <c r="K4931" s="851"/>
      <c r="L4931" s="851"/>
    </row>
    <row r="4932" spans="11:12">
      <c r="K4932" s="851"/>
      <c r="L4932" s="851"/>
    </row>
    <row r="4933" spans="11:12">
      <c r="K4933" s="851"/>
      <c r="L4933" s="851"/>
    </row>
    <row r="4934" spans="11:12">
      <c r="K4934" s="851"/>
      <c r="L4934" s="851"/>
    </row>
    <row r="4935" spans="11:12">
      <c r="K4935" s="851"/>
      <c r="L4935" s="851"/>
    </row>
    <row r="4936" spans="11:12">
      <c r="K4936" s="851"/>
      <c r="L4936" s="851"/>
    </row>
    <row r="4937" spans="11:12">
      <c r="K4937" s="851"/>
      <c r="L4937" s="851"/>
    </row>
    <row r="4938" spans="11:12">
      <c r="K4938" s="851"/>
      <c r="L4938" s="851"/>
    </row>
    <row r="4939" spans="11:12">
      <c r="K4939" s="851"/>
      <c r="L4939" s="851"/>
    </row>
    <row r="4940" spans="11:12">
      <c r="K4940" s="851"/>
      <c r="L4940" s="851"/>
    </row>
    <row r="4941" spans="11:12">
      <c r="K4941" s="851"/>
      <c r="L4941" s="851"/>
    </row>
    <row r="4942" spans="11:12">
      <c r="K4942" s="851"/>
      <c r="L4942" s="851"/>
    </row>
    <row r="4943" spans="11:12">
      <c r="K4943" s="851"/>
      <c r="L4943" s="851"/>
    </row>
    <row r="4944" spans="11:12">
      <c r="K4944" s="851"/>
      <c r="L4944" s="851"/>
    </row>
    <row r="4945" spans="11:12">
      <c r="K4945" s="851"/>
      <c r="L4945" s="851"/>
    </row>
    <row r="4946" spans="11:12">
      <c r="K4946" s="851"/>
      <c r="L4946" s="851"/>
    </row>
    <row r="4947" spans="11:12">
      <c r="K4947" s="851"/>
      <c r="L4947" s="851"/>
    </row>
    <row r="4948" spans="11:12">
      <c r="K4948" s="851"/>
      <c r="L4948" s="851"/>
    </row>
    <row r="4949" spans="11:12">
      <c r="K4949" s="851"/>
      <c r="L4949" s="851"/>
    </row>
    <row r="4950" spans="11:12">
      <c r="K4950" s="851"/>
      <c r="L4950" s="851"/>
    </row>
    <row r="4951" spans="11:12">
      <c r="K4951" s="851"/>
      <c r="L4951" s="851"/>
    </row>
    <row r="4952" spans="11:12">
      <c r="K4952" s="851"/>
      <c r="L4952" s="851"/>
    </row>
    <row r="4953" spans="11:12">
      <c r="K4953" s="851"/>
      <c r="L4953" s="851"/>
    </row>
    <row r="4954" spans="11:12">
      <c r="K4954" s="851"/>
      <c r="L4954" s="851"/>
    </row>
    <row r="4955" spans="11:12">
      <c r="K4955" s="851"/>
      <c r="L4955" s="851"/>
    </row>
    <row r="4956" spans="11:12">
      <c r="K4956" s="851"/>
      <c r="L4956" s="851"/>
    </row>
    <row r="4957" spans="11:12">
      <c r="K4957" s="851"/>
      <c r="L4957" s="851"/>
    </row>
    <row r="4958" spans="11:12">
      <c r="K4958" s="851"/>
      <c r="L4958" s="851"/>
    </row>
    <row r="4959" spans="11:12">
      <c r="K4959" s="851"/>
      <c r="L4959" s="851"/>
    </row>
    <row r="4960" spans="11:12">
      <c r="K4960" s="851"/>
      <c r="L4960" s="851"/>
    </row>
    <row r="4961" spans="11:12">
      <c r="K4961" s="851"/>
      <c r="L4961" s="851"/>
    </row>
    <row r="4962" spans="11:12">
      <c r="K4962" s="851"/>
      <c r="L4962" s="851"/>
    </row>
    <row r="4963" spans="11:12">
      <c r="K4963" s="851"/>
      <c r="L4963" s="851"/>
    </row>
    <row r="4964" spans="11:12">
      <c r="K4964" s="851"/>
      <c r="L4964" s="851"/>
    </row>
    <row r="4965" spans="11:12">
      <c r="K4965" s="851"/>
      <c r="L4965" s="851"/>
    </row>
    <row r="4966" spans="11:12">
      <c r="K4966" s="851"/>
      <c r="L4966" s="851"/>
    </row>
    <row r="4967" spans="11:12">
      <c r="K4967" s="851"/>
      <c r="L4967" s="851"/>
    </row>
    <row r="4968" spans="11:12">
      <c r="K4968" s="851"/>
      <c r="L4968" s="851"/>
    </row>
    <row r="4969" spans="11:12">
      <c r="K4969" s="851"/>
      <c r="L4969" s="851"/>
    </row>
    <row r="4970" spans="11:12">
      <c r="K4970" s="851"/>
      <c r="L4970" s="851"/>
    </row>
    <row r="4971" spans="11:12">
      <c r="K4971" s="851"/>
      <c r="L4971" s="851"/>
    </row>
    <row r="4972" spans="11:12">
      <c r="K4972" s="851"/>
      <c r="L4972" s="851"/>
    </row>
    <row r="4973" spans="11:12">
      <c r="K4973" s="851"/>
      <c r="L4973" s="851"/>
    </row>
    <row r="4974" spans="11:12">
      <c r="K4974" s="851"/>
      <c r="L4974" s="851"/>
    </row>
    <row r="4975" spans="11:12">
      <c r="K4975" s="851"/>
      <c r="L4975" s="851"/>
    </row>
    <row r="4976" spans="11:12">
      <c r="K4976" s="851"/>
      <c r="L4976" s="851"/>
    </row>
    <row r="4977" spans="11:12">
      <c r="K4977" s="851"/>
      <c r="L4977" s="851"/>
    </row>
    <row r="4978" spans="11:12">
      <c r="K4978" s="851"/>
      <c r="L4978" s="851"/>
    </row>
    <row r="4979" spans="11:12">
      <c r="K4979" s="851"/>
      <c r="L4979" s="851"/>
    </row>
    <row r="4980" spans="11:12">
      <c r="K4980" s="851"/>
      <c r="L4980" s="851"/>
    </row>
    <row r="4981" spans="11:12">
      <c r="K4981" s="851"/>
      <c r="L4981" s="851"/>
    </row>
    <row r="4982" spans="11:12">
      <c r="K4982" s="851"/>
      <c r="L4982" s="851"/>
    </row>
    <row r="4983" spans="11:12">
      <c r="K4983" s="851"/>
      <c r="L4983" s="851"/>
    </row>
    <row r="4984" spans="11:12">
      <c r="K4984" s="851"/>
      <c r="L4984" s="851"/>
    </row>
    <row r="4985" spans="11:12">
      <c r="K4985" s="851"/>
      <c r="L4985" s="851"/>
    </row>
    <row r="4986" spans="11:12">
      <c r="K4986" s="851"/>
      <c r="L4986" s="851"/>
    </row>
    <row r="4987" spans="11:12">
      <c r="K4987" s="851"/>
      <c r="L4987" s="851"/>
    </row>
    <row r="4988" spans="11:12">
      <c r="K4988" s="851"/>
      <c r="L4988" s="851"/>
    </row>
    <row r="4989" spans="11:12">
      <c r="K4989" s="851"/>
      <c r="L4989" s="851"/>
    </row>
    <row r="4990" spans="11:12">
      <c r="K4990" s="851"/>
      <c r="L4990" s="851"/>
    </row>
    <row r="4991" spans="11:12">
      <c r="K4991" s="851"/>
      <c r="L4991" s="851"/>
    </row>
    <row r="4992" spans="11:12">
      <c r="K4992" s="851"/>
      <c r="L4992" s="851"/>
    </row>
    <row r="4993" spans="11:12">
      <c r="K4993" s="851"/>
      <c r="L4993" s="851"/>
    </row>
    <row r="4994" spans="11:12">
      <c r="K4994" s="851"/>
      <c r="L4994" s="851"/>
    </row>
    <row r="4995" spans="11:12">
      <c r="K4995" s="851"/>
      <c r="L4995" s="851"/>
    </row>
    <row r="4996" spans="11:12">
      <c r="K4996" s="851"/>
      <c r="L4996" s="851"/>
    </row>
    <row r="4997" spans="11:12">
      <c r="K4997" s="851"/>
      <c r="L4997" s="851"/>
    </row>
    <row r="4998" spans="11:12">
      <c r="K4998" s="851"/>
      <c r="L4998" s="851"/>
    </row>
    <row r="4999" spans="11:12">
      <c r="K4999" s="851"/>
      <c r="L4999" s="851"/>
    </row>
    <row r="5000" spans="11:12">
      <c r="K5000" s="851"/>
      <c r="L5000" s="851"/>
    </row>
    <row r="5001" spans="11:12">
      <c r="K5001" s="851"/>
      <c r="L5001" s="851"/>
    </row>
    <row r="5002" spans="11:12">
      <c r="K5002" s="851"/>
      <c r="L5002" s="851"/>
    </row>
    <row r="5003" spans="11:12">
      <c r="K5003" s="851"/>
      <c r="L5003" s="851"/>
    </row>
    <row r="5004" spans="11:12">
      <c r="K5004" s="851"/>
      <c r="L5004" s="851"/>
    </row>
    <row r="5005" spans="11:12">
      <c r="K5005" s="851"/>
      <c r="L5005" s="851"/>
    </row>
    <row r="5006" spans="11:12">
      <c r="K5006" s="851"/>
      <c r="L5006" s="851"/>
    </row>
    <row r="5007" spans="11:12">
      <c r="K5007" s="851"/>
      <c r="L5007" s="851"/>
    </row>
    <row r="5008" spans="11:12">
      <c r="K5008" s="851"/>
      <c r="L5008" s="851"/>
    </row>
    <row r="5009" spans="11:12">
      <c r="K5009" s="851"/>
      <c r="L5009" s="851"/>
    </row>
    <row r="5010" spans="11:12">
      <c r="K5010" s="851"/>
      <c r="L5010" s="851"/>
    </row>
    <row r="5011" spans="11:12">
      <c r="K5011" s="851"/>
      <c r="L5011" s="851"/>
    </row>
    <row r="5012" spans="11:12">
      <c r="K5012" s="851"/>
      <c r="L5012" s="851"/>
    </row>
    <row r="5013" spans="11:12">
      <c r="K5013" s="851"/>
      <c r="L5013" s="851"/>
    </row>
    <row r="5014" spans="11:12">
      <c r="K5014" s="851"/>
      <c r="L5014" s="851"/>
    </row>
    <row r="5015" spans="11:12">
      <c r="K5015" s="851"/>
      <c r="L5015" s="851"/>
    </row>
    <row r="5016" spans="11:12">
      <c r="K5016" s="851"/>
      <c r="L5016" s="851"/>
    </row>
    <row r="5017" spans="11:12">
      <c r="K5017" s="851"/>
      <c r="L5017" s="851"/>
    </row>
    <row r="5018" spans="11:12">
      <c r="K5018" s="851"/>
      <c r="L5018" s="851"/>
    </row>
    <row r="5019" spans="11:12">
      <c r="K5019" s="851"/>
      <c r="L5019" s="851"/>
    </row>
    <row r="5020" spans="11:12">
      <c r="K5020" s="851"/>
      <c r="L5020" s="851"/>
    </row>
    <row r="5021" spans="11:12">
      <c r="K5021" s="851"/>
      <c r="L5021" s="851"/>
    </row>
    <row r="5022" spans="11:12">
      <c r="K5022" s="851"/>
      <c r="L5022" s="851"/>
    </row>
    <row r="5023" spans="11:12">
      <c r="K5023" s="851"/>
      <c r="L5023" s="851"/>
    </row>
    <row r="5024" spans="11:12">
      <c r="K5024" s="851"/>
      <c r="L5024" s="851"/>
    </row>
    <row r="5025" spans="11:12">
      <c r="K5025" s="851"/>
      <c r="L5025" s="851"/>
    </row>
    <row r="5026" spans="11:12">
      <c r="K5026" s="851"/>
      <c r="L5026" s="851"/>
    </row>
    <row r="5027" spans="11:12">
      <c r="K5027" s="851"/>
      <c r="L5027" s="851"/>
    </row>
    <row r="5028" spans="11:12">
      <c r="K5028" s="851"/>
      <c r="L5028" s="851"/>
    </row>
    <row r="5029" spans="11:12">
      <c r="K5029" s="851"/>
      <c r="L5029" s="851"/>
    </row>
    <row r="5030" spans="11:12">
      <c r="K5030" s="851"/>
      <c r="L5030" s="851"/>
    </row>
    <row r="5031" spans="11:12">
      <c r="K5031" s="851"/>
      <c r="L5031" s="851"/>
    </row>
    <row r="5032" spans="11:12">
      <c r="K5032" s="851"/>
      <c r="L5032" s="851"/>
    </row>
    <row r="5033" spans="11:12">
      <c r="K5033" s="851"/>
      <c r="L5033" s="851"/>
    </row>
    <row r="5034" spans="11:12">
      <c r="K5034" s="851"/>
      <c r="L5034" s="851"/>
    </row>
    <row r="5035" spans="11:12">
      <c r="K5035" s="851"/>
      <c r="L5035" s="851"/>
    </row>
    <row r="5036" spans="11:12">
      <c r="K5036" s="851"/>
      <c r="L5036" s="851"/>
    </row>
    <row r="5037" spans="11:12">
      <c r="K5037" s="851"/>
      <c r="L5037" s="851"/>
    </row>
    <row r="5038" spans="11:12">
      <c r="K5038" s="851"/>
      <c r="L5038" s="851"/>
    </row>
    <row r="5039" spans="11:12">
      <c r="K5039" s="851"/>
      <c r="L5039" s="851"/>
    </row>
    <row r="5040" spans="11:12">
      <c r="K5040" s="851"/>
      <c r="L5040" s="851"/>
    </row>
    <row r="5041" spans="11:12">
      <c r="K5041" s="851"/>
      <c r="L5041" s="851"/>
    </row>
    <row r="5042" spans="11:12">
      <c r="K5042" s="851"/>
      <c r="L5042" s="851"/>
    </row>
    <row r="5043" spans="11:12">
      <c r="K5043" s="851"/>
      <c r="L5043" s="851"/>
    </row>
    <row r="5044" spans="11:12">
      <c r="K5044" s="851"/>
      <c r="L5044" s="851"/>
    </row>
    <row r="5045" spans="11:12">
      <c r="K5045" s="851"/>
      <c r="L5045" s="851"/>
    </row>
    <row r="5046" spans="11:12">
      <c r="K5046" s="851"/>
      <c r="L5046" s="851"/>
    </row>
    <row r="5047" spans="11:12">
      <c r="K5047" s="851"/>
      <c r="L5047" s="851"/>
    </row>
    <row r="5048" spans="11:12">
      <c r="K5048" s="851"/>
      <c r="L5048" s="851"/>
    </row>
    <row r="5049" spans="11:12">
      <c r="K5049" s="851"/>
      <c r="L5049" s="851"/>
    </row>
    <row r="5050" spans="11:12">
      <c r="K5050" s="851"/>
      <c r="L5050" s="851"/>
    </row>
    <row r="5051" spans="11:12">
      <c r="K5051" s="851"/>
      <c r="L5051" s="851"/>
    </row>
    <row r="5052" spans="11:12">
      <c r="K5052" s="851"/>
      <c r="L5052" s="851"/>
    </row>
    <row r="5053" spans="11:12">
      <c r="K5053" s="851"/>
      <c r="L5053" s="851"/>
    </row>
    <row r="5054" spans="11:12">
      <c r="K5054" s="851"/>
      <c r="L5054" s="851"/>
    </row>
    <row r="5055" spans="11:12">
      <c r="K5055" s="851"/>
      <c r="L5055" s="851"/>
    </row>
    <row r="5056" spans="11:12">
      <c r="K5056" s="851"/>
      <c r="L5056" s="851"/>
    </row>
    <row r="5057" spans="11:12">
      <c r="K5057" s="851"/>
      <c r="L5057" s="851"/>
    </row>
    <row r="5058" spans="11:12">
      <c r="K5058" s="851"/>
      <c r="L5058" s="851"/>
    </row>
    <row r="5059" spans="11:12">
      <c r="K5059" s="851"/>
      <c r="L5059" s="851"/>
    </row>
    <row r="5060" spans="11:12">
      <c r="K5060" s="851"/>
      <c r="L5060" s="851"/>
    </row>
    <row r="5061" spans="11:12">
      <c r="K5061" s="851"/>
      <c r="L5061" s="851"/>
    </row>
    <row r="5062" spans="11:12">
      <c r="K5062" s="851"/>
      <c r="L5062" s="851"/>
    </row>
    <row r="5063" spans="11:12">
      <c r="K5063" s="851"/>
      <c r="L5063" s="851"/>
    </row>
    <row r="5064" spans="11:12">
      <c r="K5064" s="851"/>
      <c r="L5064" s="851"/>
    </row>
    <row r="5065" spans="11:12">
      <c r="K5065" s="851"/>
      <c r="L5065" s="851"/>
    </row>
    <row r="5066" spans="11:12">
      <c r="K5066" s="851"/>
      <c r="L5066" s="851"/>
    </row>
    <row r="5067" spans="11:12">
      <c r="K5067" s="851"/>
      <c r="L5067" s="851"/>
    </row>
    <row r="5068" spans="11:12">
      <c r="K5068" s="851"/>
      <c r="L5068" s="851"/>
    </row>
    <row r="5069" spans="11:12">
      <c r="K5069" s="851"/>
      <c r="L5069" s="851"/>
    </row>
    <row r="5070" spans="11:12">
      <c r="K5070" s="851"/>
      <c r="L5070" s="851"/>
    </row>
    <row r="5071" spans="11:12">
      <c r="K5071" s="851"/>
      <c r="L5071" s="851"/>
    </row>
    <row r="5072" spans="11:12">
      <c r="K5072" s="851"/>
      <c r="L5072" s="851"/>
    </row>
    <row r="5073" spans="11:12">
      <c r="K5073" s="851"/>
      <c r="L5073" s="851"/>
    </row>
    <row r="5074" spans="11:12">
      <c r="K5074" s="851"/>
      <c r="L5074" s="851"/>
    </row>
    <row r="5075" spans="11:12">
      <c r="K5075" s="851"/>
      <c r="L5075" s="851"/>
    </row>
    <row r="5076" spans="11:12">
      <c r="K5076" s="851"/>
      <c r="L5076" s="851"/>
    </row>
    <row r="5077" spans="11:12">
      <c r="K5077" s="851"/>
      <c r="L5077" s="851"/>
    </row>
    <row r="5078" spans="11:12">
      <c r="K5078" s="851"/>
      <c r="L5078" s="851"/>
    </row>
    <row r="5079" spans="11:12">
      <c r="K5079" s="851"/>
      <c r="L5079" s="851"/>
    </row>
    <row r="5080" spans="11:12">
      <c r="K5080" s="851"/>
      <c r="L5080" s="851"/>
    </row>
    <row r="5081" spans="11:12">
      <c r="K5081" s="851"/>
      <c r="L5081" s="851"/>
    </row>
    <row r="5082" spans="11:12">
      <c r="K5082" s="851"/>
      <c r="L5082" s="851"/>
    </row>
    <row r="5083" spans="11:12">
      <c r="K5083" s="851"/>
      <c r="L5083" s="851"/>
    </row>
    <row r="5084" spans="11:12">
      <c r="K5084" s="851"/>
      <c r="L5084" s="851"/>
    </row>
    <row r="5085" spans="11:12">
      <c r="K5085" s="851"/>
      <c r="L5085" s="851"/>
    </row>
    <row r="5086" spans="11:12">
      <c r="K5086" s="851"/>
      <c r="L5086" s="851"/>
    </row>
    <row r="5087" spans="11:12">
      <c r="K5087" s="851"/>
      <c r="L5087" s="851"/>
    </row>
    <row r="5088" spans="11:12">
      <c r="K5088" s="851"/>
      <c r="L5088" s="851"/>
    </row>
    <row r="5089" spans="11:12">
      <c r="K5089" s="851"/>
      <c r="L5089" s="851"/>
    </row>
    <row r="5090" spans="11:12">
      <c r="K5090" s="851"/>
      <c r="L5090" s="851"/>
    </row>
    <row r="5091" spans="11:12">
      <c r="K5091" s="851"/>
      <c r="L5091" s="851"/>
    </row>
    <row r="5092" spans="11:12">
      <c r="K5092" s="851"/>
      <c r="L5092" s="851"/>
    </row>
    <row r="5093" spans="11:12">
      <c r="K5093" s="851"/>
      <c r="L5093" s="851"/>
    </row>
    <row r="5094" spans="11:12">
      <c r="K5094" s="851"/>
      <c r="L5094" s="851"/>
    </row>
    <row r="5095" spans="11:12">
      <c r="K5095" s="851"/>
      <c r="L5095" s="851"/>
    </row>
    <row r="5096" spans="11:12">
      <c r="K5096" s="851"/>
      <c r="L5096" s="851"/>
    </row>
    <row r="5097" spans="11:12">
      <c r="K5097" s="851"/>
      <c r="L5097" s="851"/>
    </row>
    <row r="5098" spans="11:12">
      <c r="K5098" s="851"/>
      <c r="L5098" s="851"/>
    </row>
    <row r="5099" spans="11:12">
      <c r="K5099" s="851"/>
      <c r="L5099" s="851"/>
    </row>
    <row r="5100" spans="11:12">
      <c r="K5100" s="851"/>
      <c r="L5100" s="851"/>
    </row>
    <row r="5101" spans="11:12">
      <c r="K5101" s="851"/>
      <c r="L5101" s="851"/>
    </row>
    <row r="5102" spans="11:12">
      <c r="K5102" s="851"/>
      <c r="L5102" s="851"/>
    </row>
    <row r="5103" spans="11:12">
      <c r="K5103" s="851"/>
      <c r="L5103" s="851"/>
    </row>
    <row r="5104" spans="11:12">
      <c r="K5104" s="851"/>
      <c r="L5104" s="851"/>
    </row>
    <row r="5105" spans="11:12">
      <c r="K5105" s="851"/>
      <c r="L5105" s="851"/>
    </row>
    <row r="5106" spans="11:12">
      <c r="K5106" s="851"/>
      <c r="L5106" s="851"/>
    </row>
    <row r="5107" spans="11:12">
      <c r="K5107" s="851"/>
      <c r="L5107" s="851"/>
    </row>
    <row r="5108" spans="11:12">
      <c r="K5108" s="851"/>
      <c r="L5108" s="851"/>
    </row>
    <row r="5109" spans="11:12">
      <c r="K5109" s="851"/>
      <c r="L5109" s="851"/>
    </row>
    <row r="5110" spans="11:12">
      <c r="K5110" s="851"/>
      <c r="L5110" s="851"/>
    </row>
    <row r="5111" spans="11:12">
      <c r="K5111" s="851"/>
      <c r="L5111" s="851"/>
    </row>
    <row r="5112" spans="11:12">
      <c r="K5112" s="851"/>
      <c r="L5112" s="851"/>
    </row>
    <row r="5113" spans="11:12">
      <c r="K5113" s="851"/>
      <c r="L5113" s="851"/>
    </row>
    <row r="5114" spans="11:12">
      <c r="K5114" s="851"/>
      <c r="L5114" s="851"/>
    </row>
    <row r="5115" spans="11:12">
      <c r="K5115" s="851"/>
      <c r="L5115" s="851"/>
    </row>
    <row r="5116" spans="11:12">
      <c r="K5116" s="851"/>
      <c r="L5116" s="851"/>
    </row>
    <row r="5117" spans="11:12">
      <c r="K5117" s="851"/>
      <c r="L5117" s="851"/>
    </row>
    <row r="5118" spans="11:12">
      <c r="K5118" s="851"/>
      <c r="L5118" s="851"/>
    </row>
    <row r="5119" spans="11:12">
      <c r="K5119" s="851"/>
      <c r="L5119" s="851"/>
    </row>
    <row r="5120" spans="11:12">
      <c r="K5120" s="851"/>
      <c r="L5120" s="851"/>
    </row>
    <row r="5121" spans="11:12">
      <c r="K5121" s="851"/>
      <c r="L5121" s="851"/>
    </row>
    <row r="5122" spans="11:12">
      <c r="K5122" s="851"/>
      <c r="L5122" s="851"/>
    </row>
    <row r="5123" spans="11:12">
      <c r="K5123" s="851"/>
      <c r="L5123" s="851"/>
    </row>
    <row r="5124" spans="11:12">
      <c r="K5124" s="851"/>
      <c r="L5124" s="851"/>
    </row>
    <row r="5125" spans="11:12">
      <c r="K5125" s="851"/>
      <c r="L5125" s="851"/>
    </row>
    <row r="5126" spans="11:12">
      <c r="K5126" s="851"/>
      <c r="L5126" s="851"/>
    </row>
    <row r="5127" spans="11:12">
      <c r="K5127" s="851"/>
      <c r="L5127" s="851"/>
    </row>
    <row r="5128" spans="11:12">
      <c r="K5128" s="851"/>
      <c r="L5128" s="851"/>
    </row>
    <row r="5129" spans="11:12">
      <c r="K5129" s="851"/>
      <c r="L5129" s="851"/>
    </row>
    <row r="5130" spans="11:12">
      <c r="K5130" s="851"/>
      <c r="L5130" s="851"/>
    </row>
    <row r="5131" spans="11:12">
      <c r="K5131" s="851"/>
      <c r="L5131" s="851"/>
    </row>
    <row r="5132" spans="11:12">
      <c r="K5132" s="851"/>
      <c r="L5132" s="851"/>
    </row>
    <row r="5133" spans="11:12">
      <c r="K5133" s="851"/>
      <c r="L5133" s="851"/>
    </row>
    <row r="5134" spans="11:12">
      <c r="K5134" s="851"/>
      <c r="L5134" s="851"/>
    </row>
    <row r="5135" spans="11:12">
      <c r="K5135" s="851"/>
      <c r="L5135" s="851"/>
    </row>
    <row r="5136" spans="11:12">
      <c r="K5136" s="851"/>
      <c r="L5136" s="851"/>
    </row>
    <row r="5137" spans="11:12">
      <c r="K5137" s="851"/>
      <c r="L5137" s="851"/>
    </row>
    <row r="5138" spans="11:12">
      <c r="K5138" s="851"/>
      <c r="L5138" s="851"/>
    </row>
    <row r="5139" spans="11:12">
      <c r="K5139" s="851"/>
      <c r="L5139" s="851"/>
    </row>
    <row r="5140" spans="11:12">
      <c r="K5140" s="851"/>
      <c r="L5140" s="851"/>
    </row>
    <row r="5141" spans="11:12">
      <c r="K5141" s="851"/>
      <c r="L5141" s="851"/>
    </row>
    <row r="5142" spans="11:12">
      <c r="K5142" s="851"/>
      <c r="L5142" s="851"/>
    </row>
    <row r="5143" spans="11:12">
      <c r="K5143" s="851"/>
      <c r="L5143" s="851"/>
    </row>
    <row r="5144" spans="11:12">
      <c r="K5144" s="851"/>
      <c r="L5144" s="851"/>
    </row>
    <row r="5145" spans="11:12">
      <c r="K5145" s="851"/>
      <c r="L5145" s="851"/>
    </row>
    <row r="5146" spans="11:12">
      <c r="K5146" s="851"/>
      <c r="L5146" s="851"/>
    </row>
    <row r="5147" spans="11:12">
      <c r="K5147" s="851"/>
      <c r="L5147" s="851"/>
    </row>
    <row r="5148" spans="11:12">
      <c r="K5148" s="851"/>
      <c r="L5148" s="851"/>
    </row>
    <row r="5149" spans="11:12">
      <c r="K5149" s="851"/>
      <c r="L5149" s="851"/>
    </row>
    <row r="5150" spans="11:12">
      <c r="K5150" s="851"/>
      <c r="L5150" s="851"/>
    </row>
    <row r="5151" spans="11:12">
      <c r="K5151" s="851"/>
      <c r="L5151" s="851"/>
    </row>
    <row r="5152" spans="11:12">
      <c r="K5152" s="851"/>
      <c r="L5152" s="851"/>
    </row>
    <row r="5153" spans="11:12">
      <c r="K5153" s="851"/>
      <c r="L5153" s="851"/>
    </row>
    <row r="5154" spans="11:12">
      <c r="K5154" s="851"/>
      <c r="L5154" s="851"/>
    </row>
    <row r="5155" spans="11:12">
      <c r="K5155" s="851"/>
      <c r="L5155" s="851"/>
    </row>
    <row r="5156" spans="11:12">
      <c r="K5156" s="851"/>
      <c r="L5156" s="851"/>
    </row>
    <row r="5157" spans="11:12">
      <c r="K5157" s="851"/>
      <c r="L5157" s="851"/>
    </row>
    <row r="5158" spans="11:12">
      <c r="K5158" s="851"/>
      <c r="L5158" s="851"/>
    </row>
    <row r="5159" spans="11:12">
      <c r="K5159" s="851"/>
      <c r="L5159" s="851"/>
    </row>
    <row r="5160" spans="11:12">
      <c r="K5160" s="851"/>
      <c r="L5160" s="851"/>
    </row>
    <row r="5161" spans="11:12">
      <c r="K5161" s="851"/>
      <c r="L5161" s="851"/>
    </row>
    <row r="5162" spans="11:12">
      <c r="K5162" s="851"/>
      <c r="L5162" s="851"/>
    </row>
    <row r="5163" spans="11:12">
      <c r="K5163" s="851"/>
      <c r="L5163" s="851"/>
    </row>
    <row r="5164" spans="11:12">
      <c r="K5164" s="851"/>
      <c r="L5164" s="851"/>
    </row>
    <row r="5165" spans="11:12">
      <c r="K5165" s="851"/>
      <c r="L5165" s="851"/>
    </row>
    <row r="5166" spans="11:12">
      <c r="K5166" s="851"/>
      <c r="L5166" s="851"/>
    </row>
    <row r="5167" spans="11:12">
      <c r="K5167" s="851"/>
      <c r="L5167" s="851"/>
    </row>
    <row r="5168" spans="11:12">
      <c r="K5168" s="851"/>
      <c r="L5168" s="851"/>
    </row>
    <row r="5169" spans="11:12">
      <c r="K5169" s="851"/>
      <c r="L5169" s="851"/>
    </row>
    <row r="5170" spans="11:12">
      <c r="K5170" s="851"/>
      <c r="L5170" s="851"/>
    </row>
    <row r="5171" spans="11:12">
      <c r="K5171" s="851"/>
      <c r="L5171" s="851"/>
    </row>
    <row r="5172" spans="11:12">
      <c r="K5172" s="851"/>
      <c r="L5172" s="851"/>
    </row>
    <row r="5173" spans="11:12">
      <c r="K5173" s="851"/>
      <c r="L5173" s="851"/>
    </row>
    <row r="5174" spans="11:12">
      <c r="K5174" s="851"/>
      <c r="L5174" s="851"/>
    </row>
    <row r="5175" spans="11:12">
      <c r="K5175" s="851"/>
      <c r="L5175" s="851"/>
    </row>
    <row r="5176" spans="11:12">
      <c r="K5176" s="851"/>
      <c r="L5176" s="851"/>
    </row>
    <row r="5177" spans="11:12">
      <c r="K5177" s="851"/>
      <c r="L5177" s="851"/>
    </row>
    <row r="5178" spans="11:12">
      <c r="K5178" s="851"/>
      <c r="L5178" s="851"/>
    </row>
    <row r="5179" spans="11:12">
      <c r="K5179" s="851"/>
      <c r="L5179" s="851"/>
    </row>
    <row r="5180" spans="11:12">
      <c r="K5180" s="851"/>
      <c r="L5180" s="851"/>
    </row>
    <row r="5181" spans="11:12">
      <c r="K5181" s="851"/>
      <c r="L5181" s="851"/>
    </row>
    <row r="5182" spans="11:12">
      <c r="K5182" s="851"/>
      <c r="L5182" s="851"/>
    </row>
    <row r="5183" spans="11:12">
      <c r="K5183" s="851"/>
      <c r="L5183" s="851"/>
    </row>
    <row r="5184" spans="11:12">
      <c r="K5184" s="851"/>
      <c r="L5184" s="851"/>
    </row>
    <row r="5185" spans="11:12">
      <c r="K5185" s="851"/>
      <c r="L5185" s="851"/>
    </row>
    <row r="5186" spans="11:12">
      <c r="K5186" s="851"/>
      <c r="L5186" s="851"/>
    </row>
    <row r="5187" spans="11:12">
      <c r="K5187" s="851"/>
      <c r="L5187" s="851"/>
    </row>
    <row r="5188" spans="11:12">
      <c r="K5188" s="851"/>
      <c r="L5188" s="851"/>
    </row>
    <row r="5189" spans="11:12">
      <c r="K5189" s="851"/>
      <c r="L5189" s="851"/>
    </row>
    <row r="5190" spans="11:12">
      <c r="K5190" s="851"/>
      <c r="L5190" s="851"/>
    </row>
    <row r="5191" spans="11:12">
      <c r="K5191" s="851"/>
      <c r="L5191" s="851"/>
    </row>
    <row r="5192" spans="11:12">
      <c r="K5192" s="851"/>
      <c r="L5192" s="851"/>
    </row>
    <row r="5193" spans="11:12">
      <c r="K5193" s="851"/>
      <c r="L5193" s="851"/>
    </row>
    <row r="5194" spans="11:12">
      <c r="K5194" s="851"/>
      <c r="L5194" s="851"/>
    </row>
    <row r="5195" spans="11:12">
      <c r="K5195" s="851"/>
      <c r="L5195" s="851"/>
    </row>
    <row r="5196" spans="11:12">
      <c r="K5196" s="851"/>
      <c r="L5196" s="851"/>
    </row>
    <row r="5197" spans="11:12">
      <c r="K5197" s="851"/>
      <c r="L5197" s="851"/>
    </row>
    <row r="5198" spans="11:12">
      <c r="K5198" s="851"/>
      <c r="L5198" s="851"/>
    </row>
    <row r="5199" spans="11:12">
      <c r="K5199" s="851"/>
      <c r="L5199" s="851"/>
    </row>
    <row r="5200" spans="11:12">
      <c r="K5200" s="851"/>
      <c r="L5200" s="851"/>
    </row>
    <row r="5201" spans="11:12">
      <c r="K5201" s="851"/>
      <c r="L5201" s="851"/>
    </row>
    <row r="5202" spans="11:12">
      <c r="K5202" s="851"/>
      <c r="L5202" s="851"/>
    </row>
    <row r="5203" spans="11:12">
      <c r="K5203" s="851"/>
      <c r="L5203" s="851"/>
    </row>
    <row r="5204" spans="11:12">
      <c r="K5204" s="851"/>
      <c r="L5204" s="851"/>
    </row>
    <row r="5205" spans="11:12">
      <c r="K5205" s="851"/>
      <c r="L5205" s="851"/>
    </row>
    <row r="5206" spans="11:12">
      <c r="K5206" s="851"/>
      <c r="L5206" s="851"/>
    </row>
    <row r="5207" spans="11:12">
      <c r="K5207" s="851"/>
      <c r="L5207" s="851"/>
    </row>
    <row r="5208" spans="11:12">
      <c r="K5208" s="851"/>
      <c r="L5208" s="851"/>
    </row>
    <row r="5209" spans="11:12">
      <c r="K5209" s="851"/>
      <c r="L5209" s="851"/>
    </row>
    <row r="5210" spans="11:12">
      <c r="K5210" s="851"/>
      <c r="L5210" s="851"/>
    </row>
    <row r="5211" spans="11:12">
      <c r="K5211" s="851"/>
      <c r="L5211" s="851"/>
    </row>
    <row r="5212" spans="11:12">
      <c r="K5212" s="851"/>
      <c r="L5212" s="851"/>
    </row>
    <row r="5213" spans="11:12">
      <c r="K5213" s="851"/>
      <c r="L5213" s="851"/>
    </row>
    <row r="5214" spans="11:12">
      <c r="K5214" s="851"/>
      <c r="L5214" s="851"/>
    </row>
    <row r="5215" spans="11:12">
      <c r="K5215" s="851"/>
      <c r="L5215" s="851"/>
    </row>
    <row r="5216" spans="11:12">
      <c r="K5216" s="851"/>
      <c r="L5216" s="851"/>
    </row>
    <row r="5217" spans="11:12">
      <c r="K5217" s="851"/>
      <c r="L5217" s="851"/>
    </row>
    <row r="5218" spans="11:12">
      <c r="K5218" s="851"/>
      <c r="L5218" s="851"/>
    </row>
    <row r="5219" spans="11:12">
      <c r="K5219" s="851"/>
      <c r="L5219" s="851"/>
    </row>
    <row r="5220" spans="11:12">
      <c r="K5220" s="851"/>
      <c r="L5220" s="851"/>
    </row>
    <row r="5221" spans="11:12">
      <c r="K5221" s="851"/>
      <c r="L5221" s="851"/>
    </row>
    <row r="5222" spans="11:12">
      <c r="K5222" s="851"/>
      <c r="L5222" s="851"/>
    </row>
    <row r="5223" spans="11:12">
      <c r="K5223" s="851"/>
      <c r="L5223" s="851"/>
    </row>
    <row r="5224" spans="11:12">
      <c r="K5224" s="851"/>
      <c r="L5224" s="851"/>
    </row>
    <row r="5225" spans="11:12">
      <c r="K5225" s="851"/>
      <c r="L5225" s="851"/>
    </row>
    <row r="5226" spans="11:12">
      <c r="K5226" s="851"/>
      <c r="L5226" s="851"/>
    </row>
    <row r="5227" spans="11:12">
      <c r="K5227" s="851"/>
      <c r="L5227" s="851"/>
    </row>
    <row r="5228" spans="11:12">
      <c r="K5228" s="851"/>
      <c r="L5228" s="851"/>
    </row>
    <row r="5229" spans="11:12">
      <c r="K5229" s="851"/>
      <c r="L5229" s="851"/>
    </row>
    <row r="5230" spans="11:12">
      <c r="K5230" s="851"/>
      <c r="L5230" s="851"/>
    </row>
    <row r="5231" spans="11:12">
      <c r="K5231" s="851"/>
      <c r="L5231" s="851"/>
    </row>
    <row r="5232" spans="11:12">
      <c r="K5232" s="851"/>
      <c r="L5232" s="851"/>
    </row>
    <row r="5233" spans="11:12">
      <c r="K5233" s="851"/>
      <c r="L5233" s="851"/>
    </row>
    <row r="5234" spans="11:12">
      <c r="K5234" s="851"/>
      <c r="L5234" s="851"/>
    </row>
    <row r="5235" spans="11:12">
      <c r="K5235" s="851"/>
      <c r="L5235" s="851"/>
    </row>
    <row r="5236" spans="11:12">
      <c r="K5236" s="851"/>
      <c r="L5236" s="851"/>
    </row>
    <row r="5237" spans="11:12">
      <c r="K5237" s="851"/>
      <c r="L5237" s="851"/>
    </row>
    <row r="5238" spans="11:12">
      <c r="K5238" s="851"/>
      <c r="L5238" s="851"/>
    </row>
    <row r="5239" spans="11:12">
      <c r="K5239" s="851"/>
      <c r="L5239" s="851"/>
    </row>
    <row r="5240" spans="11:12">
      <c r="K5240" s="851"/>
      <c r="L5240" s="851"/>
    </row>
    <row r="5241" spans="11:12">
      <c r="K5241" s="851"/>
      <c r="L5241" s="851"/>
    </row>
    <row r="5242" spans="11:12">
      <c r="K5242" s="851"/>
      <c r="L5242" s="851"/>
    </row>
    <row r="5243" spans="11:12">
      <c r="K5243" s="851"/>
      <c r="L5243" s="851"/>
    </row>
    <row r="5244" spans="11:12">
      <c r="K5244" s="851"/>
      <c r="L5244" s="851"/>
    </row>
    <row r="5245" spans="11:12">
      <c r="K5245" s="851"/>
      <c r="L5245" s="851"/>
    </row>
    <row r="5246" spans="11:12">
      <c r="K5246" s="851"/>
      <c r="L5246" s="851"/>
    </row>
    <row r="5247" spans="11:12">
      <c r="K5247" s="851"/>
      <c r="L5247" s="851"/>
    </row>
    <row r="5248" spans="11:12">
      <c r="K5248" s="851"/>
      <c r="L5248" s="851"/>
    </row>
    <row r="5249" spans="11:12">
      <c r="K5249" s="851"/>
      <c r="L5249" s="851"/>
    </row>
    <row r="5250" spans="11:12">
      <c r="K5250" s="851"/>
      <c r="L5250" s="851"/>
    </row>
    <row r="5251" spans="11:12">
      <c r="K5251" s="851"/>
      <c r="L5251" s="851"/>
    </row>
    <row r="5252" spans="11:12">
      <c r="K5252" s="851"/>
      <c r="L5252" s="851"/>
    </row>
    <row r="5253" spans="11:12">
      <c r="K5253" s="851"/>
      <c r="L5253" s="851"/>
    </row>
    <row r="5254" spans="11:12">
      <c r="K5254" s="851"/>
      <c r="L5254" s="851"/>
    </row>
    <row r="5255" spans="11:12">
      <c r="K5255" s="851"/>
      <c r="L5255" s="851"/>
    </row>
    <row r="5256" spans="11:12">
      <c r="K5256" s="851"/>
      <c r="L5256" s="851"/>
    </row>
    <row r="5257" spans="11:12">
      <c r="K5257" s="851"/>
      <c r="L5257" s="851"/>
    </row>
    <row r="5258" spans="11:12">
      <c r="K5258" s="851"/>
      <c r="L5258" s="851"/>
    </row>
    <row r="5259" spans="11:12">
      <c r="K5259" s="851"/>
      <c r="L5259" s="851"/>
    </row>
    <row r="5260" spans="11:12">
      <c r="K5260" s="851"/>
      <c r="L5260" s="851"/>
    </row>
    <row r="5261" spans="11:12">
      <c r="K5261" s="851"/>
      <c r="L5261" s="851"/>
    </row>
    <row r="5262" spans="11:12">
      <c r="K5262" s="851"/>
      <c r="L5262" s="851"/>
    </row>
    <row r="5263" spans="11:12">
      <c r="K5263" s="851"/>
      <c r="L5263" s="851"/>
    </row>
    <row r="5264" spans="11:12">
      <c r="K5264" s="851"/>
      <c r="L5264" s="851"/>
    </row>
    <row r="5265" spans="11:12">
      <c r="K5265" s="851"/>
      <c r="L5265" s="851"/>
    </row>
    <row r="5266" spans="11:12">
      <c r="K5266" s="851"/>
      <c r="L5266" s="851"/>
    </row>
    <row r="5267" spans="11:12">
      <c r="K5267" s="851"/>
      <c r="L5267" s="851"/>
    </row>
    <row r="5268" spans="11:12">
      <c r="K5268" s="851"/>
      <c r="L5268" s="851"/>
    </row>
    <row r="5269" spans="11:12">
      <c r="K5269" s="851"/>
      <c r="L5269" s="851"/>
    </row>
    <row r="5270" spans="11:12">
      <c r="K5270" s="851"/>
      <c r="L5270" s="851"/>
    </row>
    <row r="5271" spans="11:12">
      <c r="K5271" s="851"/>
      <c r="L5271" s="851"/>
    </row>
    <row r="5272" spans="11:12">
      <c r="K5272" s="851"/>
      <c r="L5272" s="851"/>
    </row>
    <row r="5273" spans="11:12">
      <c r="K5273" s="851"/>
      <c r="L5273" s="851"/>
    </row>
    <row r="5274" spans="11:12">
      <c r="K5274" s="851"/>
      <c r="L5274" s="851"/>
    </row>
    <row r="5275" spans="11:12">
      <c r="K5275" s="851"/>
      <c r="L5275" s="851"/>
    </row>
    <row r="5276" spans="11:12">
      <c r="K5276" s="851"/>
      <c r="L5276" s="851"/>
    </row>
    <row r="5277" spans="11:12">
      <c r="K5277" s="851"/>
      <c r="L5277" s="851"/>
    </row>
    <row r="5278" spans="11:12">
      <c r="K5278" s="851"/>
      <c r="L5278" s="851"/>
    </row>
    <row r="5279" spans="11:12">
      <c r="K5279" s="851"/>
      <c r="L5279" s="851"/>
    </row>
    <row r="5280" spans="11:12">
      <c r="K5280" s="851"/>
      <c r="L5280" s="851"/>
    </row>
    <row r="5281" spans="11:12">
      <c r="K5281" s="851"/>
      <c r="L5281" s="851"/>
    </row>
    <row r="5282" spans="11:12">
      <c r="K5282" s="851"/>
      <c r="L5282" s="851"/>
    </row>
    <row r="5283" spans="11:12">
      <c r="K5283" s="851"/>
      <c r="L5283" s="851"/>
    </row>
    <row r="5284" spans="11:12">
      <c r="K5284" s="851"/>
      <c r="L5284" s="851"/>
    </row>
    <row r="5285" spans="11:12">
      <c r="K5285" s="851"/>
      <c r="L5285" s="851"/>
    </row>
    <row r="5286" spans="11:12">
      <c r="K5286" s="851"/>
      <c r="L5286" s="851"/>
    </row>
    <row r="5287" spans="11:12">
      <c r="K5287" s="851"/>
      <c r="L5287" s="851"/>
    </row>
    <row r="5288" spans="11:12">
      <c r="K5288" s="851"/>
      <c r="L5288" s="851"/>
    </row>
    <row r="5289" spans="11:12">
      <c r="K5289" s="851"/>
      <c r="L5289" s="851"/>
    </row>
    <row r="5290" spans="11:12">
      <c r="K5290" s="851"/>
      <c r="L5290" s="851"/>
    </row>
    <row r="5291" spans="11:12">
      <c r="K5291" s="851"/>
      <c r="L5291" s="851"/>
    </row>
    <row r="5292" spans="11:12">
      <c r="K5292" s="851"/>
      <c r="L5292" s="851"/>
    </row>
    <row r="5293" spans="11:12">
      <c r="K5293" s="851"/>
      <c r="L5293" s="851"/>
    </row>
    <row r="5294" spans="11:12">
      <c r="K5294" s="851"/>
      <c r="L5294" s="851"/>
    </row>
    <row r="5295" spans="11:12">
      <c r="K5295" s="851"/>
      <c r="L5295" s="851"/>
    </row>
    <row r="5296" spans="11:12">
      <c r="K5296" s="851"/>
      <c r="L5296" s="851"/>
    </row>
    <row r="5297" spans="11:12">
      <c r="K5297" s="851"/>
      <c r="L5297" s="851"/>
    </row>
    <row r="5298" spans="11:12">
      <c r="K5298" s="851"/>
      <c r="L5298" s="851"/>
    </row>
    <row r="5299" spans="11:12">
      <c r="K5299" s="851"/>
      <c r="L5299" s="851"/>
    </row>
    <row r="5300" spans="11:12">
      <c r="K5300" s="851"/>
      <c r="L5300" s="851"/>
    </row>
    <row r="5301" spans="11:12">
      <c r="K5301" s="851"/>
      <c r="L5301" s="851"/>
    </row>
    <row r="5302" spans="11:12">
      <c r="K5302" s="851"/>
      <c r="L5302" s="851"/>
    </row>
    <row r="5303" spans="11:12">
      <c r="K5303" s="851"/>
      <c r="L5303" s="851"/>
    </row>
    <row r="5304" spans="11:12">
      <c r="K5304" s="851"/>
      <c r="L5304" s="851"/>
    </row>
    <row r="5305" spans="11:12">
      <c r="K5305" s="851"/>
      <c r="L5305" s="851"/>
    </row>
    <row r="5306" spans="11:12">
      <c r="K5306" s="851"/>
      <c r="L5306" s="851"/>
    </row>
    <row r="5307" spans="11:12">
      <c r="K5307" s="851"/>
      <c r="L5307" s="851"/>
    </row>
    <row r="5308" spans="11:12">
      <c r="K5308" s="851"/>
      <c r="L5308" s="851"/>
    </row>
    <row r="5309" spans="11:12">
      <c r="K5309" s="851"/>
      <c r="L5309" s="851"/>
    </row>
    <row r="5310" spans="11:12">
      <c r="K5310" s="851"/>
      <c r="L5310" s="851"/>
    </row>
    <row r="5311" spans="11:12">
      <c r="K5311" s="851"/>
      <c r="L5311" s="851"/>
    </row>
    <row r="5312" spans="11:12">
      <c r="K5312" s="851"/>
      <c r="L5312" s="851"/>
    </row>
    <row r="5313" spans="11:12">
      <c r="K5313" s="851"/>
      <c r="L5313" s="851"/>
    </row>
    <row r="5314" spans="11:12">
      <c r="K5314" s="851"/>
      <c r="L5314" s="851"/>
    </row>
    <row r="5315" spans="11:12">
      <c r="K5315" s="851"/>
      <c r="L5315" s="851"/>
    </row>
    <row r="5316" spans="11:12">
      <c r="K5316" s="851"/>
      <c r="L5316" s="851"/>
    </row>
    <row r="5317" spans="11:12">
      <c r="K5317" s="851"/>
      <c r="L5317" s="851"/>
    </row>
    <row r="5318" spans="11:12">
      <c r="K5318" s="851"/>
      <c r="L5318" s="851"/>
    </row>
    <row r="5319" spans="11:12">
      <c r="K5319" s="851"/>
      <c r="L5319" s="851"/>
    </row>
    <row r="5320" spans="11:12">
      <c r="K5320" s="851"/>
      <c r="L5320" s="851"/>
    </row>
    <row r="5321" spans="11:12">
      <c r="K5321" s="851"/>
      <c r="L5321" s="851"/>
    </row>
    <row r="5322" spans="11:12">
      <c r="K5322" s="851"/>
      <c r="L5322" s="851"/>
    </row>
    <row r="5323" spans="11:12">
      <c r="K5323" s="851"/>
      <c r="L5323" s="851"/>
    </row>
    <row r="5324" spans="11:12">
      <c r="K5324" s="851"/>
      <c r="L5324" s="851"/>
    </row>
    <row r="5325" spans="11:12">
      <c r="K5325" s="851"/>
      <c r="L5325" s="851"/>
    </row>
    <row r="5326" spans="11:12">
      <c r="K5326" s="851"/>
      <c r="L5326" s="851"/>
    </row>
    <row r="5327" spans="11:12">
      <c r="K5327" s="851"/>
      <c r="L5327" s="851"/>
    </row>
    <row r="5328" spans="11:12">
      <c r="K5328" s="851"/>
      <c r="L5328" s="851"/>
    </row>
    <row r="5329" spans="11:12">
      <c r="K5329" s="851"/>
      <c r="L5329" s="851"/>
    </row>
    <row r="5330" spans="11:12">
      <c r="K5330" s="851"/>
      <c r="L5330" s="851"/>
    </row>
    <row r="5331" spans="11:12">
      <c r="K5331" s="851"/>
      <c r="L5331" s="851"/>
    </row>
    <row r="5332" spans="11:12">
      <c r="K5332" s="851"/>
      <c r="L5332" s="851"/>
    </row>
    <row r="5333" spans="11:12">
      <c r="K5333" s="851"/>
      <c r="L5333" s="851"/>
    </row>
    <row r="5334" spans="11:12">
      <c r="K5334" s="851"/>
      <c r="L5334" s="851"/>
    </row>
    <row r="5335" spans="11:12">
      <c r="K5335" s="851"/>
      <c r="L5335" s="851"/>
    </row>
    <row r="5336" spans="11:12">
      <c r="K5336" s="851"/>
      <c r="L5336" s="851"/>
    </row>
    <row r="5337" spans="11:12">
      <c r="K5337" s="851"/>
      <c r="L5337" s="851"/>
    </row>
    <row r="5338" spans="11:12">
      <c r="K5338" s="851"/>
      <c r="L5338" s="851"/>
    </row>
    <row r="5339" spans="11:12">
      <c r="K5339" s="851"/>
      <c r="L5339" s="851"/>
    </row>
    <row r="5340" spans="11:12">
      <c r="K5340" s="851"/>
      <c r="L5340" s="851"/>
    </row>
    <row r="5341" spans="11:12">
      <c r="K5341" s="851"/>
      <c r="L5341" s="851"/>
    </row>
    <row r="5342" spans="11:12">
      <c r="K5342" s="851"/>
      <c r="L5342" s="851"/>
    </row>
    <row r="5343" spans="11:12">
      <c r="K5343" s="851"/>
      <c r="L5343" s="851"/>
    </row>
    <row r="5344" spans="11:12">
      <c r="K5344" s="851"/>
      <c r="L5344" s="851"/>
    </row>
    <row r="5345" spans="11:12">
      <c r="K5345" s="851"/>
      <c r="L5345" s="851"/>
    </row>
    <row r="5346" spans="11:12">
      <c r="K5346" s="851"/>
      <c r="L5346" s="851"/>
    </row>
    <row r="5347" spans="11:12">
      <c r="K5347" s="851"/>
      <c r="L5347" s="851"/>
    </row>
    <row r="5348" spans="11:12">
      <c r="K5348" s="851"/>
      <c r="L5348" s="851"/>
    </row>
    <row r="5349" spans="11:12">
      <c r="K5349" s="851"/>
      <c r="L5349" s="851"/>
    </row>
    <row r="5350" spans="11:12">
      <c r="K5350" s="851"/>
      <c r="L5350" s="851"/>
    </row>
    <row r="5351" spans="11:12">
      <c r="K5351" s="851"/>
      <c r="L5351" s="851"/>
    </row>
    <row r="5352" spans="11:12">
      <c r="K5352" s="851"/>
      <c r="L5352" s="851"/>
    </row>
    <row r="5353" spans="11:12">
      <c r="K5353" s="851"/>
      <c r="L5353" s="851"/>
    </row>
    <row r="5354" spans="11:12">
      <c r="K5354" s="851"/>
      <c r="L5354" s="851"/>
    </row>
    <row r="5355" spans="11:12">
      <c r="K5355" s="851"/>
      <c r="L5355" s="851"/>
    </row>
    <row r="5356" spans="11:12">
      <c r="K5356" s="851"/>
      <c r="L5356" s="851"/>
    </row>
    <row r="5357" spans="11:12">
      <c r="K5357" s="851"/>
      <c r="L5357" s="851"/>
    </row>
    <row r="5358" spans="11:12">
      <c r="K5358" s="851"/>
      <c r="L5358" s="851"/>
    </row>
    <row r="5359" spans="11:12">
      <c r="K5359" s="851"/>
      <c r="L5359" s="851"/>
    </row>
    <row r="5360" spans="11:12">
      <c r="K5360" s="851"/>
      <c r="L5360" s="851"/>
    </row>
    <row r="5361" spans="11:12">
      <c r="K5361" s="851"/>
      <c r="L5361" s="851"/>
    </row>
    <row r="5362" spans="11:12">
      <c r="K5362" s="851"/>
      <c r="L5362" s="851"/>
    </row>
    <row r="5363" spans="11:12">
      <c r="K5363" s="851"/>
      <c r="L5363" s="851"/>
    </row>
    <row r="5364" spans="11:12">
      <c r="K5364" s="851"/>
      <c r="L5364" s="851"/>
    </row>
    <row r="5365" spans="11:12">
      <c r="K5365" s="851"/>
      <c r="L5365" s="851"/>
    </row>
    <row r="5366" spans="11:12">
      <c r="K5366" s="851"/>
      <c r="L5366" s="851"/>
    </row>
    <row r="5367" spans="11:12">
      <c r="K5367" s="851"/>
      <c r="L5367" s="851"/>
    </row>
    <row r="5368" spans="11:12">
      <c r="K5368" s="851"/>
      <c r="L5368" s="851"/>
    </row>
    <row r="5369" spans="11:12">
      <c r="K5369" s="851"/>
      <c r="L5369" s="851"/>
    </row>
    <row r="5370" spans="11:12">
      <c r="K5370" s="851"/>
      <c r="L5370" s="851"/>
    </row>
    <row r="5371" spans="11:12">
      <c r="K5371" s="851"/>
      <c r="L5371" s="851"/>
    </row>
    <row r="5372" spans="11:12">
      <c r="K5372" s="851"/>
      <c r="L5372" s="851"/>
    </row>
    <row r="5373" spans="11:12">
      <c r="K5373" s="851"/>
      <c r="L5373" s="851"/>
    </row>
    <row r="5374" spans="11:12">
      <c r="K5374" s="851"/>
      <c r="L5374" s="851"/>
    </row>
    <row r="5375" spans="11:12">
      <c r="K5375" s="851"/>
      <c r="L5375" s="851"/>
    </row>
    <row r="5376" spans="11:12">
      <c r="K5376" s="851"/>
      <c r="L5376" s="851"/>
    </row>
    <row r="5377" spans="11:12">
      <c r="K5377" s="851"/>
      <c r="L5377" s="851"/>
    </row>
    <row r="5378" spans="11:12">
      <c r="K5378" s="851"/>
      <c r="L5378" s="851"/>
    </row>
    <row r="5379" spans="11:12">
      <c r="K5379" s="851"/>
      <c r="L5379" s="851"/>
    </row>
    <row r="5380" spans="11:12">
      <c r="K5380" s="851"/>
      <c r="L5380" s="851"/>
    </row>
    <row r="5381" spans="11:12">
      <c r="K5381" s="851"/>
      <c r="L5381" s="851"/>
    </row>
    <row r="5382" spans="11:12">
      <c r="K5382" s="851"/>
      <c r="L5382" s="851"/>
    </row>
    <row r="5383" spans="11:12">
      <c r="K5383" s="851"/>
      <c r="L5383" s="851"/>
    </row>
    <row r="5384" spans="11:12">
      <c r="K5384" s="851"/>
      <c r="L5384" s="851"/>
    </row>
    <row r="5385" spans="11:12">
      <c r="K5385" s="851"/>
      <c r="L5385" s="851"/>
    </row>
    <row r="5386" spans="11:12">
      <c r="K5386" s="851"/>
      <c r="L5386" s="851"/>
    </row>
    <row r="5387" spans="11:12">
      <c r="K5387" s="851"/>
      <c r="L5387" s="851"/>
    </row>
    <row r="5388" spans="11:12">
      <c r="K5388" s="851"/>
      <c r="L5388" s="851"/>
    </row>
    <row r="5389" spans="11:12">
      <c r="K5389" s="851"/>
      <c r="L5389" s="851"/>
    </row>
    <row r="5390" spans="11:12">
      <c r="K5390" s="851"/>
      <c r="L5390" s="851"/>
    </row>
    <row r="5391" spans="11:12">
      <c r="K5391" s="851"/>
      <c r="L5391" s="851"/>
    </row>
    <row r="5392" spans="11:12">
      <c r="K5392" s="851"/>
      <c r="L5392" s="851"/>
    </row>
    <row r="5393" spans="11:12">
      <c r="K5393" s="851"/>
      <c r="L5393" s="851"/>
    </row>
    <row r="5394" spans="11:12">
      <c r="K5394" s="851"/>
      <c r="L5394" s="851"/>
    </row>
    <row r="5395" spans="11:12">
      <c r="K5395" s="851"/>
      <c r="L5395" s="851"/>
    </row>
    <row r="5396" spans="11:12">
      <c r="K5396" s="851"/>
      <c r="L5396" s="851"/>
    </row>
    <row r="5397" spans="11:12">
      <c r="K5397" s="851"/>
      <c r="L5397" s="851"/>
    </row>
    <row r="5398" spans="11:12">
      <c r="K5398" s="851"/>
      <c r="L5398" s="851"/>
    </row>
    <row r="5399" spans="11:12">
      <c r="K5399" s="851"/>
      <c r="L5399" s="851"/>
    </row>
    <row r="5400" spans="11:12">
      <c r="K5400" s="851"/>
      <c r="L5400" s="851"/>
    </row>
    <row r="5401" spans="11:12">
      <c r="K5401" s="851"/>
      <c r="L5401" s="851"/>
    </row>
    <row r="5402" spans="11:12">
      <c r="K5402" s="851"/>
      <c r="L5402" s="851"/>
    </row>
    <row r="5403" spans="11:12">
      <c r="K5403" s="851"/>
      <c r="L5403" s="851"/>
    </row>
    <row r="5404" spans="11:12">
      <c r="K5404" s="851"/>
      <c r="L5404" s="851"/>
    </row>
    <row r="5405" spans="11:12">
      <c r="K5405" s="851"/>
      <c r="L5405" s="851"/>
    </row>
    <row r="5406" spans="11:12">
      <c r="K5406" s="851"/>
      <c r="L5406" s="851"/>
    </row>
    <row r="5407" spans="11:12">
      <c r="K5407" s="851"/>
      <c r="L5407" s="851"/>
    </row>
    <row r="5408" spans="11:12">
      <c r="K5408" s="851"/>
      <c r="L5408" s="851"/>
    </row>
    <row r="5409" spans="11:12">
      <c r="K5409" s="851"/>
      <c r="L5409" s="851"/>
    </row>
    <row r="5410" spans="11:12">
      <c r="K5410" s="851"/>
      <c r="L5410" s="851"/>
    </row>
    <row r="5411" spans="11:12">
      <c r="K5411" s="851"/>
      <c r="L5411" s="851"/>
    </row>
    <row r="5412" spans="11:12">
      <c r="K5412" s="851"/>
      <c r="L5412" s="851"/>
    </row>
    <row r="5413" spans="11:12">
      <c r="K5413" s="851"/>
      <c r="L5413" s="851"/>
    </row>
    <row r="5414" spans="11:12">
      <c r="K5414" s="851"/>
      <c r="L5414" s="851"/>
    </row>
    <row r="5415" spans="11:12">
      <c r="K5415" s="851"/>
      <c r="L5415" s="851"/>
    </row>
    <row r="5416" spans="11:12">
      <c r="K5416" s="851"/>
      <c r="L5416" s="851"/>
    </row>
    <row r="5417" spans="11:12">
      <c r="K5417" s="851"/>
      <c r="L5417" s="851"/>
    </row>
    <row r="5418" spans="11:12">
      <c r="K5418" s="851"/>
      <c r="L5418" s="851"/>
    </row>
    <row r="5419" spans="11:12">
      <c r="K5419" s="851"/>
      <c r="L5419" s="851"/>
    </row>
    <row r="5420" spans="11:12">
      <c r="K5420" s="851"/>
      <c r="L5420" s="851"/>
    </row>
    <row r="5421" spans="11:12">
      <c r="K5421" s="851"/>
      <c r="L5421" s="851"/>
    </row>
    <row r="5422" spans="11:12">
      <c r="K5422" s="851"/>
      <c r="L5422" s="851"/>
    </row>
    <row r="5423" spans="11:12">
      <c r="K5423" s="851"/>
      <c r="L5423" s="851"/>
    </row>
    <row r="5424" spans="11:12">
      <c r="K5424" s="851"/>
      <c r="L5424" s="851"/>
    </row>
    <row r="5425" spans="11:12">
      <c r="K5425" s="851"/>
      <c r="L5425" s="851"/>
    </row>
    <row r="5426" spans="11:12">
      <c r="K5426" s="851"/>
      <c r="L5426" s="851"/>
    </row>
    <row r="5427" spans="11:12">
      <c r="K5427" s="851"/>
      <c r="L5427" s="851"/>
    </row>
    <row r="5428" spans="11:12">
      <c r="K5428" s="851"/>
      <c r="L5428" s="851"/>
    </row>
    <row r="5429" spans="11:12">
      <c r="K5429" s="851"/>
      <c r="L5429" s="851"/>
    </row>
    <row r="5430" spans="11:12">
      <c r="K5430" s="851"/>
      <c r="L5430" s="851"/>
    </row>
    <row r="5431" spans="11:12">
      <c r="K5431" s="851"/>
      <c r="L5431" s="851"/>
    </row>
    <row r="5432" spans="11:12">
      <c r="K5432" s="851"/>
      <c r="L5432" s="851"/>
    </row>
    <row r="5433" spans="11:12">
      <c r="K5433" s="851"/>
      <c r="L5433" s="851"/>
    </row>
    <row r="5434" spans="11:12">
      <c r="K5434" s="851"/>
      <c r="L5434" s="851"/>
    </row>
    <row r="5435" spans="11:12">
      <c r="K5435" s="851"/>
      <c r="L5435" s="851"/>
    </row>
    <row r="5436" spans="11:12">
      <c r="K5436" s="851"/>
      <c r="L5436" s="851"/>
    </row>
    <row r="5437" spans="11:12">
      <c r="K5437" s="851"/>
      <c r="L5437" s="851"/>
    </row>
    <row r="5438" spans="11:12">
      <c r="K5438" s="851"/>
      <c r="L5438" s="851"/>
    </row>
    <row r="5439" spans="11:12">
      <c r="K5439" s="851"/>
      <c r="L5439" s="851"/>
    </row>
    <row r="5440" spans="11:12">
      <c r="K5440" s="851"/>
      <c r="L5440" s="851"/>
    </row>
    <row r="5441" spans="11:12">
      <c r="K5441" s="851"/>
      <c r="L5441" s="851"/>
    </row>
    <row r="5442" spans="11:12">
      <c r="K5442" s="851"/>
      <c r="L5442" s="851"/>
    </row>
    <row r="5443" spans="11:12">
      <c r="K5443" s="851"/>
      <c r="L5443" s="851"/>
    </row>
    <row r="5444" spans="11:12">
      <c r="K5444" s="851"/>
      <c r="L5444" s="851"/>
    </row>
    <row r="5445" spans="11:12">
      <c r="K5445" s="851"/>
      <c r="L5445" s="851"/>
    </row>
    <row r="5446" spans="11:12">
      <c r="K5446" s="851"/>
      <c r="L5446" s="851"/>
    </row>
    <row r="5447" spans="11:12">
      <c r="K5447" s="851"/>
      <c r="L5447" s="851"/>
    </row>
    <row r="5448" spans="11:12">
      <c r="K5448" s="851"/>
      <c r="L5448" s="851"/>
    </row>
    <row r="5449" spans="11:12">
      <c r="K5449" s="851"/>
      <c r="L5449" s="851"/>
    </row>
    <row r="5450" spans="11:12">
      <c r="K5450" s="851"/>
      <c r="L5450" s="851"/>
    </row>
    <row r="5451" spans="11:12">
      <c r="K5451" s="851"/>
      <c r="L5451" s="851"/>
    </row>
    <row r="5452" spans="11:12">
      <c r="K5452" s="851"/>
      <c r="L5452" s="851"/>
    </row>
    <row r="5453" spans="11:12">
      <c r="K5453" s="851"/>
      <c r="L5453" s="851"/>
    </row>
    <row r="5454" spans="11:12">
      <c r="K5454" s="851"/>
      <c r="L5454" s="851"/>
    </row>
    <row r="5455" spans="11:12">
      <c r="K5455" s="851"/>
      <c r="L5455" s="851"/>
    </row>
    <row r="5456" spans="11:12">
      <c r="K5456" s="851"/>
      <c r="L5456" s="851"/>
    </row>
    <row r="5457" spans="11:12">
      <c r="K5457" s="851"/>
      <c r="L5457" s="851"/>
    </row>
    <row r="5458" spans="11:12">
      <c r="K5458" s="851"/>
      <c r="L5458" s="851"/>
    </row>
    <row r="5459" spans="11:12">
      <c r="K5459" s="851"/>
      <c r="L5459" s="851"/>
    </row>
    <row r="5460" spans="11:12">
      <c r="K5460" s="851"/>
      <c r="L5460" s="851"/>
    </row>
    <row r="5461" spans="11:12">
      <c r="K5461" s="851"/>
      <c r="L5461" s="851"/>
    </row>
    <row r="5462" spans="11:12">
      <c r="K5462" s="851"/>
      <c r="L5462" s="851"/>
    </row>
    <row r="5463" spans="11:12">
      <c r="K5463" s="851"/>
      <c r="L5463" s="851"/>
    </row>
    <row r="5464" spans="11:12">
      <c r="K5464" s="851"/>
      <c r="L5464" s="851"/>
    </row>
    <row r="5465" spans="11:12">
      <c r="K5465" s="851"/>
      <c r="L5465" s="851"/>
    </row>
    <row r="5466" spans="11:12">
      <c r="K5466" s="851"/>
      <c r="L5466" s="851"/>
    </row>
    <row r="5467" spans="11:12">
      <c r="K5467" s="851"/>
      <c r="L5467" s="851"/>
    </row>
    <row r="5468" spans="11:12">
      <c r="K5468" s="851"/>
      <c r="L5468" s="851"/>
    </row>
    <row r="5469" spans="11:12">
      <c r="K5469" s="851"/>
      <c r="L5469" s="851"/>
    </row>
    <row r="5470" spans="11:12">
      <c r="K5470" s="851"/>
      <c r="L5470" s="851"/>
    </row>
    <row r="5471" spans="11:12">
      <c r="K5471" s="851"/>
      <c r="L5471" s="851"/>
    </row>
    <row r="5472" spans="11:12">
      <c r="K5472" s="851"/>
      <c r="L5472" s="851"/>
    </row>
    <row r="5473" spans="11:12">
      <c r="K5473" s="851"/>
      <c r="L5473" s="851"/>
    </row>
    <row r="5474" spans="11:12">
      <c r="K5474" s="851"/>
      <c r="L5474" s="851"/>
    </row>
    <row r="5475" spans="11:12">
      <c r="K5475" s="851"/>
      <c r="L5475" s="851"/>
    </row>
    <row r="5476" spans="11:12">
      <c r="K5476" s="851"/>
      <c r="L5476" s="851"/>
    </row>
    <row r="5477" spans="11:12">
      <c r="K5477" s="851"/>
      <c r="L5477" s="851"/>
    </row>
    <row r="5478" spans="11:12">
      <c r="K5478" s="851"/>
      <c r="L5478" s="851"/>
    </row>
    <row r="5479" spans="11:12">
      <c r="K5479" s="851"/>
      <c r="L5479" s="851"/>
    </row>
    <row r="5480" spans="11:12">
      <c r="K5480" s="851"/>
      <c r="L5480" s="851"/>
    </row>
    <row r="5481" spans="11:12">
      <c r="K5481" s="851"/>
      <c r="L5481" s="851"/>
    </row>
    <row r="5482" spans="11:12">
      <c r="K5482" s="851"/>
      <c r="L5482" s="851"/>
    </row>
    <row r="5483" spans="11:12">
      <c r="K5483" s="851"/>
      <c r="L5483" s="851"/>
    </row>
    <row r="5484" spans="11:12">
      <c r="K5484" s="851"/>
      <c r="L5484" s="851"/>
    </row>
    <row r="5485" spans="11:12">
      <c r="K5485" s="851"/>
      <c r="L5485" s="851"/>
    </row>
    <row r="5486" spans="11:12">
      <c r="K5486" s="851"/>
      <c r="L5486" s="851"/>
    </row>
    <row r="5487" spans="11:12">
      <c r="K5487" s="851"/>
      <c r="L5487" s="851"/>
    </row>
    <row r="5488" spans="11:12">
      <c r="K5488" s="851"/>
      <c r="L5488" s="851"/>
    </row>
    <row r="5489" spans="11:12">
      <c r="K5489" s="851"/>
      <c r="L5489" s="851"/>
    </row>
    <row r="5490" spans="11:12">
      <c r="K5490" s="851"/>
      <c r="L5490" s="851"/>
    </row>
    <row r="5491" spans="11:12">
      <c r="K5491" s="851"/>
      <c r="L5491" s="851"/>
    </row>
    <row r="5492" spans="11:12">
      <c r="K5492" s="851"/>
      <c r="L5492" s="851"/>
    </row>
    <row r="5493" spans="11:12">
      <c r="K5493" s="851"/>
      <c r="L5493" s="851"/>
    </row>
    <row r="5494" spans="11:12">
      <c r="K5494" s="851"/>
      <c r="L5494" s="851"/>
    </row>
    <row r="5495" spans="11:12">
      <c r="K5495" s="851"/>
      <c r="L5495" s="851"/>
    </row>
    <row r="5496" spans="11:12">
      <c r="K5496" s="851"/>
      <c r="L5496" s="851"/>
    </row>
    <row r="5497" spans="11:12">
      <c r="K5497" s="851"/>
      <c r="L5497" s="851"/>
    </row>
    <row r="5498" spans="11:12">
      <c r="K5498" s="851"/>
      <c r="L5498" s="851"/>
    </row>
    <row r="5499" spans="11:12">
      <c r="K5499" s="851"/>
      <c r="L5499" s="851"/>
    </row>
    <row r="5500" spans="11:12">
      <c r="K5500" s="851"/>
      <c r="L5500" s="851"/>
    </row>
    <row r="5501" spans="11:12">
      <c r="K5501" s="851"/>
      <c r="L5501" s="851"/>
    </row>
    <row r="5502" spans="11:12">
      <c r="K5502" s="851"/>
      <c r="L5502" s="851"/>
    </row>
    <row r="5503" spans="11:12">
      <c r="K5503" s="851"/>
      <c r="L5503" s="851"/>
    </row>
    <row r="5504" spans="11:12">
      <c r="K5504" s="851"/>
      <c r="L5504" s="851"/>
    </row>
    <row r="5505" spans="11:12">
      <c r="K5505" s="851"/>
      <c r="L5505" s="851"/>
    </row>
    <row r="5506" spans="11:12">
      <c r="K5506" s="851"/>
      <c r="L5506" s="851"/>
    </row>
    <row r="5507" spans="11:12">
      <c r="K5507" s="851"/>
      <c r="L5507" s="851"/>
    </row>
    <row r="5508" spans="11:12">
      <c r="K5508" s="851"/>
      <c r="L5508" s="851"/>
    </row>
    <row r="5509" spans="11:12">
      <c r="K5509" s="851"/>
      <c r="L5509" s="851"/>
    </row>
    <row r="5510" spans="11:12">
      <c r="K5510" s="851"/>
      <c r="L5510" s="851"/>
    </row>
    <row r="5511" spans="11:12">
      <c r="K5511" s="851"/>
      <c r="L5511" s="851"/>
    </row>
    <row r="5512" spans="11:12">
      <c r="K5512" s="851"/>
      <c r="L5512" s="851"/>
    </row>
    <row r="5513" spans="11:12">
      <c r="K5513" s="851"/>
      <c r="L5513" s="851"/>
    </row>
    <row r="5514" spans="11:12">
      <c r="K5514" s="851"/>
      <c r="L5514" s="851"/>
    </row>
    <row r="5515" spans="11:12">
      <c r="K5515" s="851"/>
      <c r="L5515" s="851"/>
    </row>
    <row r="5516" spans="11:12">
      <c r="K5516" s="851"/>
      <c r="L5516" s="851"/>
    </row>
    <row r="5517" spans="11:12">
      <c r="K5517" s="851"/>
      <c r="L5517" s="851"/>
    </row>
    <row r="5518" spans="11:12">
      <c r="K5518" s="851"/>
      <c r="L5518" s="851"/>
    </row>
    <row r="5519" spans="11:12">
      <c r="K5519" s="851"/>
      <c r="L5519" s="851"/>
    </row>
    <row r="5520" spans="11:12">
      <c r="K5520" s="851"/>
      <c r="L5520" s="851"/>
    </row>
    <row r="5521" spans="11:12">
      <c r="K5521" s="851"/>
      <c r="L5521" s="851"/>
    </row>
    <row r="5522" spans="11:12">
      <c r="K5522" s="851"/>
      <c r="L5522" s="851"/>
    </row>
    <row r="5523" spans="11:12">
      <c r="K5523" s="851"/>
      <c r="L5523" s="851"/>
    </row>
    <row r="5524" spans="11:12">
      <c r="K5524" s="851"/>
      <c r="L5524" s="851"/>
    </row>
    <row r="5525" spans="11:12">
      <c r="K5525" s="851"/>
      <c r="L5525" s="851"/>
    </row>
    <row r="5526" spans="11:12">
      <c r="K5526" s="851"/>
      <c r="L5526" s="851"/>
    </row>
    <row r="5527" spans="11:12">
      <c r="K5527" s="851"/>
      <c r="L5527" s="851"/>
    </row>
  </sheetData>
  <mergeCells count="2">
    <mergeCell ref="I1:J1"/>
    <mergeCell ref="C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dimension ref="A1:S44"/>
  <sheetViews>
    <sheetView zoomScale="70" zoomScaleNormal="70" workbookViewId="0">
      <selection activeCell="E17" sqref="E17"/>
    </sheetView>
  </sheetViews>
  <sheetFormatPr defaultColWidth="11" defaultRowHeight="15.75" outlineLevelRow="1"/>
  <cols>
    <col min="1" max="1" width="27" bestFit="1" customWidth="1"/>
    <col min="2" max="2" width="13.125" bestFit="1" customWidth="1"/>
    <col min="5" max="5" width="12.625" bestFit="1" customWidth="1"/>
    <col min="10" max="10" width="10.875" customWidth="1"/>
  </cols>
  <sheetData>
    <row r="1" spans="1:19">
      <c r="A1" t="s">
        <v>747</v>
      </c>
      <c r="B1">
        <f>B2+1</f>
        <v>2018</v>
      </c>
      <c r="C1" s="851">
        <f>C2+1</f>
        <v>2019</v>
      </c>
      <c r="D1" s="851">
        <f>D2+1</f>
        <v>2020</v>
      </c>
      <c r="E1" s="851">
        <f>E2+1</f>
        <v>2021</v>
      </c>
      <c r="F1" s="851">
        <f>F2+1</f>
        <v>2022</v>
      </c>
    </row>
    <row r="2" spans="1:19" ht="16.5" thickBot="1">
      <c r="A2" s="1317" t="s">
        <v>827</v>
      </c>
      <c r="B2" s="1317">
        <v>2017</v>
      </c>
      <c r="C2" s="1317">
        <v>2018</v>
      </c>
      <c r="D2" s="1317">
        <v>2019</v>
      </c>
      <c r="E2" s="1317">
        <v>2020</v>
      </c>
      <c r="F2" s="1317">
        <v>2021</v>
      </c>
      <c r="I2" t="s">
        <v>432</v>
      </c>
    </row>
    <row r="3" spans="1:19">
      <c r="A3" s="887" t="s">
        <v>425</v>
      </c>
      <c r="B3" s="887">
        <f>SUMIF(Model!2:2,DDM!B1,Model!153:153)</f>
        <v>0.7</v>
      </c>
      <c r="C3" s="887">
        <f>SUMIF(Model!2:2,DDM!C1,Model!153:153)</f>
        <v>1</v>
      </c>
      <c r="D3" s="887">
        <f>SUMIF(Model!2:2,DDM!D1,Model!153:153)</f>
        <v>1</v>
      </c>
      <c r="E3" s="887">
        <f>SUMIF(Model!2:2,DDM!E1,Model!153:153)</f>
        <v>1.3</v>
      </c>
      <c r="F3" s="1268">
        <v>1.4</v>
      </c>
      <c r="I3" t="s">
        <v>431</v>
      </c>
    </row>
    <row r="4" spans="1:19">
      <c r="A4" s="134" t="s">
        <v>921</v>
      </c>
      <c r="B4" s="888">
        <v>0.75</v>
      </c>
      <c r="C4" s="888">
        <f>1+B4</f>
        <v>1.75</v>
      </c>
      <c r="D4" s="888">
        <f>1+C4</f>
        <v>2.75</v>
      </c>
      <c r="E4" s="888">
        <f>1+D4</f>
        <v>3.75</v>
      </c>
      <c r="F4" s="888">
        <f>1+E4</f>
        <v>4.75</v>
      </c>
      <c r="I4" s="157" t="s">
        <v>876</v>
      </c>
    </row>
    <row r="5" spans="1:19">
      <c r="A5" s="887" t="s">
        <v>427</v>
      </c>
      <c r="B5" s="889">
        <f>B3/(1+$B$19)^B4</f>
        <v>0.65070329328461485</v>
      </c>
      <c r="C5" s="889">
        <f>C3/(1+$B$19)^C4</f>
        <v>0.84333136159079614</v>
      </c>
      <c r="D5" s="889">
        <f>D3/(1+$B$19)^D4</f>
        <v>0.76508825903860123</v>
      </c>
      <c r="E5" s="889">
        <f>E3/(1+$B$19)^E4</f>
        <v>0.90233577453932312</v>
      </c>
      <c r="F5" s="889"/>
    </row>
    <row r="6" spans="1:19" s="157" customFormat="1">
      <c r="A6" s="134" t="s">
        <v>426</v>
      </c>
      <c r="B6" s="870">
        <v>0.03</v>
      </c>
      <c r="C6" s="888"/>
      <c r="D6" s="888"/>
      <c r="E6" s="888"/>
      <c r="F6" s="888"/>
    </row>
    <row r="7" spans="1:19" s="868" customFormat="1">
      <c r="A7" s="873"/>
      <c r="B7" s="873"/>
      <c r="C7" s="873"/>
      <c r="D7" s="873"/>
      <c r="E7" s="873"/>
      <c r="F7" s="873"/>
    </row>
    <row r="8" spans="1:19" s="157" customFormat="1">
      <c r="A8" s="134" t="s">
        <v>420</v>
      </c>
      <c r="B8" s="890">
        <f>SUM(B5:F5)</f>
        <v>3.1614586884533353</v>
      </c>
      <c r="C8" s="888"/>
      <c r="D8" s="888"/>
      <c r="E8" s="888"/>
      <c r="F8" s="888"/>
    </row>
    <row r="9" spans="1:19">
      <c r="A9" s="134" t="s">
        <v>419</v>
      </c>
      <c r="B9" s="891">
        <f>(F3/(B19-B6))/(1+B19)^F4</f>
        <v>12.199092402951349</v>
      </c>
      <c r="C9" s="134"/>
      <c r="D9" s="134"/>
      <c r="E9" s="134"/>
      <c r="F9" s="134"/>
    </row>
    <row r="10" spans="1:19" s="2" customFormat="1" ht="16.5" thickBot="1">
      <c r="A10" s="887"/>
      <c r="B10" s="892"/>
      <c r="C10" s="887"/>
      <c r="D10" s="887"/>
      <c r="E10" s="887"/>
      <c r="F10" s="887"/>
    </row>
    <row r="11" spans="1:19" s="2" customFormat="1" ht="16.5" thickBot="1">
      <c r="A11" s="893" t="s">
        <v>430</v>
      </c>
      <c r="B11" s="894">
        <f>B8+B9</f>
        <v>15.360551091404684</v>
      </c>
      <c r="C11" s="893"/>
      <c r="D11" s="893"/>
      <c r="E11" s="893"/>
      <c r="F11" s="893"/>
    </row>
    <row r="12" spans="1:19" s="157" customFormat="1">
      <c r="A12" s="1445" t="s">
        <v>922</v>
      </c>
      <c r="B12" s="134"/>
      <c r="C12" s="134"/>
      <c r="D12" s="134"/>
      <c r="E12" s="134"/>
      <c r="F12" s="134"/>
      <c r="K12" s="1254" t="s">
        <v>875</v>
      </c>
      <c r="L12" s="1255"/>
      <c r="M12" s="1255"/>
      <c r="N12" s="1255"/>
      <c r="O12" s="1255"/>
      <c r="P12" s="1255"/>
      <c r="Q12" s="1255"/>
      <c r="R12" s="1255"/>
      <c r="S12" s="1256"/>
    </row>
    <row r="13" spans="1:19" s="851" customFormat="1" hidden="1" outlineLevel="1">
      <c r="A13" s="134"/>
      <c r="B13" s="134"/>
      <c r="C13" s="134"/>
      <c r="D13" s="134"/>
      <c r="E13" s="134"/>
      <c r="F13" s="134"/>
      <c r="K13" s="1257"/>
      <c r="L13" s="868"/>
      <c r="M13" s="868" t="s">
        <v>424</v>
      </c>
      <c r="N13" s="868"/>
      <c r="O13" s="868"/>
      <c r="P13" s="868"/>
      <c r="Q13" s="868"/>
      <c r="R13" s="868"/>
      <c r="S13" s="1258"/>
    </row>
    <row r="14" spans="1:19" s="851" customFormat="1" hidden="1" outlineLevel="1">
      <c r="A14" s="134"/>
      <c r="B14" s="134"/>
      <c r="C14" s="134"/>
      <c r="D14" s="134"/>
      <c r="E14" s="134"/>
      <c r="F14" s="134"/>
      <c r="K14" s="1257"/>
      <c r="L14" s="1028">
        <f>B11</f>
        <v>15.360551091404684</v>
      </c>
      <c r="M14" s="1032">
        <f>N14-0.5%</f>
        <v>8.7266766778664295E-2</v>
      </c>
      <c r="N14" s="1032">
        <f>O14-0.5%</f>
        <v>9.22667667786643E-2</v>
      </c>
      <c r="O14" s="1032">
        <f>P14-0.5%</f>
        <v>9.7266766778664304E-2</v>
      </c>
      <c r="P14" s="1032">
        <v>0.10226676677866431</v>
      </c>
      <c r="Q14" s="1032">
        <f>P14+0.5%</f>
        <v>0.10726676677866431</v>
      </c>
      <c r="R14" s="1032">
        <f>Q14+0.5%</f>
        <v>0.11226676677866432</v>
      </c>
      <c r="S14" s="1264">
        <f>R14+0.5%</f>
        <v>0.11726676677866432</v>
      </c>
    </row>
    <row r="15" spans="1:19" collapsed="1">
      <c r="A15" s="134"/>
      <c r="B15" s="134"/>
      <c r="C15" s="134"/>
      <c r="D15" s="134"/>
      <c r="E15" s="134"/>
      <c r="F15" s="134"/>
      <c r="K15" s="1257"/>
      <c r="L15" s="1034">
        <f t="shared" ref="L15:L16" si="0">L16-0.2%</f>
        <v>2.3999999999999994E-2</v>
      </c>
      <c r="M15" s="1028">
        <f t="dataTable" ref="M15:S21" dt2D="1" dtr="1" r1="B19" r2="B6" ca="1"/>
        <v>18.137136498507594</v>
      </c>
      <c r="N15" s="1028">
        <v>16.715464749729527</v>
      </c>
      <c r="O15" s="1028">
        <v>15.490825581241754</v>
      </c>
      <c r="P15" s="1028">
        <v>14.425357810395646</v>
      </c>
      <c r="Q15" s="1028">
        <v>13.490297821796045</v>
      </c>
      <c r="R15" s="1028">
        <v>12.663402697980638</v>
      </c>
      <c r="S15" s="1265">
        <v>11.927202226973158</v>
      </c>
    </row>
    <row r="16" spans="1:19">
      <c r="A16" s="871" t="s">
        <v>421</v>
      </c>
      <c r="B16" s="895">
        <f>'RIV model'!B21</f>
        <v>2.3699999999999999E-2</v>
      </c>
      <c r="C16" s="134"/>
      <c r="D16" s="134"/>
      <c r="E16" s="134"/>
      <c r="F16" s="134"/>
      <c r="K16" s="1257" t="s">
        <v>861</v>
      </c>
      <c r="L16" s="1034">
        <f t="shared" si="0"/>
        <v>2.5999999999999995E-2</v>
      </c>
      <c r="M16" s="1028">
        <v>18.622604812123186</v>
      </c>
      <c r="N16" s="1028">
        <v>17.122462018860851</v>
      </c>
      <c r="O16" s="1028">
        <v>15.835874662810035</v>
      </c>
      <c r="P16" s="1028">
        <v>14.720739392641859</v>
      </c>
      <c r="Q16" s="1028">
        <v>13.745318318971787</v>
      </c>
      <c r="R16" s="1028">
        <v>12.885234969188259</v>
      </c>
      <c r="S16" s="1265">
        <v>12.121457698545974</v>
      </c>
    </row>
    <row r="17" spans="1:19">
      <c r="A17" s="873" t="s">
        <v>422</v>
      </c>
      <c r="B17" s="896">
        <f>'RIV model'!B20</f>
        <v>5.237784451910954E-2</v>
      </c>
      <c r="C17" s="134"/>
      <c r="D17" s="134"/>
      <c r="E17" s="134"/>
      <c r="F17" s="134"/>
      <c r="K17" s="1257"/>
      <c r="L17" s="1034">
        <f>L18-0.2%</f>
        <v>2.7999999999999997E-2</v>
      </c>
      <c r="M17" s="1028">
        <v>19.140838085935009</v>
      </c>
      <c r="N17" s="1028">
        <v>17.554791028767809</v>
      </c>
      <c r="O17" s="1028">
        <v>16.200849552820962</v>
      </c>
      <c r="P17" s="1028">
        <v>15.032030194855947</v>
      </c>
      <c r="Q17" s="1028">
        <v>14.013207790500317</v>
      </c>
      <c r="R17" s="1028">
        <v>13.117597240759618</v>
      </c>
      <c r="S17" s="1265">
        <v>12.324417662443665</v>
      </c>
    </row>
    <row r="18" spans="1:19">
      <c r="A18" s="873" t="s">
        <v>423</v>
      </c>
      <c r="B18" s="873">
        <v>1.5</v>
      </c>
      <c r="C18" s="134"/>
      <c r="D18" s="134"/>
      <c r="E18" s="134"/>
      <c r="F18" s="134"/>
      <c r="K18" s="1257"/>
      <c r="L18" s="1034">
        <v>0.03</v>
      </c>
      <c r="M18" s="1028">
        <v>19.695269196849445</v>
      </c>
      <c r="N18" s="1028">
        <v>18.014892735557762</v>
      </c>
      <c r="O18" s="1028">
        <v>16.587527575447844</v>
      </c>
      <c r="P18" s="1028">
        <v>15.360551091404684</v>
      </c>
      <c r="Q18" s="1028">
        <v>14.294965551473179</v>
      </c>
      <c r="R18" s="1028">
        <v>13.361257502062191</v>
      </c>
      <c r="S18" s="1265">
        <v>12.536680593387791</v>
      </c>
    </row>
    <row r="19" spans="1:19">
      <c r="A19" s="897" t="s">
        <v>424</v>
      </c>
      <c r="B19" s="1316">
        <f>B16+B18*B17</f>
        <v>0.10226676677866431</v>
      </c>
      <c r="C19" s="134"/>
      <c r="D19" s="134"/>
      <c r="E19" s="134"/>
      <c r="F19" s="134"/>
      <c r="K19" s="1257"/>
      <c r="L19" s="1034">
        <f>L18+0.2%</f>
        <v>3.2000000000000001E-2</v>
      </c>
      <c r="M19" s="1028">
        <v>20.289827939122148</v>
      </c>
      <c r="N19" s="1028">
        <v>18.505532115522033</v>
      </c>
      <c r="O19" s="1028">
        <v>16.997903908361071</v>
      </c>
      <c r="P19" s="1028">
        <v>15.70777334061896</v>
      </c>
      <c r="Q19" s="1028">
        <v>14.591697132793682</v>
      </c>
      <c r="R19" s="1028">
        <v>13.617060286158759</v>
      </c>
      <c r="S19" s="1265">
        <v>12.758901116906996</v>
      </c>
    </row>
    <row r="20" spans="1:19">
      <c r="A20" s="871"/>
      <c r="B20" s="871"/>
      <c r="K20" s="1257"/>
      <c r="L20" s="1034">
        <f t="shared" ref="L20:L21" si="1">L19+0.2%</f>
        <v>3.4000000000000002E-2</v>
      </c>
      <c r="M20" s="1028">
        <v>20.929034312796496</v>
      </c>
      <c r="N20" s="1028">
        <v>19.029853774911764</v>
      </c>
      <c r="O20" s="1028">
        <v>17.434226016840729</v>
      </c>
      <c r="P20" s="1028">
        <v>16.075340613662473</v>
      </c>
      <c r="Q20" s="1028">
        <v>14.90462877831065</v>
      </c>
      <c r="R20" s="1028">
        <v>13.885936449653761</v>
      </c>
      <c r="S20" s="1265">
        <v>12.99179675282056</v>
      </c>
    </row>
    <row r="21" spans="1:19" s="851" customFormat="1" ht="16.5" thickBot="1">
      <c r="A21" s="897" t="s">
        <v>841</v>
      </c>
      <c r="B21" s="898">
        <f>1/'Fair multiples valuation'!B41+DDM!B16</f>
        <v>9.2665517241379308E-2</v>
      </c>
      <c r="K21" s="1266"/>
      <c r="L21" s="1267">
        <f t="shared" si="1"/>
        <v>3.6000000000000004E-2</v>
      </c>
      <c r="M21" s="1262">
        <v>21.618113648144742</v>
      </c>
      <c r="N21" s="1262">
        <v>19.591449419597453</v>
      </c>
      <c r="O21" s="1262">
        <v>17.899034832318058</v>
      </c>
      <c r="P21" s="1262">
        <v>16.465095012525556</v>
      </c>
      <c r="Q21" s="1262">
        <v>15.235124383000279</v>
      </c>
      <c r="R21" s="1262">
        <v>14.168914491324632</v>
      </c>
      <c r="S21" s="1263">
        <v>13.236155654477074</v>
      </c>
    </row>
    <row r="22" spans="1:19" s="851" customFormat="1"/>
    <row r="23" spans="1:19" s="157" customFormat="1">
      <c r="A23"/>
      <c r="B23"/>
      <c r="G23" s="868"/>
      <c r="K23" s="851"/>
      <c r="L23" s="851"/>
      <c r="M23" s="851"/>
      <c r="N23" s="851"/>
      <c r="O23" s="851"/>
      <c r="P23" s="851"/>
      <c r="Q23" s="851"/>
      <c r="R23" s="851"/>
      <c r="S23" s="851"/>
    </row>
    <row r="24" spans="1:19" s="157" customFormat="1" ht="15.75" customHeight="1">
      <c r="A24"/>
      <c r="B24" s="852"/>
      <c r="D24" s="868"/>
      <c r="G24" s="868"/>
      <c r="K24" s="1488" t="s">
        <v>428</v>
      </c>
      <c r="L24" s="1489"/>
      <c r="M24" s="1485" t="s">
        <v>424</v>
      </c>
      <c r="N24" s="1486"/>
      <c r="O24" s="1486"/>
      <c r="P24" s="1486"/>
      <c r="Q24" s="1486"/>
      <c r="R24" s="1486"/>
      <c r="S24" s="1486"/>
    </row>
    <row r="25" spans="1:19" s="157" customFormat="1">
      <c r="D25" s="868"/>
      <c r="G25" s="868"/>
      <c r="K25" s="1490"/>
      <c r="L25" s="1491"/>
      <c r="M25" s="1242">
        <f>N25-0.5%</f>
        <v>8.7266766778664295E-2</v>
      </c>
      <c r="N25" s="1240">
        <f>O25-0.5%</f>
        <v>9.22667667786643E-2</v>
      </c>
      <c r="O25" s="1240">
        <f>P25-0.5%</f>
        <v>9.7266766778664304E-2</v>
      </c>
      <c r="P25" s="1240">
        <v>0.10226676677866431</v>
      </c>
      <c r="Q25" s="1240">
        <f>P25+0.5%</f>
        <v>0.10726676677866431</v>
      </c>
      <c r="R25" s="1240">
        <f>Q25+0.5%</f>
        <v>0.11226676677866432</v>
      </c>
      <c r="S25" s="1240">
        <f>R25+0.5%</f>
        <v>0.11726676677866432</v>
      </c>
    </row>
    <row r="26" spans="1:19">
      <c r="B26" s="169" t="s">
        <v>428</v>
      </c>
      <c r="C26" s="169"/>
      <c r="D26" s="1029"/>
      <c r="E26" s="169"/>
      <c r="F26" s="169"/>
      <c r="G26" s="1029"/>
      <c r="H26" s="169"/>
      <c r="I26" s="169"/>
      <c r="K26" s="1487" t="s">
        <v>861</v>
      </c>
      <c r="L26" s="1244">
        <f t="shared" ref="L26:L27" si="2">L27-0.2%</f>
        <v>2.3999999999999994E-2</v>
      </c>
      <c r="M26" s="1245">
        <f t="shared" ref="M26:S32" si="3">M15</f>
        <v>18.137136498507594</v>
      </c>
      <c r="N26" s="1239">
        <f t="shared" si="3"/>
        <v>16.715464749729527</v>
      </c>
      <c r="O26" s="1239">
        <f t="shared" si="3"/>
        <v>15.490825581241754</v>
      </c>
      <c r="P26" s="1239">
        <f t="shared" si="3"/>
        <v>14.425357810395646</v>
      </c>
      <c r="Q26" s="1239">
        <f t="shared" si="3"/>
        <v>13.490297821796045</v>
      </c>
      <c r="R26" s="1239">
        <f t="shared" si="3"/>
        <v>12.663402697980638</v>
      </c>
      <c r="S26" s="1239">
        <f t="shared" si="3"/>
        <v>11.927202226973158</v>
      </c>
    </row>
    <row r="27" spans="1:19" s="157" customFormat="1" ht="15.75" customHeight="1">
      <c r="B27" s="862" t="s">
        <v>429</v>
      </c>
      <c r="C27" s="862"/>
      <c r="D27" s="868"/>
      <c r="E27" s="862" t="s">
        <v>424</v>
      </c>
      <c r="F27" s="863"/>
      <c r="G27" s="1030"/>
      <c r="H27" s="862" t="s">
        <v>423</v>
      </c>
      <c r="I27" s="863"/>
      <c r="K27" s="1487"/>
      <c r="L27" s="1241">
        <f t="shared" si="2"/>
        <v>2.5999999999999995E-2</v>
      </c>
      <c r="M27" s="1243">
        <f t="shared" si="3"/>
        <v>18.622604812123186</v>
      </c>
      <c r="N27" s="1028">
        <f t="shared" si="3"/>
        <v>17.122462018860851</v>
      </c>
      <c r="O27" s="1028">
        <f t="shared" si="3"/>
        <v>15.835874662810035</v>
      </c>
      <c r="P27" s="1028">
        <f t="shared" si="3"/>
        <v>14.720739392641859</v>
      </c>
      <c r="Q27" s="1028">
        <f t="shared" si="3"/>
        <v>13.745318318971787</v>
      </c>
      <c r="R27" s="1028">
        <f t="shared" si="3"/>
        <v>12.885234969188259</v>
      </c>
      <c r="S27" s="1028">
        <f t="shared" si="3"/>
        <v>12.121457698545974</v>
      </c>
    </row>
    <row r="28" spans="1:19">
      <c r="B28" s="862"/>
      <c r="C28" s="867">
        <f>B11</f>
        <v>15.360551091404684</v>
      </c>
      <c r="D28" s="1028"/>
      <c r="E28" s="862"/>
      <c r="F28" s="867">
        <f>B11</f>
        <v>15.360551091404684</v>
      </c>
      <c r="G28" s="1028"/>
      <c r="H28" s="862"/>
      <c r="I28" s="867">
        <f>B11</f>
        <v>15.360551091404684</v>
      </c>
      <c r="K28" s="1487"/>
      <c r="L28" s="1241">
        <f>L29-0.2%</f>
        <v>2.7999999999999997E-2</v>
      </c>
      <c r="M28" s="1243">
        <f t="shared" si="3"/>
        <v>19.140838085935009</v>
      </c>
      <c r="N28" s="1028">
        <f t="shared" si="3"/>
        <v>17.554791028767809</v>
      </c>
      <c r="O28" s="1028">
        <f t="shared" si="3"/>
        <v>16.200849552820962</v>
      </c>
      <c r="P28" s="1028">
        <f t="shared" si="3"/>
        <v>15.032030194855947</v>
      </c>
      <c r="Q28" s="1028">
        <f t="shared" si="3"/>
        <v>14.013207790500317</v>
      </c>
      <c r="R28" s="1028">
        <f t="shared" si="3"/>
        <v>13.117597240759618</v>
      </c>
      <c r="S28" s="1028">
        <f t="shared" si="3"/>
        <v>12.324417662443665</v>
      </c>
    </row>
    <row r="29" spans="1:19">
      <c r="B29" s="159">
        <f t="shared" ref="B29:B30" si="4">B30-0.2%</f>
        <v>2.3999999999999994E-2</v>
      </c>
      <c r="C29" s="852">
        <f t="dataTable" ref="C29:C35" dt2D="0" dtr="0" r1="B6"/>
        <v>14.425357810395646</v>
      </c>
      <c r="D29" s="1028"/>
      <c r="E29" s="1032">
        <f t="shared" ref="E29:E30" si="5">E30-0.5%</f>
        <v>8.7266766778664295E-2</v>
      </c>
      <c r="F29" s="852">
        <f t="dataTable" ref="F29:F35" dt2D="0" dtr="0" r1="B19" ca="1"/>
        <v>19.695269196849445</v>
      </c>
      <c r="G29" s="1028"/>
      <c r="H29" s="1028">
        <v>2.1</v>
      </c>
      <c r="I29" s="852">
        <f t="dataTable" ref="I29:I35" dt2D="0" dtr="0" r1="B18" ca="1"/>
        <v>10.399329253897637</v>
      </c>
      <c r="K29" s="1487"/>
      <c r="L29" s="1241">
        <v>0.03</v>
      </c>
      <c r="M29" s="1243">
        <f t="shared" si="3"/>
        <v>19.695269196849445</v>
      </c>
      <c r="N29" s="1028">
        <f t="shared" si="3"/>
        <v>18.014892735557762</v>
      </c>
      <c r="O29" s="1028">
        <f t="shared" si="3"/>
        <v>16.587527575447844</v>
      </c>
      <c r="P29" s="1028">
        <f t="shared" si="3"/>
        <v>15.360551091404684</v>
      </c>
      <c r="Q29" s="1028">
        <f t="shared" si="3"/>
        <v>14.294965551473179</v>
      </c>
      <c r="R29" s="1028">
        <f t="shared" si="3"/>
        <v>13.361257502062191</v>
      </c>
      <c r="S29" s="1028">
        <f t="shared" si="3"/>
        <v>12.536680593387791</v>
      </c>
    </row>
    <row r="30" spans="1:19">
      <c r="B30" s="159">
        <f t="shared" si="4"/>
        <v>2.5999999999999995E-2</v>
      </c>
      <c r="C30" s="852">
        <v>14.720739392641859</v>
      </c>
      <c r="D30" s="1028"/>
      <c r="E30" s="1032">
        <f t="shared" si="5"/>
        <v>9.22667667786643E-2</v>
      </c>
      <c r="F30" s="861">
        <v>18.014892735557762</v>
      </c>
      <c r="G30" s="1031"/>
      <c r="H30" s="1028">
        <v>1.9</v>
      </c>
      <c r="I30" s="861">
        <v>11.673053599898465</v>
      </c>
      <c r="K30" s="1487"/>
      <c r="L30" s="1241">
        <f>L29+0.2%</f>
        <v>3.2000000000000001E-2</v>
      </c>
      <c r="M30" s="1243">
        <f t="shared" si="3"/>
        <v>20.289827939122148</v>
      </c>
      <c r="N30" s="1028">
        <f t="shared" si="3"/>
        <v>18.505532115522033</v>
      </c>
      <c r="O30" s="1028">
        <f t="shared" si="3"/>
        <v>16.997903908361071</v>
      </c>
      <c r="P30" s="1028">
        <f t="shared" si="3"/>
        <v>15.70777334061896</v>
      </c>
      <c r="Q30" s="1028">
        <f t="shared" si="3"/>
        <v>14.591697132793682</v>
      </c>
      <c r="R30" s="1028">
        <f t="shared" si="3"/>
        <v>13.617060286158759</v>
      </c>
      <c r="S30" s="1028">
        <f t="shared" si="3"/>
        <v>12.758901116906996</v>
      </c>
    </row>
    <row r="31" spans="1:19">
      <c r="B31" s="159">
        <f>B32-0.2%</f>
        <v>2.7999999999999997E-2</v>
      </c>
      <c r="C31" s="852">
        <v>15.032030194855947</v>
      </c>
      <c r="D31" s="1028"/>
      <c r="E31" s="1032">
        <f>E32-0.5%</f>
        <v>9.7266766778664304E-2</v>
      </c>
      <c r="F31" s="861">
        <v>16.587527575447844</v>
      </c>
      <c r="G31" s="1031"/>
      <c r="H31" s="1028">
        <v>1.7</v>
      </c>
      <c r="I31" s="861">
        <v>13.278444626563946</v>
      </c>
      <c r="K31" s="1487"/>
      <c r="L31" s="1241">
        <f t="shared" ref="L31:L32" si="6">L30+0.2%</f>
        <v>3.4000000000000002E-2</v>
      </c>
      <c r="M31" s="1243">
        <f t="shared" si="3"/>
        <v>20.929034312796496</v>
      </c>
      <c r="N31" s="1028">
        <f t="shared" si="3"/>
        <v>19.029853774911764</v>
      </c>
      <c r="O31" s="1028">
        <f t="shared" si="3"/>
        <v>17.434226016840729</v>
      </c>
      <c r="P31" s="1028">
        <f t="shared" si="3"/>
        <v>16.075340613662473</v>
      </c>
      <c r="Q31" s="1028">
        <f t="shared" si="3"/>
        <v>14.90462877831065</v>
      </c>
      <c r="R31" s="1028">
        <f t="shared" si="3"/>
        <v>13.885936449653761</v>
      </c>
      <c r="S31" s="1028">
        <f t="shared" si="3"/>
        <v>12.99179675282056</v>
      </c>
    </row>
    <row r="32" spans="1:19">
      <c r="A32" s="860"/>
      <c r="B32" s="159">
        <v>0.03</v>
      </c>
      <c r="C32" s="852">
        <v>15.360551091404684</v>
      </c>
      <c r="D32" s="1028"/>
      <c r="E32" s="1032">
        <v>0.10226676677866431</v>
      </c>
      <c r="F32" s="861">
        <v>15.360551091404684</v>
      </c>
      <c r="G32" s="1031"/>
      <c r="H32" s="1028">
        <v>1.5</v>
      </c>
      <c r="I32" s="861">
        <v>15.360551091404684</v>
      </c>
      <c r="K32" s="1487"/>
      <c r="L32" s="1241">
        <f t="shared" si="6"/>
        <v>3.6000000000000004E-2</v>
      </c>
      <c r="M32" s="1243">
        <f t="shared" si="3"/>
        <v>21.618113648144742</v>
      </c>
      <c r="N32" s="1028">
        <f t="shared" si="3"/>
        <v>19.591449419597453</v>
      </c>
      <c r="O32" s="1028">
        <f t="shared" si="3"/>
        <v>17.899034832318058</v>
      </c>
      <c r="P32" s="1028">
        <f t="shared" si="3"/>
        <v>16.465095012525556</v>
      </c>
      <c r="Q32" s="1028">
        <f t="shared" si="3"/>
        <v>15.235124383000279</v>
      </c>
      <c r="R32" s="1028">
        <f t="shared" si="3"/>
        <v>14.168914491324632</v>
      </c>
      <c r="S32" s="1028">
        <f t="shared" si="3"/>
        <v>13.236155654477074</v>
      </c>
    </row>
    <row r="33" spans="1:9">
      <c r="A33" s="860"/>
      <c r="B33" s="159">
        <f>B32+0.2%</f>
        <v>3.2000000000000001E-2</v>
      </c>
      <c r="C33" s="852">
        <v>15.70777334061896</v>
      </c>
      <c r="D33" s="1028"/>
      <c r="E33" s="1032">
        <f>E32+0.5%</f>
        <v>0.10726676677866431</v>
      </c>
      <c r="F33" s="861">
        <v>14.294965551473179</v>
      </c>
      <c r="G33" s="1031"/>
      <c r="H33" s="1028">
        <v>1.3</v>
      </c>
      <c r="I33" s="861">
        <v>18.16286488721089</v>
      </c>
    </row>
    <row r="34" spans="1:9">
      <c r="A34" s="860"/>
      <c r="B34" s="159">
        <f t="shared" ref="B34:B35" si="7">B33+0.2%</f>
        <v>3.4000000000000002E-2</v>
      </c>
      <c r="C34" s="852">
        <v>16.075340613662473</v>
      </c>
      <c r="D34" s="1028"/>
      <c r="E34" s="1032">
        <f t="shared" ref="E34:E35" si="8">E33+0.5%</f>
        <v>0.11226676677866432</v>
      </c>
      <c r="F34" s="861">
        <v>13.361257502062191</v>
      </c>
      <c r="G34" s="1031"/>
      <c r="H34" s="1028">
        <v>1.1000000000000001</v>
      </c>
      <c r="I34" s="861">
        <v>22.127811192199569</v>
      </c>
    </row>
    <row r="35" spans="1:9">
      <c r="A35" s="860"/>
      <c r="B35" s="864">
        <f t="shared" si="7"/>
        <v>3.6000000000000004E-2</v>
      </c>
      <c r="C35" s="865">
        <v>16.465095012525556</v>
      </c>
      <c r="D35" s="1028"/>
      <c r="E35" s="1033">
        <f t="shared" si="8"/>
        <v>0.11726676677866432</v>
      </c>
      <c r="F35" s="866">
        <v>12.536680593387791</v>
      </c>
      <c r="G35" s="1031"/>
      <c r="H35" s="865">
        <v>0.90000000000000013</v>
      </c>
      <c r="I35" s="866">
        <v>28.151895552855461</v>
      </c>
    </row>
    <row r="36" spans="1:9">
      <c r="A36" s="860"/>
      <c r="D36" s="868"/>
      <c r="G36" s="868"/>
    </row>
    <row r="37" spans="1:9">
      <c r="B37" s="159"/>
      <c r="C37" s="159"/>
      <c r="D37" s="1034"/>
      <c r="E37" s="159"/>
      <c r="F37" s="159"/>
      <c r="G37" s="159"/>
    </row>
    <row r="38" spans="1:9">
      <c r="C38" s="164"/>
      <c r="D38" s="1035"/>
      <c r="E38" s="164"/>
      <c r="F38" s="164"/>
      <c r="G38" s="164"/>
    </row>
    <row r="39" spans="1:9">
      <c r="C39" s="164"/>
      <c r="D39" s="164"/>
      <c r="E39" s="164"/>
      <c r="F39" s="164"/>
      <c r="G39" s="164"/>
      <c r="H39" s="164"/>
      <c r="I39" s="164"/>
    </row>
    <row r="40" spans="1:9">
      <c r="C40" s="164"/>
      <c r="D40" s="164"/>
      <c r="E40" s="164"/>
      <c r="F40" s="164"/>
      <c r="G40" s="164"/>
      <c r="H40" s="164"/>
    </row>
    <row r="41" spans="1:9">
      <c r="C41" s="164"/>
      <c r="D41" s="164"/>
      <c r="E41" s="164"/>
      <c r="F41" s="164"/>
      <c r="G41" s="164"/>
      <c r="H41" s="164"/>
    </row>
    <row r="42" spans="1:9">
      <c r="C42" s="164"/>
      <c r="D42" s="164"/>
      <c r="E42" s="164"/>
      <c r="F42" s="164"/>
      <c r="G42" s="164"/>
      <c r="H42" s="164"/>
    </row>
    <row r="43" spans="1:9">
      <c r="C43" s="164"/>
      <c r="D43" s="164"/>
      <c r="E43" s="164"/>
      <c r="F43" s="164"/>
      <c r="G43" s="164"/>
      <c r="H43" s="164"/>
    </row>
    <row r="44" spans="1:9">
      <c r="C44" s="164"/>
      <c r="D44" s="164"/>
      <c r="E44" s="164"/>
      <c r="F44" s="164"/>
      <c r="G44" s="164"/>
      <c r="H44" s="164"/>
    </row>
  </sheetData>
  <mergeCells count="3">
    <mergeCell ref="M24:S24"/>
    <mergeCell ref="K26:K32"/>
    <mergeCell ref="K24:L25"/>
  </mergeCells>
  <pageMargins left="0.7" right="0.7" top="0.75" bottom="0.75" header="0.3" footer="0.3"/>
  <pageSetup paperSize="9" orientation="portrait" horizontalDpi="0" verticalDpi="0"/>
  <drawing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L56"/>
  <sheetViews>
    <sheetView topLeftCell="A34" zoomScale="85" zoomScaleNormal="85" workbookViewId="0">
      <selection activeCell="B33" sqref="B33"/>
    </sheetView>
  </sheetViews>
  <sheetFormatPr defaultColWidth="11" defaultRowHeight="15.75"/>
  <cols>
    <col min="1" max="1" width="46.625" style="851" bestFit="1" customWidth="1"/>
    <col min="2" max="6" width="10.875" style="851" customWidth="1"/>
    <col min="7" max="7" width="9.125" style="851" customWidth="1"/>
    <col min="8" max="10" width="10.875" style="851" customWidth="1"/>
    <col min="11" max="15" width="11" style="851"/>
    <col min="16" max="16" width="10.5" style="851" customWidth="1"/>
    <col min="17" max="30" width="11" style="851"/>
    <col min="31" max="31" width="9.5" style="851" customWidth="1"/>
    <col min="32" max="32" width="11" style="851"/>
    <col min="33" max="33" width="7.625" style="851" bestFit="1" customWidth="1"/>
    <col min="34" max="36" width="11" style="851"/>
    <col min="37" max="37" width="9.125" style="851" bestFit="1" customWidth="1"/>
    <col min="38" max="16384" width="11" style="851"/>
  </cols>
  <sheetData>
    <row r="2" spans="1:48">
      <c r="AE2" s="18"/>
      <c r="AF2" s="18"/>
      <c r="AG2" s="18"/>
      <c r="AH2" s="18"/>
      <c r="AI2" s="18"/>
      <c r="AJ2" s="18"/>
      <c r="AK2" s="18"/>
      <c r="AL2" s="18"/>
      <c r="AM2" s="18"/>
      <c r="AN2" s="18"/>
      <c r="AO2" s="18"/>
      <c r="AP2" s="18"/>
      <c r="AQ2" s="18"/>
      <c r="AR2" s="18"/>
      <c r="AS2" s="18"/>
      <c r="AT2" s="18"/>
      <c r="AU2" s="18"/>
      <c r="AV2" s="18"/>
    </row>
    <row r="3" spans="1:48">
      <c r="K3" s="851" t="s">
        <v>790</v>
      </c>
      <c r="L3" s="851" t="s">
        <v>791</v>
      </c>
      <c r="M3" s="851" t="s">
        <v>792</v>
      </c>
      <c r="N3" s="851" t="s">
        <v>793</v>
      </c>
      <c r="O3" s="851" t="s">
        <v>794</v>
      </c>
      <c r="P3" s="851" t="s">
        <v>795</v>
      </c>
      <c r="Q3" s="851" t="s">
        <v>796</v>
      </c>
      <c r="R3" s="851" t="s">
        <v>797</v>
      </c>
      <c r="S3" s="851" t="s">
        <v>798</v>
      </c>
      <c r="T3" s="851" t="s">
        <v>799</v>
      </c>
      <c r="U3" s="851" t="s">
        <v>800</v>
      </c>
      <c r="V3" s="851" t="s">
        <v>801</v>
      </c>
      <c r="W3" s="851" t="s">
        <v>802</v>
      </c>
      <c r="X3" s="851" t="s">
        <v>803</v>
      </c>
      <c r="Y3" s="851" t="s">
        <v>804</v>
      </c>
      <c r="Z3" s="851" t="s">
        <v>805</v>
      </c>
      <c r="AA3" s="1199" t="s">
        <v>806</v>
      </c>
      <c r="AB3" s="1199" t="s">
        <v>807</v>
      </c>
      <c r="AC3" s="1199" t="s">
        <v>808</v>
      </c>
      <c r="AD3" s="1199" t="s">
        <v>809</v>
      </c>
      <c r="AP3" s="18"/>
      <c r="AQ3" s="18"/>
      <c r="AR3" s="18"/>
      <c r="AS3" s="18"/>
      <c r="AT3" s="18"/>
      <c r="AU3" s="18"/>
      <c r="AV3" s="18"/>
    </row>
    <row r="4" spans="1:48">
      <c r="A4" s="851" t="s">
        <v>763</v>
      </c>
      <c r="N4" s="851">
        <f t="shared" ref="N4:AD4" si="0">M4+0.25</f>
        <v>0.25</v>
      </c>
      <c r="O4" s="851">
        <f t="shared" si="0"/>
        <v>0.5</v>
      </c>
      <c r="P4" s="851">
        <f t="shared" si="0"/>
        <v>0.75</v>
      </c>
      <c r="Q4" s="851">
        <f t="shared" si="0"/>
        <v>1</v>
      </c>
      <c r="R4" s="851">
        <f t="shared" si="0"/>
        <v>1.25</v>
      </c>
      <c r="S4" s="851">
        <f t="shared" si="0"/>
        <v>1.5</v>
      </c>
      <c r="T4" s="851">
        <f t="shared" si="0"/>
        <v>1.75</v>
      </c>
      <c r="U4" s="851">
        <f t="shared" si="0"/>
        <v>2</v>
      </c>
      <c r="V4" s="851">
        <f t="shared" si="0"/>
        <v>2.25</v>
      </c>
      <c r="W4" s="851">
        <f t="shared" si="0"/>
        <v>2.5</v>
      </c>
      <c r="X4" s="851">
        <f t="shared" si="0"/>
        <v>2.75</v>
      </c>
      <c r="Y4" s="851">
        <f t="shared" si="0"/>
        <v>3</v>
      </c>
      <c r="Z4" s="851">
        <f t="shared" si="0"/>
        <v>3.25</v>
      </c>
      <c r="AA4" s="851">
        <f t="shared" si="0"/>
        <v>3.5</v>
      </c>
      <c r="AB4" s="851">
        <f t="shared" si="0"/>
        <v>3.75</v>
      </c>
      <c r="AC4" s="851">
        <f t="shared" si="0"/>
        <v>4</v>
      </c>
      <c r="AD4" s="851">
        <f t="shared" si="0"/>
        <v>4.25</v>
      </c>
      <c r="AP4" s="18"/>
      <c r="AQ4" s="18"/>
      <c r="AR4" s="18"/>
    </row>
    <row r="5" spans="1:48">
      <c r="AP5" s="18"/>
      <c r="AQ5" s="18"/>
      <c r="AR5" s="18"/>
    </row>
    <row r="6" spans="1:48">
      <c r="A6" s="851" t="s">
        <v>764</v>
      </c>
      <c r="D6" s="1183">
        <f>Model!W147</f>
        <v>2.477974848322834E-2</v>
      </c>
      <c r="E6" s="1183">
        <f>Model!X147</f>
        <v>1.7597455348459363E-2</v>
      </c>
      <c r="F6" s="1183">
        <f>Model!Y147</f>
        <v>-0.13044795207484938</v>
      </c>
      <c r="G6" s="1183">
        <f>Model!Z147</f>
        <v>-6.8248693764754583E-3</v>
      </c>
      <c r="H6" s="1183">
        <f>Model!AA147</f>
        <v>3.9573583521381964E-3</v>
      </c>
      <c r="I6" s="1183">
        <f>Model!AB147</f>
        <v>8.292431475380443E-4</v>
      </c>
      <c r="J6" s="1183">
        <f>Model!AC147</f>
        <v>-6.0738282292597451E-2</v>
      </c>
      <c r="K6" s="1183">
        <f>Model!AD147</f>
        <v>1.416284883790476E-2</v>
      </c>
      <c r="L6" s="1183">
        <f>Model!AE147</f>
        <v>7.1835201596337816E-3</v>
      </c>
      <c r="M6" s="1183">
        <f>Model!AF147</f>
        <v>5.6553445295417339E-3</v>
      </c>
      <c r="N6" s="1184">
        <f>Model!AG147</f>
        <v>9.8348743952533374E-3</v>
      </c>
      <c r="O6" s="1184">
        <f>Model!AH147</f>
        <v>1.0320476524711407E-2</v>
      </c>
      <c r="P6" s="1184">
        <f>Model!AI147</f>
        <v>1.4275035292559921E-2</v>
      </c>
      <c r="Q6" s="1184">
        <f>Model!AJ147</f>
        <v>1.7906814433514214E-2</v>
      </c>
      <c r="R6" s="1184">
        <f>Model!AK147</f>
        <v>2.0614587502410211E-2</v>
      </c>
      <c r="S6" s="1184">
        <f>Model!AL147</f>
        <v>2.0345879102260853E-2</v>
      </c>
      <c r="T6" s="1184">
        <f>Model!AM147</f>
        <v>2.1769144638578781E-2</v>
      </c>
      <c r="U6" s="1184">
        <f>Model!AN147</f>
        <v>2.2101023829400272E-2</v>
      </c>
      <c r="V6" s="1184">
        <f>Model!AO147</f>
        <v>2.4237649586049792E-2</v>
      </c>
      <c r="W6" s="1184">
        <f>Model!AP147</f>
        <v>2.3779763710229409E-2</v>
      </c>
      <c r="X6" s="1184">
        <f>Model!AQ147</f>
        <v>2.5165435518710109E-2</v>
      </c>
      <c r="Y6" s="1184">
        <f>Model!AR147</f>
        <v>2.4495043532734476E-2</v>
      </c>
      <c r="Z6" s="1184">
        <f>Model!AS147</f>
        <v>2.5299822238550335E-2</v>
      </c>
      <c r="AA6" s="1184">
        <f>Model!AT147</f>
        <v>2.4761180092879635E-2</v>
      </c>
      <c r="AB6" s="1184">
        <f>Model!AU147</f>
        <v>2.6343286576482525E-2</v>
      </c>
      <c r="AC6" s="1184">
        <f>Model!AV147</f>
        <v>2.5789372896321952E-2</v>
      </c>
      <c r="AD6" s="1184">
        <f>Model!AW147</f>
        <v>2.6601717730511096E-2</v>
      </c>
      <c r="AE6" s="1184"/>
      <c r="AF6" s="1184"/>
      <c r="AG6" s="1184"/>
      <c r="AH6" s="1184"/>
      <c r="AI6" s="1184"/>
      <c r="AJ6" s="1184"/>
      <c r="AK6" s="1184"/>
      <c r="AL6" s="1184"/>
      <c r="AM6" s="1184"/>
      <c r="AN6" s="1184"/>
      <c r="AO6" s="1184"/>
      <c r="AP6" s="1184"/>
      <c r="AQ6" s="1184"/>
      <c r="AR6" s="1184"/>
      <c r="AS6" s="1184"/>
      <c r="AT6" s="1184"/>
      <c r="AU6" s="1184"/>
      <c r="AV6" s="1184"/>
    </row>
    <row r="7" spans="1:48">
      <c r="A7" s="851" t="s">
        <v>765</v>
      </c>
      <c r="K7" s="133">
        <f>(B23+1)^0.25-1</f>
        <v>2.4640878887230544E-2</v>
      </c>
      <c r="L7" s="1197">
        <f>K7</f>
        <v>2.4640878887230544E-2</v>
      </c>
      <c r="M7" s="1197">
        <f t="shared" ref="M7:AD7" si="1">L7</f>
        <v>2.4640878887230544E-2</v>
      </c>
      <c r="N7" s="1185">
        <f t="shared" si="1"/>
        <v>2.4640878887230544E-2</v>
      </c>
      <c r="O7" s="1185">
        <f t="shared" si="1"/>
        <v>2.4640878887230544E-2</v>
      </c>
      <c r="P7" s="1185">
        <f t="shared" si="1"/>
        <v>2.4640878887230544E-2</v>
      </c>
      <c r="Q7" s="1185">
        <f t="shared" si="1"/>
        <v>2.4640878887230544E-2</v>
      </c>
      <c r="R7" s="1185">
        <f t="shared" si="1"/>
        <v>2.4640878887230544E-2</v>
      </c>
      <c r="S7" s="1185">
        <f t="shared" si="1"/>
        <v>2.4640878887230544E-2</v>
      </c>
      <c r="T7" s="1185">
        <f t="shared" si="1"/>
        <v>2.4640878887230544E-2</v>
      </c>
      <c r="U7" s="1185">
        <f t="shared" si="1"/>
        <v>2.4640878887230544E-2</v>
      </c>
      <c r="V7" s="1185">
        <f t="shared" si="1"/>
        <v>2.4640878887230544E-2</v>
      </c>
      <c r="W7" s="1185">
        <f t="shared" si="1"/>
        <v>2.4640878887230544E-2</v>
      </c>
      <c r="X7" s="1185">
        <f t="shared" si="1"/>
        <v>2.4640878887230544E-2</v>
      </c>
      <c r="Y7" s="1185">
        <f t="shared" si="1"/>
        <v>2.4640878887230544E-2</v>
      </c>
      <c r="Z7" s="1185">
        <f t="shared" si="1"/>
        <v>2.4640878887230544E-2</v>
      </c>
      <c r="AA7" s="1185">
        <f t="shared" si="1"/>
        <v>2.4640878887230544E-2</v>
      </c>
      <c r="AB7" s="1185">
        <f t="shared" si="1"/>
        <v>2.4640878887230544E-2</v>
      </c>
      <c r="AC7" s="1185">
        <f t="shared" si="1"/>
        <v>2.4640878887230544E-2</v>
      </c>
      <c r="AD7" s="1185">
        <f t="shared" si="1"/>
        <v>2.4640878887230544E-2</v>
      </c>
      <c r="AE7" s="1185"/>
      <c r="AF7" s="1185"/>
      <c r="AG7" s="1185"/>
      <c r="AH7" s="1185"/>
      <c r="AI7" s="1185"/>
      <c r="AJ7" s="1185"/>
      <c r="AK7" s="1185"/>
      <c r="AL7" s="1185"/>
      <c r="AM7" s="1185"/>
      <c r="AN7" s="1185"/>
      <c r="AO7" s="1185"/>
      <c r="AP7" s="1185"/>
      <c r="AQ7" s="1185"/>
      <c r="AR7" s="1185"/>
      <c r="AS7" s="1185"/>
      <c r="AT7" s="1185"/>
      <c r="AU7" s="1185"/>
    </row>
    <row r="8" spans="1:48">
      <c r="A8" s="851" t="s">
        <v>766</v>
      </c>
      <c r="L8" s="1198">
        <f>Model!AE28</f>
        <v>306</v>
      </c>
      <c r="M8" s="1198">
        <f>Model!AF28</f>
        <v>247</v>
      </c>
      <c r="N8" s="1186">
        <f>Model!AG28</f>
        <v>422.10348304123426</v>
      </c>
      <c r="O8" s="1186">
        <f>Model!AH28</f>
        <v>435.5019664120934</v>
      </c>
      <c r="P8" s="1186">
        <f>Model!AI28</f>
        <v>596.97926484694449</v>
      </c>
      <c r="Q8" s="1186">
        <f>Model!AJ28</f>
        <v>744.85981493595432</v>
      </c>
      <c r="R8" s="1186">
        <f>Model!AK28</f>
        <v>874.18148168419793</v>
      </c>
      <c r="S8" s="1186">
        <f>Model!AL28</f>
        <v>880.63831834854591</v>
      </c>
      <c r="T8" s="1186">
        <f>Model!AM28</f>
        <v>934.18445349749595</v>
      </c>
      <c r="U8" s="1186">
        <f>Model!AN28</f>
        <v>940.91207728258621</v>
      </c>
      <c r="V8" s="1186">
        <f>Model!AO28</f>
        <v>1056.0762995990299</v>
      </c>
      <c r="W8" s="1186">
        <f>Model!AP28</f>
        <v>1061.3007836630604</v>
      </c>
      <c r="X8" s="1186">
        <f>Model!AQ28</f>
        <v>1118.4206120340239</v>
      </c>
      <c r="Y8" s="1186">
        <f>Model!AR28</f>
        <v>1084.3109227330597</v>
      </c>
      <c r="Z8" s="1186">
        <f>Model!AS28</f>
        <v>1148.1764617260808</v>
      </c>
      <c r="AA8" s="1186">
        <f>Model!AT28</f>
        <v>1152.2115403798409</v>
      </c>
      <c r="AB8" s="1186">
        <f>Model!AU28</f>
        <v>1213.2371938935476</v>
      </c>
      <c r="AC8" s="1186">
        <f>Model!AV28</f>
        <v>1175.6999781182633</v>
      </c>
      <c r="AD8" s="1186">
        <f>Model!AW28</f>
        <v>1244.9300553132348</v>
      </c>
      <c r="AE8" s="159"/>
      <c r="AF8" s="159"/>
      <c r="AG8" s="159"/>
      <c r="AH8" s="159"/>
      <c r="AI8" s="159"/>
      <c r="AJ8" s="159"/>
      <c r="AK8" s="159"/>
      <c r="AL8" s="159"/>
      <c r="AM8" s="159"/>
      <c r="AN8" s="159"/>
      <c r="AO8" s="159"/>
    </row>
    <row r="9" spans="1:48">
      <c r="A9" s="851" t="s">
        <v>767</v>
      </c>
      <c r="L9" s="1198">
        <f>L7*AVERAGE(Model!AD106:AE106)</f>
        <v>1049.639838398803</v>
      </c>
      <c r="M9" s="1198">
        <f>M7*AVERAGE(Model!AE106:AF106)</f>
        <v>1076.2027058392375</v>
      </c>
      <c r="N9" s="1186">
        <f>N7*AVERAGE(Model!AF106)</f>
        <v>1080.6996662361571</v>
      </c>
      <c r="O9" s="1186">
        <f>O7*AVERAGE(Model!AG106)</f>
        <v>1034.4266455990241</v>
      </c>
      <c r="P9" s="1186">
        <f>P7*AVERAGE(Model!AH106)</f>
        <v>1045.1577968085353</v>
      </c>
      <c r="Q9" s="1186">
        <f>Q7*AVERAGE(Model!AI106)</f>
        <v>1015.7959538204827</v>
      </c>
      <c r="R9" s="1186">
        <f>R7*AVERAGE(Model!AJ106)</f>
        <v>1034.1499543082846</v>
      </c>
      <c r="S9" s="1186">
        <f>S7*AVERAGE(Model!AK106)</f>
        <v>1055.6905543239247</v>
      </c>
      <c r="T9" s="1186">
        <f>T7*AVERAGE(Model!AL106)</f>
        <v>1077.3902564698055</v>
      </c>
      <c r="U9" s="1186">
        <f>U7*AVERAGE(Model!AM106)</f>
        <v>1037.4494728020084</v>
      </c>
      <c r="V9" s="1186">
        <f>V7*AVERAGE(Model!AN106)</f>
        <v>1060.634373341861</v>
      </c>
      <c r="W9" s="1186">
        <f>W7*AVERAGE(Model!AO106)</f>
        <v>1086.6570215359552</v>
      </c>
      <c r="X9" s="1186">
        <f>X7*AVERAGE(Model!AP106)</f>
        <v>1112.8084056091195</v>
      </c>
      <c r="Y9" s="1186">
        <f>Y7*AVERAGE(Model!AQ106)</f>
        <v>1077.4073628104695</v>
      </c>
      <c r="Z9" s="1186">
        <f>Z7*AVERAGE(Model!AR106)</f>
        <v>1104.1257369336358</v>
      </c>
      <c r="AA9" s="1186">
        <f>AA7*AVERAGE(Model!AS106)</f>
        <v>1132.417814068197</v>
      </c>
      <c r="AB9" s="1186">
        <f>AB7*AVERAGE(Model!AT106)</f>
        <v>1160.8093190871659</v>
      </c>
      <c r="AC9" s="1186">
        <f>AC7*AVERAGE(Model!AU106)</f>
        <v>1108.8566673051887</v>
      </c>
      <c r="AD9" s="1186">
        <f>AD7*AVERAGE(Model!AV106)</f>
        <v>1137.8269480737204</v>
      </c>
    </row>
    <row r="11" spans="1:48">
      <c r="AF11" s="1186"/>
      <c r="AG11" s="1186"/>
      <c r="AH11" s="1186"/>
      <c r="AI11" s="1186"/>
      <c r="AJ11" s="1186"/>
      <c r="AK11" s="1186"/>
      <c r="AL11" s="1186"/>
      <c r="AM11" s="1186"/>
      <c r="AN11" s="1186"/>
      <c r="AO11" s="1186"/>
    </row>
    <row r="12" spans="1:48">
      <c r="A12" s="851" t="s">
        <v>768</v>
      </c>
      <c r="L12" s="1186">
        <f t="shared" ref="L12:AD12" si="2">L8-L9</f>
        <v>-743.63983839880302</v>
      </c>
      <c r="M12" s="1186">
        <f t="shared" si="2"/>
        <v>-829.20270583923752</v>
      </c>
      <c r="N12" s="1186">
        <f t="shared" si="2"/>
        <v>-658.59618319492279</v>
      </c>
      <c r="O12" s="1186">
        <f t="shared" si="2"/>
        <v>-598.92467918693069</v>
      </c>
      <c r="P12" s="1186">
        <f t="shared" si="2"/>
        <v>-448.17853196159081</v>
      </c>
      <c r="Q12" s="1186">
        <f t="shared" si="2"/>
        <v>-270.93613888452842</v>
      </c>
      <c r="R12" s="1186">
        <f t="shared" si="2"/>
        <v>-159.96847262408664</v>
      </c>
      <c r="S12" s="1186">
        <f t="shared" si="2"/>
        <v>-175.05223597537884</v>
      </c>
      <c r="T12" s="1186">
        <f t="shared" si="2"/>
        <v>-143.20580297230958</v>
      </c>
      <c r="U12" s="1186">
        <f t="shared" si="2"/>
        <v>-96.537395519422148</v>
      </c>
      <c r="V12" s="1186">
        <f t="shared" si="2"/>
        <v>-4.558073742831084</v>
      </c>
      <c r="W12" s="1186">
        <f t="shared" si="2"/>
        <v>-25.356237872894781</v>
      </c>
      <c r="X12" s="1186">
        <f t="shared" si="2"/>
        <v>5.6122064249043433</v>
      </c>
      <c r="Y12" s="1186">
        <f t="shared" si="2"/>
        <v>6.9035599225901478</v>
      </c>
      <c r="Z12" s="1186">
        <f t="shared" si="2"/>
        <v>44.050724792444953</v>
      </c>
      <c r="AA12" s="1186">
        <f t="shared" si="2"/>
        <v>19.793726311643923</v>
      </c>
      <c r="AB12" s="1186">
        <f t="shared" si="2"/>
        <v>52.427874806381624</v>
      </c>
      <c r="AC12" s="1186">
        <f t="shared" si="2"/>
        <v>66.843310813074595</v>
      </c>
      <c r="AD12" s="1186">
        <f t="shared" si="2"/>
        <v>107.10310723951443</v>
      </c>
      <c r="AE12" s="1186"/>
      <c r="AF12" s="1186"/>
      <c r="AG12" s="1186"/>
      <c r="AH12" s="1186"/>
      <c r="AI12" s="1186"/>
      <c r="AJ12" s="1186"/>
      <c r="AK12" s="1186"/>
      <c r="AL12" s="1186"/>
      <c r="AM12" s="1186"/>
      <c r="AN12" s="1186"/>
      <c r="AO12" s="1186"/>
      <c r="AP12" s="1186"/>
      <c r="AQ12" s="1186"/>
      <c r="AR12" s="1186"/>
      <c r="AS12" s="1186"/>
      <c r="AT12" s="1186"/>
      <c r="AU12" s="1186"/>
    </row>
    <row r="13" spans="1:48">
      <c r="A13" s="851" t="s">
        <v>769</v>
      </c>
      <c r="H13" s="851" t="s">
        <v>770</v>
      </c>
      <c r="J13" s="1180">
        <f>SUM(N13:AD13)+M33</f>
        <v>573.68949718731437</v>
      </c>
      <c r="L13" s="1186">
        <f t="shared" ref="L13:AD13" si="3">L12/(1+$B$23)^L4</f>
        <v>-743.63983839880302</v>
      </c>
      <c r="M13" s="1186">
        <f t="shared" si="3"/>
        <v>-829.20270583923752</v>
      </c>
      <c r="N13" s="1186">
        <f t="shared" si="3"/>
        <v>-642.75805969225462</v>
      </c>
      <c r="O13" s="1186">
        <f t="shared" si="3"/>
        <v>-570.46480030524526</v>
      </c>
      <c r="P13" s="1186">
        <f t="shared" si="3"/>
        <v>-416.61606675267308</v>
      </c>
      <c r="Q13" s="1186">
        <f t="shared" si="3"/>
        <v>-245.79906339400009</v>
      </c>
      <c r="R13" s="1186">
        <f t="shared" si="3"/>
        <v>-141.63676735664657</v>
      </c>
      <c r="S13" s="1186">
        <f t="shared" si="3"/>
        <v>-151.26470054043085</v>
      </c>
      <c r="T13" s="1186">
        <f t="shared" si="3"/>
        <v>-120.76994480834111</v>
      </c>
      <c r="U13" s="1186">
        <f t="shared" si="3"/>
        <v>-79.455168035301099</v>
      </c>
      <c r="V13" s="1186">
        <f t="shared" si="3"/>
        <v>-3.6613078044916825</v>
      </c>
      <c r="W13" s="1186">
        <f t="shared" si="3"/>
        <v>-19.877787023831118</v>
      </c>
      <c r="X13" s="1186">
        <f t="shared" si="3"/>
        <v>4.2938332429953165</v>
      </c>
      <c r="Y13" s="1186">
        <f t="shared" si="3"/>
        <v>5.1548135070301662</v>
      </c>
      <c r="Z13" s="1186">
        <f t="shared" si="3"/>
        <v>32.101197903661365</v>
      </c>
      <c r="AA13" s="1186">
        <f t="shared" si="3"/>
        <v>14.077452255760923</v>
      </c>
      <c r="AB13" s="1186">
        <f t="shared" si="3"/>
        <v>36.39042078528233</v>
      </c>
      <c r="AC13" s="1186">
        <f t="shared" si="3"/>
        <v>45.28048793115552</v>
      </c>
      <c r="AD13" s="1186">
        <f t="shared" si="3"/>
        <v>70.808197237892145</v>
      </c>
      <c r="AE13" s="1186"/>
      <c r="AF13" s="1186"/>
      <c r="AG13" s="1186"/>
      <c r="AH13" s="1186"/>
      <c r="AI13" s="1186"/>
      <c r="AJ13" s="1186"/>
      <c r="AK13" s="1186"/>
      <c r="AL13" s="1186"/>
      <c r="AM13" s="1186"/>
      <c r="AN13" s="1186"/>
      <c r="AO13" s="1186"/>
      <c r="AP13" s="1186"/>
      <c r="AQ13" s="1186"/>
      <c r="AR13" s="1186"/>
      <c r="AS13" s="1186"/>
      <c r="AT13" s="1186"/>
      <c r="AU13" s="1186"/>
    </row>
    <row r="14" spans="1:48">
      <c r="K14" s="1180"/>
      <c r="L14" s="1186"/>
      <c r="M14" s="1186"/>
      <c r="N14" s="1186"/>
      <c r="O14" s="1186"/>
      <c r="P14" s="1186"/>
      <c r="Q14" s="1186"/>
      <c r="R14" s="1186"/>
      <c r="S14" s="1186"/>
      <c r="T14" s="1186"/>
      <c r="U14" s="1186"/>
      <c r="V14" s="1186"/>
      <c r="W14" s="1186"/>
      <c r="X14" s="1186"/>
      <c r="Y14" s="1186"/>
      <c r="Z14" s="1186"/>
      <c r="AA14" s="1186"/>
      <c r="AB14" s="1186"/>
      <c r="AC14" s="1186"/>
      <c r="AD14" s="1186"/>
      <c r="AE14" s="1186"/>
      <c r="AF14" s="1186"/>
      <c r="AG14" s="1186"/>
      <c r="AH14" s="1186"/>
      <c r="AI14" s="1186"/>
      <c r="AJ14" s="1186"/>
      <c r="AK14" s="1186"/>
      <c r="AL14" s="1186"/>
      <c r="AM14" s="1186"/>
      <c r="AN14" s="1186"/>
      <c r="AO14" s="1186"/>
      <c r="AP14" s="1186"/>
      <c r="AQ14" s="1186"/>
      <c r="AR14" s="1186"/>
      <c r="AS14" s="1186"/>
      <c r="AT14" s="1186"/>
      <c r="AU14" s="1186"/>
    </row>
    <row r="15" spans="1:48">
      <c r="A15" s="1451" t="s">
        <v>771</v>
      </c>
      <c r="B15" s="1451"/>
      <c r="J15" s="1187"/>
      <c r="K15" s="1187" t="s">
        <v>772</v>
      </c>
      <c r="L15" s="1187"/>
      <c r="M15" s="1187"/>
      <c r="N15" s="1187"/>
      <c r="O15" s="1187"/>
      <c r="P15" s="1188" t="s">
        <v>773</v>
      </c>
      <c r="Q15" s="1188"/>
      <c r="R15" s="1188"/>
      <c r="S15" s="1188"/>
      <c r="T15" s="1188"/>
      <c r="U15" s="1188"/>
      <c r="V15" s="1188"/>
      <c r="W15" s="1188"/>
      <c r="X15" s="1188"/>
      <c r="Y15" s="1188"/>
      <c r="Z15" s="1188"/>
      <c r="AA15" s="1188"/>
      <c r="AB15" s="1188"/>
      <c r="AC15" s="1188"/>
      <c r="AD15" s="1188"/>
      <c r="AE15" s="1188"/>
      <c r="AF15" s="1188"/>
      <c r="AG15" s="1188"/>
      <c r="AH15" s="1188"/>
      <c r="AI15" s="1188"/>
      <c r="AJ15" s="1188"/>
      <c r="AK15" s="1188"/>
      <c r="AL15" s="1188"/>
      <c r="AM15" s="1188"/>
      <c r="AN15" s="1188"/>
      <c r="AO15" s="1188"/>
      <c r="AP15" s="1188"/>
      <c r="AQ15" s="1188"/>
      <c r="AR15" s="1188"/>
      <c r="AS15" s="1188"/>
    </row>
    <row r="16" spans="1:48">
      <c r="A16" s="868" t="s">
        <v>822</v>
      </c>
      <c r="B16" s="1189">
        <f>Beta!J279</f>
        <v>4.1833533557328606E-2</v>
      </c>
      <c r="J16" s="851" t="s">
        <v>774</v>
      </c>
      <c r="L16" s="18"/>
      <c r="M16" s="18"/>
      <c r="N16" s="18"/>
      <c r="O16" s="18">
        <f>AD4</f>
        <v>4.25</v>
      </c>
      <c r="P16" s="18">
        <f>O16+1</f>
        <v>5.25</v>
      </c>
      <c r="Q16" s="18">
        <f t="shared" ref="Q16:AS16" si="4">P16+1</f>
        <v>6.25</v>
      </c>
      <c r="R16" s="18">
        <f t="shared" si="4"/>
        <v>7.25</v>
      </c>
      <c r="S16" s="18">
        <f t="shared" si="4"/>
        <v>8.25</v>
      </c>
      <c r="T16" s="18">
        <f t="shared" si="4"/>
        <v>9.25</v>
      </c>
      <c r="U16" s="18">
        <f t="shared" si="4"/>
        <v>10.25</v>
      </c>
      <c r="V16" s="18">
        <f t="shared" si="4"/>
        <v>11.25</v>
      </c>
      <c r="W16" s="18">
        <f t="shared" si="4"/>
        <v>12.25</v>
      </c>
      <c r="X16" s="18">
        <f t="shared" si="4"/>
        <v>13.25</v>
      </c>
      <c r="Y16" s="18">
        <f t="shared" si="4"/>
        <v>14.25</v>
      </c>
      <c r="Z16" s="18">
        <f t="shared" si="4"/>
        <v>15.25</v>
      </c>
      <c r="AA16" s="18">
        <f t="shared" si="4"/>
        <v>16.25</v>
      </c>
      <c r="AB16" s="18">
        <f t="shared" si="4"/>
        <v>17.25</v>
      </c>
      <c r="AC16" s="18">
        <f t="shared" si="4"/>
        <v>18.25</v>
      </c>
      <c r="AD16" s="18">
        <f t="shared" si="4"/>
        <v>19.25</v>
      </c>
      <c r="AE16" s="18">
        <f t="shared" si="4"/>
        <v>20.25</v>
      </c>
      <c r="AF16" s="18">
        <f t="shared" si="4"/>
        <v>21.25</v>
      </c>
      <c r="AG16" s="18">
        <f t="shared" si="4"/>
        <v>22.25</v>
      </c>
      <c r="AH16" s="18">
        <f t="shared" si="4"/>
        <v>23.25</v>
      </c>
      <c r="AI16" s="18">
        <f t="shared" si="4"/>
        <v>24.25</v>
      </c>
      <c r="AJ16" s="18">
        <f t="shared" si="4"/>
        <v>25.25</v>
      </c>
      <c r="AK16" s="18">
        <f t="shared" si="4"/>
        <v>26.25</v>
      </c>
      <c r="AL16" s="18">
        <f t="shared" si="4"/>
        <v>27.25</v>
      </c>
      <c r="AM16" s="18">
        <f t="shared" si="4"/>
        <v>28.25</v>
      </c>
      <c r="AN16" s="18">
        <f t="shared" si="4"/>
        <v>29.25</v>
      </c>
      <c r="AO16" s="18">
        <f t="shared" si="4"/>
        <v>30.25</v>
      </c>
      <c r="AP16" s="18">
        <f t="shared" si="4"/>
        <v>31.25</v>
      </c>
      <c r="AQ16" s="18">
        <f t="shared" si="4"/>
        <v>32.25</v>
      </c>
      <c r="AR16" s="18">
        <f t="shared" si="4"/>
        <v>33.25</v>
      </c>
      <c r="AS16" s="18">
        <f t="shared" si="4"/>
        <v>34.25</v>
      </c>
    </row>
    <row r="17" spans="1:64">
      <c r="A17" s="942" t="s">
        <v>900</v>
      </c>
      <c r="B17" s="1189"/>
      <c r="J17" s="851" t="s">
        <v>810</v>
      </c>
      <c r="K17" s="851">
        <v>2017</v>
      </c>
      <c r="L17" s="18">
        <v>2018</v>
      </c>
      <c r="M17" s="18">
        <v>2019</v>
      </c>
      <c r="N17" s="18">
        <v>2020</v>
      </c>
      <c r="O17" s="18">
        <v>2021</v>
      </c>
      <c r="P17" s="18">
        <v>2022</v>
      </c>
      <c r="Q17" s="18">
        <v>2023</v>
      </c>
      <c r="R17" s="18">
        <v>2024</v>
      </c>
      <c r="S17" s="18">
        <v>2025</v>
      </c>
      <c r="T17" s="18">
        <v>2026</v>
      </c>
      <c r="U17" s="18">
        <v>2027</v>
      </c>
      <c r="V17" s="18">
        <v>2028</v>
      </c>
      <c r="W17" s="18">
        <v>2029</v>
      </c>
      <c r="X17" s="18">
        <v>2030</v>
      </c>
      <c r="Y17" s="18">
        <v>2031</v>
      </c>
      <c r="Z17" s="18">
        <v>2032</v>
      </c>
      <c r="AA17" s="18">
        <v>2033</v>
      </c>
      <c r="AB17" s="18">
        <v>2034</v>
      </c>
      <c r="AC17" s="18">
        <v>2035</v>
      </c>
      <c r="AD17" s="18">
        <v>2036</v>
      </c>
      <c r="AE17" s="18">
        <v>2037</v>
      </c>
      <c r="AF17" s="18">
        <v>2038</v>
      </c>
      <c r="AG17" s="18">
        <v>2039</v>
      </c>
      <c r="AH17" s="18">
        <v>2040</v>
      </c>
      <c r="AI17" s="18">
        <v>2041</v>
      </c>
      <c r="AJ17" s="18">
        <v>2042</v>
      </c>
      <c r="AK17" s="18">
        <v>2043</v>
      </c>
      <c r="AL17" s="18">
        <v>2044</v>
      </c>
      <c r="AM17" s="18">
        <v>2045</v>
      </c>
      <c r="AN17" s="18">
        <v>2046</v>
      </c>
      <c r="AO17" s="18">
        <v>2047</v>
      </c>
      <c r="AP17" s="18">
        <v>2048</v>
      </c>
      <c r="AQ17" s="18">
        <v>2049</v>
      </c>
      <c r="AR17" s="18">
        <v>2050</v>
      </c>
      <c r="AS17" s="18">
        <v>2051</v>
      </c>
    </row>
    <row r="18" spans="1:64">
      <c r="A18" s="1201" t="s">
        <v>440</v>
      </c>
      <c r="B18" s="1189">
        <v>5.6899999999999999E-2</v>
      </c>
      <c r="J18" s="851" t="s">
        <v>776</v>
      </c>
      <c r="K18" s="159">
        <f>SUMIF(Model!2:2,'RIV model'!K17,Model!148:148)</f>
        <v>3.4215598505936334E-2</v>
      </c>
      <c r="L18" s="1185">
        <f>SUMIF(Model!2:2,'RIV model'!L17,Model!148:148)</f>
        <v>6.2962258686233424E-2</v>
      </c>
      <c r="M18" s="1185">
        <f>SUMIF(Model!2:2,'RIV model'!M17,Model!148:148)</f>
        <v>8.8149682983329924E-2</v>
      </c>
      <c r="N18" s="1185">
        <f>SUMIF(Model!2:2,'RIV model'!N17,Model!148:148)</f>
        <v>9.8239542140921773E-2</v>
      </c>
      <c r="O18" s="1185">
        <f>SUMIF(Model!2:2,'RIV model'!O17,Model!148:148)</f>
        <v>0.10308853931449675</v>
      </c>
      <c r="P18" s="120">
        <f>P21/P26</f>
        <v>0.10668885535392514</v>
      </c>
      <c r="Q18" s="120">
        <f t="shared" ref="Q18:AS18" si="5">Q21/Q26</f>
        <v>0.10981219603779585</v>
      </c>
      <c r="R18" s="120">
        <f t="shared" si="5"/>
        <v>0.11193784453759348</v>
      </c>
      <c r="S18" s="120">
        <f t="shared" si="5"/>
        <v>0.11315787998846567</v>
      </c>
      <c r="T18" s="120">
        <f t="shared" si="5"/>
        <v>0.11358433505159843</v>
      </c>
      <c r="U18" s="120">
        <f t="shared" si="5"/>
        <v>0.1133373493269219</v>
      </c>
      <c r="V18" s="120">
        <f t="shared" si="5"/>
        <v>0.11253609898013532</v>
      </c>
      <c r="W18" s="120">
        <f t="shared" si="5"/>
        <v>0.11129257705082295</v>
      </c>
      <c r="X18" s="120">
        <f t="shared" si="5"/>
        <v>0.10970787514285657</v>
      </c>
      <c r="Y18" s="120">
        <f t="shared" si="5"/>
        <v>0.10787043035434012</v>
      </c>
      <c r="Z18" s="120">
        <f t="shared" si="5"/>
        <v>0.10614444721209781</v>
      </c>
      <c r="AA18" s="120">
        <f t="shared" si="5"/>
        <v>0.10452077066807071</v>
      </c>
      <c r="AB18" s="120">
        <f t="shared" si="5"/>
        <v>0.10299121532497856</v>
      </c>
      <c r="AC18" s="120">
        <f t="shared" si="5"/>
        <v>0.10154844027062997</v>
      </c>
      <c r="AD18" s="120">
        <f t="shared" si="5"/>
        <v>0.10018584281667692</v>
      </c>
      <c r="AE18" s="120">
        <f t="shared" si="5"/>
        <v>9.8897467892521226E-2</v>
      </c>
      <c r="AF18" s="120">
        <f t="shared" si="5"/>
        <v>9.767793046805176E-2</v>
      </c>
      <c r="AG18" s="120">
        <f t="shared" si="5"/>
        <v>9.6522348870636057E-2</v>
      </c>
      <c r="AH18" s="120">
        <f t="shared" si="5"/>
        <v>9.5426287252323591E-2</v>
      </c>
      <c r="AI18" s="120">
        <f t="shared" si="5"/>
        <v>9.4385705775166293E-2</v>
      </c>
      <c r="AJ18" s="120">
        <f t="shared" si="5"/>
        <v>9.3396917333111215E-2</v>
      </c>
      <c r="AK18" s="120">
        <f t="shared" si="5"/>
        <v>9.245654983121239E-2</v>
      </c>
      <c r="AL18" s="120">
        <f t="shared" si="5"/>
        <v>9.156151320705333E-2</v>
      </c>
      <c r="AM18" s="120">
        <f t="shared" si="5"/>
        <v>9.0708970513097328E-2</v>
      </c>
      <c r="AN18" s="120">
        <f t="shared" si="5"/>
        <v>8.9896312488288665E-2</v>
      </c>
      <c r="AO18" s="120">
        <f t="shared" si="5"/>
        <v>8.9121135137385579E-2</v>
      </c>
      <c r="AP18" s="120">
        <f t="shared" si="5"/>
        <v>8.8381219910978456E-2</v>
      </c>
      <c r="AQ18" s="120">
        <f t="shared" si="5"/>
        <v>8.7674516140906406E-2</v>
      </c>
      <c r="AR18" s="120">
        <f t="shared" si="5"/>
        <v>8.6999125437199648E-2</v>
      </c>
      <c r="AS18" s="120">
        <f t="shared" si="5"/>
        <v>8.6353287795634698E-2</v>
      </c>
      <c r="BJ18" s="133"/>
      <c r="BK18" s="133"/>
      <c r="BL18" s="133"/>
    </row>
    <row r="19" spans="1:64">
      <c r="A19" s="1201" t="s">
        <v>172</v>
      </c>
      <c r="B19" s="1189">
        <v>5.8400000000000001E-2</v>
      </c>
      <c r="J19" s="851" t="s">
        <v>811</v>
      </c>
      <c r="L19" s="120">
        <f>L18/K18-1</f>
        <v>0.84016242402743901</v>
      </c>
      <c r="M19" s="120">
        <f t="shared" ref="M19:AS19" si="6">M18/L18-1</f>
        <v>0.40004003704212221</v>
      </c>
      <c r="N19" s="120">
        <f t="shared" si="6"/>
        <v>0.11446279573688267</v>
      </c>
      <c r="O19" s="120">
        <f t="shared" si="6"/>
        <v>4.9358914627464667E-2</v>
      </c>
      <c r="P19" s="120">
        <f t="shared" si="6"/>
        <v>3.4924503377089744E-2</v>
      </c>
      <c r="Q19" s="120">
        <f t="shared" si="6"/>
        <v>2.927522910907121E-2</v>
      </c>
      <c r="R19" s="120">
        <f t="shared" si="6"/>
        <v>1.9357125861193092E-2</v>
      </c>
      <c r="S19" s="120">
        <f t="shared" si="6"/>
        <v>1.0899222295302158E-2</v>
      </c>
      <c r="T19" s="120">
        <f t="shared" si="6"/>
        <v>3.7686731421286979E-3</v>
      </c>
      <c r="U19" s="120">
        <f t="shared" si="6"/>
        <v>-2.1744699615869889E-3</v>
      </c>
      <c r="V19" s="120">
        <f t="shared" si="6"/>
        <v>-7.0696054879082482E-3</v>
      </c>
      <c r="W19" s="120">
        <f t="shared" si="6"/>
        <v>-1.1049982544106829E-2</v>
      </c>
      <c r="X19" s="120">
        <f t="shared" si="6"/>
        <v>-1.4239062028752469E-2</v>
      </c>
      <c r="Y19" s="120">
        <f t="shared" si="6"/>
        <v>-1.6748522256253895E-2</v>
      </c>
      <c r="Z19" s="120">
        <f t="shared" si="6"/>
        <v>-1.6000521519870414E-2</v>
      </c>
      <c r="AA19" s="120">
        <f t="shared" si="6"/>
        <v>-1.5296858070989572E-2</v>
      </c>
      <c r="AB19" s="120">
        <f t="shared" si="6"/>
        <v>-1.463398454982312E-2</v>
      </c>
      <c r="AC19" s="120">
        <f t="shared" si="6"/>
        <v>-1.4008719576675155E-2</v>
      </c>
      <c r="AD19" s="120">
        <f t="shared" si="6"/>
        <v>-1.341820170080088E-2</v>
      </c>
      <c r="AE19" s="120">
        <f t="shared" si="6"/>
        <v>-1.2859850133847717E-2</v>
      </c>
      <c r="AF19" s="120">
        <f t="shared" si="6"/>
        <v>-1.233133112967888E-2</v>
      </c>
      <c r="AG19" s="120">
        <f t="shared" si="6"/>
        <v>-1.1830529085520181E-2</v>
      </c>
      <c r="AH19" s="120">
        <f t="shared" si="6"/>
        <v>-1.135552160859099E-2</v>
      </c>
      <c r="AI19" s="120">
        <f t="shared" si="6"/>
        <v>-1.0904557927584713E-2</v>
      </c>
      <c r="AJ19" s="120">
        <f t="shared" si="6"/>
        <v>-1.0476040136950915E-2</v>
      </c>
      <c r="AK19" s="120">
        <f t="shared" si="6"/>
        <v>-1.0068506849587933E-2</v>
      </c>
      <c r="AL19" s="120">
        <f t="shared" si="6"/>
        <v>-9.6806189046966251E-3</v>
      </c>
      <c r="AM19" s="120">
        <f t="shared" si="6"/>
        <v>-9.3111468355497884E-3</v>
      </c>
      <c r="AN19" s="120">
        <f t="shared" si="6"/>
        <v>-8.9589598494156375E-3</v>
      </c>
      <c r="AO19" s="120">
        <f t="shared" si="6"/>
        <v>-8.6230161109674963E-3</v>
      </c>
      <c r="AP19" s="120">
        <f t="shared" si="6"/>
        <v>-8.3023541527663669E-3</v>
      </c>
      <c r="AQ19" s="120">
        <f t="shared" si="6"/>
        <v>-7.996085263180075E-3</v>
      </c>
      <c r="AR19" s="120">
        <f t="shared" si="6"/>
        <v>-7.7033867243851972E-3</v>
      </c>
      <c r="AS19" s="120">
        <f t="shared" si="6"/>
        <v>-7.4234957917036493E-3</v>
      </c>
      <c r="BJ19" s="159"/>
      <c r="BK19" s="159"/>
      <c r="BL19" s="159"/>
    </row>
    <row r="20" spans="1:64">
      <c r="A20" s="942" t="s">
        <v>775</v>
      </c>
      <c r="B20" s="1189">
        <f>AVERAGE(B16:B19)</f>
        <v>5.237784451910954E-2</v>
      </c>
      <c r="F20" s="1235"/>
      <c r="J20" s="851" t="s">
        <v>920</v>
      </c>
      <c r="K20" s="1320">
        <f>Annual!R77</f>
        <v>41897</v>
      </c>
      <c r="L20" s="1319">
        <f>Annual!S77</f>
        <v>41980.103483041232</v>
      </c>
      <c r="M20" s="1319">
        <f>Annual!T77</f>
        <v>42843.056010920423</v>
      </c>
      <c r="N20" s="1319">
        <f>Annual!U77</f>
        <v>44099.76715964808</v>
      </c>
      <c r="O20" s="1319">
        <f>Annual!V77</f>
        <v>45956.875939804297</v>
      </c>
      <c r="P20" s="1319">
        <f>O25</f>
        <v>47421.324707509186</v>
      </c>
      <c r="Q20" s="1319">
        <f>P25</f>
        <v>49151.677330260136</v>
      </c>
      <c r="R20" s="1319">
        <f t="shared" ref="R20:AS20" si="7">Q25</f>
        <v>51134.058504924069</v>
      </c>
      <c r="S20" s="1319">
        <f t="shared" si="7"/>
        <v>53352.419272795618</v>
      </c>
      <c r="T20" s="1319">
        <f t="shared" si="7"/>
        <v>55789.001331490552</v>
      </c>
      <c r="U20" s="1319">
        <f t="shared" si="7"/>
        <v>58424.769388559762</v>
      </c>
      <c r="V20" s="1319">
        <f t="shared" si="7"/>
        <v>61239.802131026001</v>
      </c>
      <c r="W20" s="1319">
        <f t="shared" si="7"/>
        <v>64213.636496825929</v>
      </c>
      <c r="X20" s="1319">
        <f t="shared" si="7"/>
        <v>67325.563253070868</v>
      </c>
      <c r="Y20" s="1319">
        <f t="shared" si="7"/>
        <v>70554.874423076748</v>
      </c>
      <c r="Z20" s="1319">
        <f t="shared" si="7"/>
        <v>73881.064928182794</v>
      </c>
      <c r="AA20" s="1319">
        <f t="shared" si="7"/>
        <v>77307.041148442033</v>
      </c>
      <c r="AB20" s="1319">
        <f t="shared" si="7"/>
        <v>80835.796655309037</v>
      </c>
      <c r="AC20" s="1319">
        <f t="shared" si="7"/>
        <v>84470.414827382046</v>
      </c>
      <c r="AD20" s="1319">
        <f t="shared" si="7"/>
        <v>88214.071544617254</v>
      </c>
      <c r="AE20" s="1319">
        <f t="shared" si="7"/>
        <v>92070.037963369527</v>
      </c>
      <c r="AF20" s="1319">
        <f t="shared" si="7"/>
        <v>96041.683374684362</v>
      </c>
      <c r="AG20" s="1319">
        <f t="shared" si="7"/>
        <v>100132.47814833865</v>
      </c>
      <c r="AH20" s="1319">
        <f t="shared" si="7"/>
        <v>104345.99676520255</v>
      </c>
      <c r="AI20" s="1319">
        <f t="shared" si="7"/>
        <v>108685.9209405724</v>
      </c>
      <c r="AJ20" s="1319">
        <f t="shared" si="7"/>
        <v>113156.04284120332</v>
      </c>
      <c r="AK20" s="1319">
        <f t="shared" si="7"/>
        <v>117760.26839885318</v>
      </c>
      <c r="AL20" s="1319">
        <f t="shared" si="7"/>
        <v>122502.62072323253</v>
      </c>
      <c r="AM20" s="1319">
        <f t="shared" si="7"/>
        <v>127387.24361734325</v>
      </c>
      <c r="AN20" s="1319">
        <f t="shared" si="7"/>
        <v>132418.40519827729</v>
      </c>
      <c r="AO20" s="1319">
        <f t="shared" si="7"/>
        <v>137600.50162663936</v>
      </c>
      <c r="AP20" s="1319">
        <f t="shared" si="7"/>
        <v>142938.0609478523</v>
      </c>
      <c r="AQ20" s="1319">
        <f t="shared" si="7"/>
        <v>148435.74704870163</v>
      </c>
      <c r="AR20" s="1319">
        <f t="shared" si="7"/>
        <v>154098.36373257643</v>
      </c>
      <c r="AS20" s="1319">
        <f t="shared" si="7"/>
        <v>159930.85891696747</v>
      </c>
      <c r="BJ20" s="159"/>
      <c r="BK20" s="159"/>
      <c r="BL20" s="159"/>
    </row>
    <row r="21" spans="1:64">
      <c r="A21" s="868" t="s">
        <v>777</v>
      </c>
      <c r="B21" s="1032">
        <f>Beta!J278</f>
        <v>2.3699999999999999E-2</v>
      </c>
      <c r="J21" s="851" t="s">
        <v>766</v>
      </c>
      <c r="K21" s="1320">
        <f>Annual!S29</f>
        <v>1567.1034830412343</v>
      </c>
      <c r="L21" s="1319">
        <f>Annual!T29</f>
        <v>2651.5225278791904</v>
      </c>
      <c r="M21" s="1319">
        <f>Annual!U29</f>
        <v>3811.8111487276578</v>
      </c>
      <c r="N21" s="1319">
        <f>Annual!V29</f>
        <v>4412.2087801562247</v>
      </c>
      <c r="O21" s="1319">
        <f>Annual!W29</f>
        <v>4786.0787677048866</v>
      </c>
      <c r="P21" s="1319">
        <f>O21*(1+P22)</f>
        <v>5151.6315227509449</v>
      </c>
      <c r="Q21" s="1319">
        <f>P21*(1+Q22)</f>
        <v>5506.2984416639274</v>
      </c>
      <c r="R21" s="1319">
        <f t="shared" ref="R21:S21" si="8">Q21*(1+R22)</f>
        <v>5847.9955528815508</v>
      </c>
      <c r="S21" s="1319">
        <f t="shared" si="8"/>
        <v>6175.1058872552339</v>
      </c>
      <c r="T21" s="1319">
        <f t="shared" ref="T21" si="9">S21*(1+T22)</f>
        <v>6486.4476004863191</v>
      </c>
      <c r="U21" s="1319">
        <f t="shared" ref="U21" si="10">T21*(1+U22)</f>
        <v>6781.2326721858599</v>
      </c>
      <c r="V21" s="1319">
        <f t="shared" ref="V21" si="11">U21*(1+V22)</f>
        <v>7059.0202934111376</v>
      </c>
      <c r="W21" s="1319">
        <f t="shared" ref="W21" si="12">V21*(1+W22)</f>
        <v>7319.6682616844901</v>
      </c>
      <c r="X21" s="1319">
        <f t="shared" ref="X21" si="13">W21*(1+X22)</f>
        <v>7563.2849206086094</v>
      </c>
      <c r="Y21" s="1319">
        <f t="shared" ref="Y21" si="14">X21*(1+Y22)</f>
        <v>7790.1834682268682</v>
      </c>
      <c r="Z21" s="1319">
        <f t="shared" ref="Z21" si="15">Y21*(1+Z22)</f>
        <v>8023.888972273674</v>
      </c>
      <c r="AA21" s="1319">
        <f t="shared" ref="AA21" si="16">Z21*(1+AA22)</f>
        <v>8264.6056414418836</v>
      </c>
      <c r="AB21" s="1319">
        <f t="shared" ref="AB21" si="17">AA21*(1+AB22)</f>
        <v>8512.5438106851398</v>
      </c>
      <c r="AC21" s="1319">
        <f t="shared" ref="AC21" si="18">AB21*(1+AC22)</f>
        <v>8767.920125005694</v>
      </c>
      <c r="AD21" s="1319">
        <f t="shared" ref="AD21" si="19">AC21*(1+AD22)</f>
        <v>9030.9577287558659</v>
      </c>
      <c r="AE21" s="1319">
        <f t="shared" ref="AE21" si="20">AD21*(1+AE22)</f>
        <v>9301.8864606185416</v>
      </c>
      <c r="AF21" s="1319">
        <f t="shared" ref="AF21" si="21">AE21*(1+AF22)</f>
        <v>9580.9430544370989</v>
      </c>
      <c r="AG21" s="1319">
        <f t="shared" ref="AG21" si="22">AF21*(1+AG22)</f>
        <v>9868.3713460702129</v>
      </c>
      <c r="AH21" s="1319">
        <f t="shared" ref="AH21" si="23">AG21*(1+AH22)</f>
        <v>10164.42248645232</v>
      </c>
      <c r="AI21" s="1319">
        <f t="shared" ref="AI21" si="24">AH21*(1+AI22)</f>
        <v>10469.355161045891</v>
      </c>
      <c r="AJ21" s="1319">
        <f t="shared" ref="AJ21" si="25">AI21*(1+AJ22)</f>
        <v>10783.435815877268</v>
      </c>
      <c r="AK21" s="1319">
        <f t="shared" ref="AK21" si="26">AJ21*(1+AK22)</f>
        <v>11106.938890353587</v>
      </c>
      <c r="AL21" s="1319">
        <f t="shared" ref="AL21" si="27">AK21*(1+AL22)</f>
        <v>11440.147057064196</v>
      </c>
      <c r="AM21" s="1319">
        <f t="shared" ref="AM21" si="28">AL21*(1+AM22)</f>
        <v>11783.351468776122</v>
      </c>
      <c r="AN21" s="1319">
        <f t="shared" ref="AN21" si="29">AM21*(1+AN22)</f>
        <v>12136.852012839405</v>
      </c>
      <c r="AO21" s="1319">
        <f t="shared" ref="AO21" si="30">AN21*(1+AO22)</f>
        <v>12500.957573224587</v>
      </c>
      <c r="AP21" s="1319">
        <f t="shared" ref="AP21" si="31">AO21*(1+AP22)</f>
        <v>12875.986300421324</v>
      </c>
      <c r="AQ21" s="1319">
        <f t="shared" ref="AQ21" si="32">AP21*(1+AQ22)</f>
        <v>13262.265889433964</v>
      </c>
      <c r="AR21" s="1319">
        <f t="shared" ref="AR21" si="33">AQ21*(1+AR22)</f>
        <v>13660.133866116983</v>
      </c>
      <c r="AS21" s="1319">
        <f t="shared" ref="AS21" si="34">AR21*(1+AS22)</f>
        <v>14069.937882100492</v>
      </c>
    </row>
    <row r="22" spans="1:64">
      <c r="A22" s="868" t="s">
        <v>825</v>
      </c>
      <c r="B22" s="868">
        <v>1.5</v>
      </c>
      <c r="J22" s="851" t="s">
        <v>916</v>
      </c>
      <c r="K22" s="120"/>
      <c r="L22" s="120">
        <f t="shared" ref="L22:N22" si="35">L21/K21-1</f>
        <v>0.69198942927078066</v>
      </c>
      <c r="M22" s="120">
        <f t="shared" si="35"/>
        <v>0.43759334821738038</v>
      </c>
      <c r="N22" s="120">
        <f t="shared" si="35"/>
        <v>0.15750980518249791</v>
      </c>
      <c r="O22" s="120">
        <f>O21/N21-1</f>
        <v>8.4735334653729621E-2</v>
      </c>
      <c r="P22" s="120">
        <f t="shared" ref="P22:W22" si="36">($Y$22/$O$22)^(1/COUNT($P$17:$Y$17))*O22</f>
        <v>7.6378340764616096E-2</v>
      </c>
      <c r="Q22" s="120">
        <f t="shared" si="36"/>
        <v>6.8845552587890185E-2</v>
      </c>
      <c r="R22" s="120">
        <f t="shared" si="36"/>
        <v>6.2055683112295701E-2</v>
      </c>
      <c r="S22" s="120">
        <f t="shared" si="36"/>
        <v>5.593546223072992E-2</v>
      </c>
      <c r="T22" s="120">
        <f t="shared" si="36"/>
        <v>5.0418846075767042E-2</v>
      </c>
      <c r="U22" s="120">
        <f t="shared" si="36"/>
        <v>4.5446304334199786E-2</v>
      </c>
      <c r="V22" s="120">
        <f t="shared" si="36"/>
        <v>4.0964177849944675E-2</v>
      </c>
      <c r="W22" s="120">
        <f t="shared" si="36"/>
        <v>3.6924099583144798E-2</v>
      </c>
      <c r="X22" s="120">
        <f>($Y$22/$O$22)^(1/COUNT($P$17:$Y$17))*W22</f>
        <v>3.328247267698637E-2</v>
      </c>
      <c r="Y22" s="1444">
        <v>0.03</v>
      </c>
      <c r="Z22" s="120">
        <f t="shared" ref="Z22:AS22" si="37">Y22</f>
        <v>0.03</v>
      </c>
      <c r="AA22" s="120">
        <f t="shared" si="37"/>
        <v>0.03</v>
      </c>
      <c r="AB22" s="120">
        <f t="shared" si="37"/>
        <v>0.03</v>
      </c>
      <c r="AC22" s="120">
        <f t="shared" si="37"/>
        <v>0.03</v>
      </c>
      <c r="AD22" s="120">
        <f t="shared" si="37"/>
        <v>0.03</v>
      </c>
      <c r="AE22" s="120">
        <f t="shared" si="37"/>
        <v>0.03</v>
      </c>
      <c r="AF22" s="120">
        <f t="shared" si="37"/>
        <v>0.03</v>
      </c>
      <c r="AG22" s="120">
        <f t="shared" si="37"/>
        <v>0.03</v>
      </c>
      <c r="AH22" s="120">
        <f t="shared" si="37"/>
        <v>0.03</v>
      </c>
      <c r="AI22" s="120">
        <f t="shared" si="37"/>
        <v>0.03</v>
      </c>
      <c r="AJ22" s="120">
        <f t="shared" si="37"/>
        <v>0.03</v>
      </c>
      <c r="AK22" s="120">
        <f t="shared" si="37"/>
        <v>0.03</v>
      </c>
      <c r="AL22" s="120">
        <f t="shared" si="37"/>
        <v>0.03</v>
      </c>
      <c r="AM22" s="120">
        <f t="shared" si="37"/>
        <v>0.03</v>
      </c>
      <c r="AN22" s="120">
        <f t="shared" si="37"/>
        <v>0.03</v>
      </c>
      <c r="AO22" s="120">
        <f t="shared" si="37"/>
        <v>0.03</v>
      </c>
      <c r="AP22" s="120">
        <f t="shared" si="37"/>
        <v>0.03</v>
      </c>
      <c r="AQ22" s="120">
        <f t="shared" si="37"/>
        <v>0.03</v>
      </c>
      <c r="AR22" s="120">
        <f t="shared" si="37"/>
        <v>0.03</v>
      </c>
      <c r="AS22" s="120">
        <f t="shared" si="37"/>
        <v>0.03</v>
      </c>
    </row>
    <row r="23" spans="1:64">
      <c r="A23" s="9" t="s">
        <v>824</v>
      </c>
      <c r="B23" s="953">
        <f>B20*B22+B21</f>
        <v>0.10226676677866431</v>
      </c>
      <c r="J23" s="851" t="s">
        <v>917</v>
      </c>
      <c r="K23" s="1320"/>
      <c r="L23" s="1319">
        <f>Annual!T103</f>
        <v>1788.57</v>
      </c>
      <c r="M23" s="1319">
        <f>Annual!U103</f>
        <v>2555.1</v>
      </c>
      <c r="N23" s="1319">
        <f>Annual!V103</f>
        <v>2555.1</v>
      </c>
      <c r="O23" s="1319">
        <f>Annual!W103</f>
        <v>3321.63</v>
      </c>
      <c r="P23" s="1319">
        <f>O23*(1+P24)</f>
        <v>3421.2789000000002</v>
      </c>
      <c r="Q23" s="1319">
        <f t="shared" ref="Q23:AS23" si="38">P23*(1+Q24)</f>
        <v>3523.9172670000003</v>
      </c>
      <c r="R23" s="1319">
        <f t="shared" si="38"/>
        <v>3629.6347850100005</v>
      </c>
      <c r="S23" s="1319">
        <f t="shared" si="38"/>
        <v>3738.5238285603004</v>
      </c>
      <c r="T23" s="1319">
        <f t="shared" si="38"/>
        <v>3850.6795434171095</v>
      </c>
      <c r="U23" s="1319">
        <f t="shared" si="38"/>
        <v>3966.199929719623</v>
      </c>
      <c r="V23" s="1319">
        <f t="shared" si="38"/>
        <v>4085.1859276112118</v>
      </c>
      <c r="W23" s="1319">
        <f t="shared" si="38"/>
        <v>4207.7415054395478</v>
      </c>
      <c r="X23" s="1319">
        <f t="shared" si="38"/>
        <v>4333.9737506027341</v>
      </c>
      <c r="Y23" s="1319">
        <f t="shared" si="38"/>
        <v>4463.9929631208161</v>
      </c>
      <c r="Z23" s="1319">
        <f t="shared" si="38"/>
        <v>4597.9127520144402</v>
      </c>
      <c r="AA23" s="1319">
        <f t="shared" si="38"/>
        <v>4735.8501345748737</v>
      </c>
      <c r="AB23" s="1319">
        <f t="shared" si="38"/>
        <v>4877.9256386121197</v>
      </c>
      <c r="AC23" s="1319">
        <f t="shared" si="38"/>
        <v>5024.2634077704834</v>
      </c>
      <c r="AD23" s="1319">
        <f t="shared" si="38"/>
        <v>5174.9913100035983</v>
      </c>
      <c r="AE23" s="1319">
        <f t="shared" si="38"/>
        <v>5330.2410493037059</v>
      </c>
      <c r="AF23" s="1319">
        <f t="shared" si="38"/>
        <v>5490.148280782817</v>
      </c>
      <c r="AG23" s="1319">
        <f t="shared" si="38"/>
        <v>5654.8527292063018</v>
      </c>
      <c r="AH23" s="1319">
        <f t="shared" si="38"/>
        <v>5824.4983110824905</v>
      </c>
      <c r="AI23" s="1319">
        <f t="shared" si="38"/>
        <v>5999.2332604149651</v>
      </c>
      <c r="AJ23" s="1319">
        <f t="shared" si="38"/>
        <v>6179.2102582274147</v>
      </c>
      <c r="AK23" s="1319">
        <f t="shared" si="38"/>
        <v>6364.5865659742376</v>
      </c>
      <c r="AL23" s="1319">
        <f t="shared" si="38"/>
        <v>6555.5241629534648</v>
      </c>
      <c r="AM23" s="1319">
        <f t="shared" si="38"/>
        <v>6752.1898878420689</v>
      </c>
      <c r="AN23" s="1319">
        <f t="shared" si="38"/>
        <v>6954.7555844773315</v>
      </c>
      <c r="AO23" s="1319">
        <f t="shared" si="38"/>
        <v>7163.3982520116515</v>
      </c>
      <c r="AP23" s="1319">
        <f t="shared" si="38"/>
        <v>7378.3001995720015</v>
      </c>
      <c r="AQ23" s="1319">
        <f t="shared" si="38"/>
        <v>7599.6492055591616</v>
      </c>
      <c r="AR23" s="1319">
        <f t="shared" si="38"/>
        <v>7827.6386817259363</v>
      </c>
      <c r="AS23" s="1319">
        <f t="shared" si="38"/>
        <v>8062.4678421777144</v>
      </c>
    </row>
    <row r="24" spans="1:64">
      <c r="J24" s="851" t="s">
        <v>918</v>
      </c>
      <c r="K24" s="1320"/>
      <c r="L24" s="1319"/>
      <c r="M24" s="1319"/>
      <c r="N24" s="1319"/>
      <c r="O24" s="1443">
        <v>0.03</v>
      </c>
      <c r="P24" s="1443">
        <f>O24</f>
        <v>0.03</v>
      </c>
      <c r="Q24" s="1443">
        <f t="shared" ref="Q24:AS24" si="39">P24</f>
        <v>0.03</v>
      </c>
      <c r="R24" s="1443">
        <f t="shared" si="39"/>
        <v>0.03</v>
      </c>
      <c r="S24" s="1443">
        <f t="shared" si="39"/>
        <v>0.03</v>
      </c>
      <c r="T24" s="1443">
        <f t="shared" si="39"/>
        <v>0.03</v>
      </c>
      <c r="U24" s="1443">
        <f t="shared" si="39"/>
        <v>0.03</v>
      </c>
      <c r="V24" s="1443">
        <f t="shared" si="39"/>
        <v>0.03</v>
      </c>
      <c r="W24" s="1443">
        <f t="shared" si="39"/>
        <v>0.03</v>
      </c>
      <c r="X24" s="1443">
        <f t="shared" si="39"/>
        <v>0.03</v>
      </c>
      <c r="Y24" s="1443">
        <f t="shared" si="39"/>
        <v>0.03</v>
      </c>
      <c r="Z24" s="1443">
        <f t="shared" si="39"/>
        <v>0.03</v>
      </c>
      <c r="AA24" s="1443">
        <f t="shared" si="39"/>
        <v>0.03</v>
      </c>
      <c r="AB24" s="1443">
        <f t="shared" si="39"/>
        <v>0.03</v>
      </c>
      <c r="AC24" s="1443">
        <f t="shared" si="39"/>
        <v>0.03</v>
      </c>
      <c r="AD24" s="1443">
        <f t="shared" si="39"/>
        <v>0.03</v>
      </c>
      <c r="AE24" s="1443">
        <f t="shared" si="39"/>
        <v>0.03</v>
      </c>
      <c r="AF24" s="1443">
        <f t="shared" si="39"/>
        <v>0.03</v>
      </c>
      <c r="AG24" s="1443">
        <f t="shared" si="39"/>
        <v>0.03</v>
      </c>
      <c r="AH24" s="1443">
        <f t="shared" si="39"/>
        <v>0.03</v>
      </c>
      <c r="AI24" s="1443">
        <f t="shared" si="39"/>
        <v>0.03</v>
      </c>
      <c r="AJ24" s="1443">
        <f t="shared" si="39"/>
        <v>0.03</v>
      </c>
      <c r="AK24" s="1443">
        <f t="shared" si="39"/>
        <v>0.03</v>
      </c>
      <c r="AL24" s="1443">
        <f t="shared" si="39"/>
        <v>0.03</v>
      </c>
      <c r="AM24" s="1443">
        <f t="shared" si="39"/>
        <v>0.03</v>
      </c>
      <c r="AN24" s="1443">
        <f t="shared" si="39"/>
        <v>0.03</v>
      </c>
      <c r="AO24" s="1443">
        <f t="shared" si="39"/>
        <v>0.03</v>
      </c>
      <c r="AP24" s="1443">
        <f t="shared" si="39"/>
        <v>0.03</v>
      </c>
      <c r="AQ24" s="1443">
        <f t="shared" si="39"/>
        <v>0.03</v>
      </c>
      <c r="AR24" s="1443">
        <f t="shared" si="39"/>
        <v>0.03</v>
      </c>
      <c r="AS24" s="1443">
        <f t="shared" si="39"/>
        <v>0.03</v>
      </c>
    </row>
    <row r="25" spans="1:64">
      <c r="A25" s="1452" t="s">
        <v>781</v>
      </c>
      <c r="B25" s="1452"/>
      <c r="J25" s="851" t="s">
        <v>919</v>
      </c>
      <c r="K25" s="1320"/>
      <c r="L25" s="1319">
        <f t="shared" ref="L25:N25" si="40">L20+L21-L23</f>
        <v>42843.056010920423</v>
      </c>
      <c r="M25" s="1319">
        <f t="shared" si="40"/>
        <v>44099.76715964808</v>
      </c>
      <c r="N25" s="1319">
        <f t="shared" si="40"/>
        <v>45956.875939804304</v>
      </c>
      <c r="O25" s="1319">
        <f>O20+O21-O23</f>
        <v>47421.324707509186</v>
      </c>
      <c r="P25" s="1319">
        <f>P20+P21-P23</f>
        <v>49151.677330260136</v>
      </c>
      <c r="Q25" s="1319">
        <f t="shared" ref="Q25:AS25" si="41">Q20+Q21-Q23</f>
        <v>51134.058504924069</v>
      </c>
      <c r="R25" s="1319">
        <f t="shared" si="41"/>
        <v>53352.419272795618</v>
      </c>
      <c r="S25" s="1319">
        <f t="shared" si="41"/>
        <v>55789.001331490552</v>
      </c>
      <c r="T25" s="1319">
        <f t="shared" si="41"/>
        <v>58424.769388559762</v>
      </c>
      <c r="U25" s="1319">
        <f t="shared" si="41"/>
        <v>61239.802131026001</v>
      </c>
      <c r="V25" s="1319">
        <f t="shared" si="41"/>
        <v>64213.636496825929</v>
      </c>
      <c r="W25" s="1319">
        <f t="shared" si="41"/>
        <v>67325.563253070868</v>
      </c>
      <c r="X25" s="1319">
        <f t="shared" si="41"/>
        <v>70554.874423076748</v>
      </c>
      <c r="Y25" s="1319">
        <f t="shared" si="41"/>
        <v>73881.064928182794</v>
      </c>
      <c r="Z25" s="1319">
        <f t="shared" si="41"/>
        <v>77307.041148442033</v>
      </c>
      <c r="AA25" s="1319">
        <f t="shared" si="41"/>
        <v>80835.796655309037</v>
      </c>
      <c r="AB25" s="1319">
        <f t="shared" si="41"/>
        <v>84470.414827382046</v>
      </c>
      <c r="AC25" s="1319">
        <f t="shared" si="41"/>
        <v>88214.071544617254</v>
      </c>
      <c r="AD25" s="1319">
        <f t="shared" si="41"/>
        <v>92070.037963369527</v>
      </c>
      <c r="AE25" s="1319">
        <f t="shared" si="41"/>
        <v>96041.683374684362</v>
      </c>
      <c r="AF25" s="1319">
        <f t="shared" si="41"/>
        <v>100132.47814833865</v>
      </c>
      <c r="AG25" s="1319">
        <f t="shared" si="41"/>
        <v>104345.99676520255</v>
      </c>
      <c r="AH25" s="1319">
        <f t="shared" si="41"/>
        <v>108685.9209405724</v>
      </c>
      <c r="AI25" s="1319">
        <f t="shared" si="41"/>
        <v>113156.04284120332</v>
      </c>
      <c r="AJ25" s="1319">
        <f t="shared" si="41"/>
        <v>117760.26839885318</v>
      </c>
      <c r="AK25" s="1319">
        <f t="shared" si="41"/>
        <v>122502.62072323253</v>
      </c>
      <c r="AL25" s="1319">
        <f t="shared" si="41"/>
        <v>127387.24361734325</v>
      </c>
      <c r="AM25" s="1319">
        <f t="shared" si="41"/>
        <v>132418.40519827729</v>
      </c>
      <c r="AN25" s="1319">
        <f t="shared" si="41"/>
        <v>137600.50162663936</v>
      </c>
      <c r="AO25" s="1319">
        <f t="shared" si="41"/>
        <v>142938.0609478523</v>
      </c>
      <c r="AP25" s="1319">
        <f t="shared" si="41"/>
        <v>148435.74704870163</v>
      </c>
      <c r="AQ25" s="1319">
        <f t="shared" si="41"/>
        <v>154098.36373257643</v>
      </c>
      <c r="AR25" s="1319">
        <f t="shared" si="41"/>
        <v>159930.85891696747</v>
      </c>
      <c r="AS25" s="1319">
        <f t="shared" si="41"/>
        <v>165938.32895689024</v>
      </c>
    </row>
    <row r="26" spans="1:64">
      <c r="A26" s="1190" t="s">
        <v>770</v>
      </c>
      <c r="B26" s="1191">
        <f>J13</f>
        <v>573.68949718731437</v>
      </c>
      <c r="J26" s="851" t="s">
        <v>904</v>
      </c>
      <c r="K26" s="1320">
        <f t="shared" ref="K26:N26" si="42">AVERAGE(K20,K25)</f>
        <v>41897</v>
      </c>
      <c r="L26" s="1319">
        <f t="shared" si="42"/>
        <v>42411.579746980831</v>
      </c>
      <c r="M26" s="1319">
        <f t="shared" si="42"/>
        <v>43471.411585284251</v>
      </c>
      <c r="N26" s="1319">
        <f t="shared" si="42"/>
        <v>45028.321549726192</v>
      </c>
      <c r="O26" s="1319">
        <f>AVERAGE(O20,O25)</f>
        <v>46689.100323656741</v>
      </c>
      <c r="P26" s="1319">
        <f t="shared" ref="P26:AS26" si="43">AVERAGE(P20,P25)</f>
        <v>48286.501018884665</v>
      </c>
      <c r="Q26" s="1319">
        <f t="shared" si="43"/>
        <v>50142.867917592099</v>
      </c>
      <c r="R26" s="1319">
        <f t="shared" si="43"/>
        <v>52243.238888859843</v>
      </c>
      <c r="S26" s="1319">
        <f t="shared" si="43"/>
        <v>54570.710302143081</v>
      </c>
      <c r="T26" s="1319">
        <f t="shared" si="43"/>
        <v>57106.88536002516</v>
      </c>
      <c r="U26" s="1319">
        <f t="shared" si="43"/>
        <v>59832.285759792881</v>
      </c>
      <c r="V26" s="1319">
        <f t="shared" si="43"/>
        <v>62726.719313925962</v>
      </c>
      <c r="W26" s="1319">
        <f t="shared" si="43"/>
        <v>65769.599874948399</v>
      </c>
      <c r="X26" s="1319">
        <f t="shared" si="43"/>
        <v>68940.218838073808</v>
      </c>
      <c r="Y26" s="1319">
        <f t="shared" si="43"/>
        <v>72217.969675629778</v>
      </c>
      <c r="Z26" s="1319">
        <f t="shared" si="43"/>
        <v>75594.053038312413</v>
      </c>
      <c r="AA26" s="1319">
        <f t="shared" si="43"/>
        <v>79071.418901875528</v>
      </c>
      <c r="AB26" s="1319">
        <f t="shared" si="43"/>
        <v>82653.105741345542</v>
      </c>
      <c r="AC26" s="1319">
        <f t="shared" si="43"/>
        <v>86342.243185999658</v>
      </c>
      <c r="AD26" s="1319">
        <f t="shared" si="43"/>
        <v>90142.05475399339</v>
      </c>
      <c r="AE26" s="1319">
        <f t="shared" si="43"/>
        <v>94055.860669026937</v>
      </c>
      <c r="AF26" s="1319">
        <f t="shared" si="43"/>
        <v>98087.080761511505</v>
      </c>
      <c r="AG26" s="1319">
        <f t="shared" si="43"/>
        <v>102239.2374567706</v>
      </c>
      <c r="AH26" s="1319">
        <f t="shared" si="43"/>
        <v>106515.95885288747</v>
      </c>
      <c r="AI26" s="1319">
        <f t="shared" si="43"/>
        <v>110920.98189088787</v>
      </c>
      <c r="AJ26" s="1319">
        <f t="shared" si="43"/>
        <v>115458.15562002825</v>
      </c>
      <c r="AK26" s="1319">
        <f t="shared" si="43"/>
        <v>120131.44456104285</v>
      </c>
      <c r="AL26" s="1319">
        <f t="shared" si="43"/>
        <v>124944.93217028788</v>
      </c>
      <c r="AM26" s="1319">
        <f t="shared" si="43"/>
        <v>129902.82440781027</v>
      </c>
      <c r="AN26" s="1319">
        <f t="shared" si="43"/>
        <v>135009.45341245833</v>
      </c>
      <c r="AO26" s="1319">
        <f t="shared" si="43"/>
        <v>140269.28128724583</v>
      </c>
      <c r="AP26" s="1319">
        <f t="shared" si="43"/>
        <v>145686.90399827698</v>
      </c>
      <c r="AQ26" s="1319">
        <f t="shared" si="43"/>
        <v>151267.05539063903</v>
      </c>
      <c r="AR26" s="1319">
        <f t="shared" si="43"/>
        <v>157014.61132477195</v>
      </c>
      <c r="AS26" s="1319">
        <f t="shared" si="43"/>
        <v>162934.59393692884</v>
      </c>
    </row>
    <row r="27" spans="1:64">
      <c r="A27" s="868" t="s">
        <v>782</v>
      </c>
      <c r="B27" s="1193">
        <f>Model!AG155</f>
        <v>2555.1</v>
      </c>
      <c r="J27" s="851" t="s">
        <v>778</v>
      </c>
      <c r="K27" s="159">
        <f>$B$23</f>
        <v>0.10226676677866431</v>
      </c>
      <c r="L27" s="1185">
        <f t="shared" ref="L27:AS27" si="44">$B$23</f>
        <v>0.10226676677866431</v>
      </c>
      <c r="M27" s="1185">
        <f t="shared" si="44"/>
        <v>0.10226676677866431</v>
      </c>
      <c r="N27" s="1185">
        <f t="shared" si="44"/>
        <v>0.10226676677866431</v>
      </c>
      <c r="O27" s="1185">
        <f t="shared" si="44"/>
        <v>0.10226676677866431</v>
      </c>
      <c r="P27" s="1185">
        <f t="shared" si="44"/>
        <v>0.10226676677866431</v>
      </c>
      <c r="Q27" s="1185">
        <f t="shared" si="44"/>
        <v>0.10226676677866431</v>
      </c>
      <c r="R27" s="1185">
        <f t="shared" si="44"/>
        <v>0.10226676677866431</v>
      </c>
      <c r="S27" s="1185">
        <f t="shared" si="44"/>
        <v>0.10226676677866431</v>
      </c>
      <c r="T27" s="1185">
        <f t="shared" si="44"/>
        <v>0.10226676677866431</v>
      </c>
      <c r="U27" s="1185">
        <f t="shared" si="44"/>
        <v>0.10226676677866431</v>
      </c>
      <c r="V27" s="1185">
        <f t="shared" si="44"/>
        <v>0.10226676677866431</v>
      </c>
      <c r="W27" s="1185">
        <f t="shared" si="44"/>
        <v>0.10226676677866431</v>
      </c>
      <c r="X27" s="1185">
        <f t="shared" si="44"/>
        <v>0.10226676677866431</v>
      </c>
      <c r="Y27" s="1185">
        <f t="shared" si="44"/>
        <v>0.10226676677866431</v>
      </c>
      <c r="Z27" s="1185">
        <f t="shared" si="44"/>
        <v>0.10226676677866431</v>
      </c>
      <c r="AA27" s="1185">
        <f t="shared" si="44"/>
        <v>0.10226676677866431</v>
      </c>
      <c r="AB27" s="1185">
        <f t="shared" si="44"/>
        <v>0.10226676677866431</v>
      </c>
      <c r="AC27" s="1185">
        <f t="shared" si="44"/>
        <v>0.10226676677866431</v>
      </c>
      <c r="AD27" s="1185">
        <f t="shared" si="44"/>
        <v>0.10226676677866431</v>
      </c>
      <c r="AE27" s="1185">
        <f t="shared" si="44"/>
        <v>0.10226676677866431</v>
      </c>
      <c r="AF27" s="1185">
        <f t="shared" si="44"/>
        <v>0.10226676677866431</v>
      </c>
      <c r="AG27" s="1185">
        <f t="shared" si="44"/>
        <v>0.10226676677866431</v>
      </c>
      <c r="AH27" s="1185">
        <f t="shared" si="44"/>
        <v>0.10226676677866431</v>
      </c>
      <c r="AI27" s="1185">
        <f t="shared" si="44"/>
        <v>0.10226676677866431</v>
      </c>
      <c r="AJ27" s="1185">
        <f t="shared" si="44"/>
        <v>0.10226676677866431</v>
      </c>
      <c r="AK27" s="1185">
        <f t="shared" si="44"/>
        <v>0.10226676677866431</v>
      </c>
      <c r="AL27" s="1185">
        <f t="shared" si="44"/>
        <v>0.10226676677866431</v>
      </c>
      <c r="AM27" s="1185">
        <f t="shared" si="44"/>
        <v>0.10226676677866431</v>
      </c>
      <c r="AN27" s="1185">
        <f t="shared" si="44"/>
        <v>0.10226676677866431</v>
      </c>
      <c r="AO27" s="1185">
        <f t="shared" si="44"/>
        <v>0.10226676677866431</v>
      </c>
      <c r="AP27" s="1185">
        <f t="shared" si="44"/>
        <v>0.10226676677866431</v>
      </c>
      <c r="AQ27" s="1185">
        <f t="shared" si="44"/>
        <v>0.10226676677866431</v>
      </c>
      <c r="AR27" s="1185">
        <f t="shared" si="44"/>
        <v>0.10226676677866431</v>
      </c>
      <c r="AS27" s="1185">
        <f t="shared" si="44"/>
        <v>0.10226676677866431</v>
      </c>
    </row>
    <row r="28" spans="1:64">
      <c r="A28" s="868" t="s">
        <v>783</v>
      </c>
      <c r="B28" s="1193">
        <f>B26/B27</f>
        <v>0.22452721896885225</v>
      </c>
      <c r="J28" s="851" t="s">
        <v>905</v>
      </c>
      <c r="K28" s="159"/>
      <c r="L28" s="1319">
        <f>L27*L20</f>
        <v>4293.1694522443713</v>
      </c>
      <c r="M28" s="1319">
        <f t="shared" ref="M28:AS28" si="45">M27*M20</f>
        <v>4381.4208171540513</v>
      </c>
      <c r="N28" s="1319">
        <f t="shared" si="45"/>
        <v>4509.9406031091294</v>
      </c>
      <c r="O28" s="1319">
        <f t="shared" si="45"/>
        <v>4699.8611136119753</v>
      </c>
      <c r="P28" s="1319">
        <f t="shared" si="45"/>
        <v>4849.6255541981536</v>
      </c>
      <c r="Q28" s="1319">
        <f t="shared" si="45"/>
        <v>5026.5831223138748</v>
      </c>
      <c r="R28" s="1319">
        <f t="shared" si="45"/>
        <v>5229.3148355696458</v>
      </c>
      <c r="S28" s="1319">
        <f t="shared" si="45"/>
        <v>5456.1794188485046</v>
      </c>
      <c r="T28" s="1319">
        <f t="shared" si="45"/>
        <v>5705.3607879821366</v>
      </c>
      <c r="U28" s="1319">
        <f t="shared" si="45"/>
        <v>5974.9122651570869</v>
      </c>
      <c r="V28" s="1319">
        <f t="shared" si="45"/>
        <v>6262.7965621051853</v>
      </c>
      <c r="W28" s="1319">
        <f t="shared" si="45"/>
        <v>6566.9209876308241</v>
      </c>
      <c r="X28" s="1319">
        <f t="shared" si="45"/>
        <v>6885.1676754440105</v>
      </c>
      <c r="Y28" s="1319">
        <f t="shared" si="45"/>
        <v>7215.4188877227371</v>
      </c>
      <c r="Z28" s="1319">
        <f t="shared" si="45"/>
        <v>7555.5776363698251</v>
      </c>
      <c r="AA28" s="1319">
        <f t="shared" si="45"/>
        <v>7905.9411474763265</v>
      </c>
      <c r="AB28" s="1319">
        <f t="shared" si="45"/>
        <v>8266.8155639160213</v>
      </c>
      <c r="AC28" s="1319">
        <f t="shared" si="45"/>
        <v>8638.5162128489064</v>
      </c>
      <c r="AD28" s="1319">
        <f t="shared" si="45"/>
        <v>9021.3678812497801</v>
      </c>
      <c r="AE28" s="1319">
        <f t="shared" si="45"/>
        <v>9415.7050997026799</v>
      </c>
      <c r="AF28" s="1319">
        <f t="shared" si="45"/>
        <v>9821.8724347091666</v>
      </c>
      <c r="AG28" s="1319">
        <f t="shared" si="45"/>
        <v>10240.224789765849</v>
      </c>
      <c r="AH28" s="1319">
        <f t="shared" si="45"/>
        <v>10671.127715474229</v>
      </c>
      <c r="AI28" s="1319">
        <f t="shared" si="45"/>
        <v>11114.957728953865</v>
      </c>
      <c r="AJ28" s="1319">
        <f t="shared" si="45"/>
        <v>11572.102642837886</v>
      </c>
      <c r="AK28" s="1319">
        <f t="shared" si="45"/>
        <v>12042.96190413843</v>
      </c>
      <c r="AL28" s="1319">
        <f t="shared" si="45"/>
        <v>12527.94694327799</v>
      </c>
      <c r="AM28" s="1319">
        <f t="shared" si="45"/>
        <v>13027.481533591736</v>
      </c>
      <c r="AN28" s="1319">
        <f t="shared" si="45"/>
        <v>13542.002161614893</v>
      </c>
      <c r="AO28" s="1319">
        <f t="shared" si="45"/>
        <v>14071.958408478748</v>
      </c>
      <c r="AP28" s="1319">
        <f t="shared" si="45"/>
        <v>14617.813342748515</v>
      </c>
      <c r="AQ28" s="1319">
        <f t="shared" si="45"/>
        <v>15180.043925046379</v>
      </c>
      <c r="AR28" s="1319">
        <f t="shared" si="45"/>
        <v>15759.141424813177</v>
      </c>
      <c r="AS28" s="1319">
        <f t="shared" si="45"/>
        <v>16355.611849572977</v>
      </c>
    </row>
    <row r="29" spans="1:64">
      <c r="A29" s="868"/>
      <c r="B29" s="868"/>
      <c r="J29" s="851" t="s">
        <v>779</v>
      </c>
      <c r="K29" s="159">
        <f>K18-K27</f>
        <v>-6.8051168272727974E-2</v>
      </c>
      <c r="L29" s="1185">
        <f>L18-L27</f>
        <v>-3.9304508092430884E-2</v>
      </c>
      <c r="M29" s="1185">
        <f>M18-M27</f>
        <v>-1.4117083795334384E-2</v>
      </c>
      <c r="N29" s="1185">
        <f>N18-N27</f>
        <v>-4.0272246377425353E-3</v>
      </c>
      <c r="O29" s="1185">
        <f>O18-O27</f>
        <v>8.2177253583244625E-4</v>
      </c>
      <c r="P29" s="1185">
        <f t="shared" ref="P29:AS29" si="46">P31/AVERAGE(O26:P26)</f>
        <v>6.359653727562491E-3</v>
      </c>
      <c r="Q29" s="1185">
        <f t="shared" si="46"/>
        <v>9.7474021124659624E-3</v>
      </c>
      <c r="R29" s="1185">
        <f t="shared" si="46"/>
        <v>1.2085247434623978E-2</v>
      </c>
      <c r="S29" s="1185">
        <f t="shared" si="46"/>
        <v>1.3461284295764722E-2</v>
      </c>
      <c r="T29" s="1185">
        <f t="shared" si="46"/>
        <v>1.3988245500324332E-2</v>
      </c>
      <c r="U29" s="1185">
        <f t="shared" si="46"/>
        <v>1.3790424531102621E-2</v>
      </c>
      <c r="V29" s="1185">
        <f t="shared" si="46"/>
        <v>1.299331258159327E-2</v>
      </c>
      <c r="W29" s="1185">
        <f t="shared" si="46"/>
        <v>1.1716246485585578E-2</v>
      </c>
      <c r="X29" s="1185">
        <f t="shared" si="46"/>
        <v>1.006782210299339E-2</v>
      </c>
      <c r="Y29" s="1185">
        <f t="shared" si="46"/>
        <v>8.1435527978362121E-3</v>
      </c>
      <c r="Z29" s="1185">
        <f t="shared" si="46"/>
        <v>6.3365797626646781E-3</v>
      </c>
      <c r="AA29" s="1185">
        <f t="shared" si="46"/>
        <v>4.6379387650820917E-3</v>
      </c>
      <c r="AB29" s="1185">
        <f t="shared" si="46"/>
        <v>3.0388495166236186E-3</v>
      </c>
      <c r="AC29" s="1185">
        <f t="shared" si="46"/>
        <v>1.531449391692089E-3</v>
      </c>
      <c r="AD29" s="1185">
        <f t="shared" si="46"/>
        <v>1.0867649550722595E-4</v>
      </c>
      <c r="AE29" s="1185">
        <f t="shared" si="46"/>
        <v>0</v>
      </c>
      <c r="AF29" s="1185">
        <f t="shared" si="46"/>
        <v>0</v>
      </c>
      <c r="AG29" s="1185">
        <f t="shared" si="46"/>
        <v>0</v>
      </c>
      <c r="AH29" s="1185">
        <f t="shared" si="46"/>
        <v>0</v>
      </c>
      <c r="AI29" s="1185">
        <f t="shared" si="46"/>
        <v>0</v>
      </c>
      <c r="AJ29" s="1185">
        <f t="shared" si="46"/>
        <v>0</v>
      </c>
      <c r="AK29" s="1185">
        <f t="shared" si="46"/>
        <v>0</v>
      </c>
      <c r="AL29" s="1185">
        <f t="shared" si="46"/>
        <v>0</v>
      </c>
      <c r="AM29" s="1185">
        <f t="shared" si="46"/>
        <v>0</v>
      </c>
      <c r="AN29" s="1185">
        <f t="shared" si="46"/>
        <v>0</v>
      </c>
      <c r="AO29" s="1185">
        <f t="shared" si="46"/>
        <v>0</v>
      </c>
      <c r="AP29" s="1185">
        <f t="shared" si="46"/>
        <v>0</v>
      </c>
      <c r="AQ29" s="1185">
        <f t="shared" si="46"/>
        <v>0</v>
      </c>
      <c r="AR29" s="1185">
        <f t="shared" si="46"/>
        <v>0</v>
      </c>
      <c r="AS29" s="1185">
        <f t="shared" si="46"/>
        <v>0</v>
      </c>
    </row>
    <row r="30" spans="1:64">
      <c r="A30" s="868" t="s">
        <v>784</v>
      </c>
      <c r="B30" s="1194">
        <f>Model!AG131</f>
        <v>16.429925827968077</v>
      </c>
      <c r="J30" s="851" t="s">
        <v>780</v>
      </c>
      <c r="L30" s="18"/>
      <c r="M30" s="18"/>
      <c r="N30" s="18"/>
      <c r="O30" s="18"/>
      <c r="P30" s="924">
        <f>IF((P29/O29-1)&lt;0,0,(P29/O29-1))</f>
        <v>6.7389465457375426</v>
      </c>
      <c r="Q30" s="924">
        <f t="shared" ref="Q30:AS30" si="47">Q29/P29-1</f>
        <v>0.53269384309732182</v>
      </c>
      <c r="R30" s="924">
        <f t="shared" si="47"/>
        <v>0.23984291354597365</v>
      </c>
      <c r="S30" s="924">
        <f t="shared" si="47"/>
        <v>0.11386087612889306</v>
      </c>
      <c r="T30" s="924">
        <f t="shared" si="47"/>
        <v>3.9146428600828731E-2</v>
      </c>
      <c r="U30" s="924">
        <f t="shared" si="47"/>
        <v>-1.4141942906072402E-2</v>
      </c>
      <c r="V30" s="924">
        <f t="shared" si="47"/>
        <v>-5.7801842699734318E-2</v>
      </c>
      <c r="W30" s="924">
        <f t="shared" si="47"/>
        <v>-9.8286413721534238E-2</v>
      </c>
      <c r="X30" s="924">
        <f t="shared" si="47"/>
        <v>-0.14069560457098895</v>
      </c>
      <c r="Y30" s="924">
        <f t="shared" si="47"/>
        <v>-0.19113064230495791</v>
      </c>
      <c r="Z30" s="924">
        <f t="shared" si="47"/>
        <v>-0.22189001287640164</v>
      </c>
      <c r="AA30" s="924">
        <f t="shared" si="47"/>
        <v>-0.26806906268126396</v>
      </c>
      <c r="AB30" s="924">
        <f t="shared" si="47"/>
        <v>-0.34478446772467664</v>
      </c>
      <c r="AC30" s="924">
        <f t="shared" si="47"/>
        <v>-0.49604303098442337</v>
      </c>
      <c r="AD30" s="924">
        <f t="shared" si="47"/>
        <v>-0.92903683523805514</v>
      </c>
      <c r="AE30" s="924">
        <f t="shared" si="47"/>
        <v>-1</v>
      </c>
      <c r="AF30" s="924" t="e">
        <f t="shared" si="47"/>
        <v>#DIV/0!</v>
      </c>
      <c r="AG30" s="924" t="e">
        <f t="shared" si="47"/>
        <v>#DIV/0!</v>
      </c>
      <c r="AH30" s="924" t="e">
        <f t="shared" si="47"/>
        <v>#DIV/0!</v>
      </c>
      <c r="AI30" s="924" t="e">
        <f t="shared" si="47"/>
        <v>#DIV/0!</v>
      </c>
      <c r="AJ30" s="924" t="e">
        <f t="shared" si="47"/>
        <v>#DIV/0!</v>
      </c>
      <c r="AK30" s="924" t="e">
        <f t="shared" si="47"/>
        <v>#DIV/0!</v>
      </c>
      <c r="AL30" s="924" t="e">
        <f t="shared" si="47"/>
        <v>#DIV/0!</v>
      </c>
      <c r="AM30" s="924" t="e">
        <f t="shared" si="47"/>
        <v>#DIV/0!</v>
      </c>
      <c r="AN30" s="924" t="e">
        <f t="shared" si="47"/>
        <v>#DIV/0!</v>
      </c>
      <c r="AO30" s="924" t="e">
        <f t="shared" si="47"/>
        <v>#DIV/0!</v>
      </c>
      <c r="AP30" s="924" t="e">
        <f t="shared" si="47"/>
        <v>#DIV/0!</v>
      </c>
      <c r="AQ30" s="924" t="e">
        <f t="shared" si="47"/>
        <v>#DIV/0!</v>
      </c>
      <c r="AR30" s="924" t="e">
        <f t="shared" si="47"/>
        <v>#DIV/0!</v>
      </c>
      <c r="AS30" s="924" t="e">
        <f t="shared" si="47"/>
        <v>#DIV/0!</v>
      </c>
    </row>
    <row r="31" spans="1:64">
      <c r="A31" s="914" t="s">
        <v>785</v>
      </c>
      <c r="B31" s="1192">
        <f>B28+B30</f>
        <v>16.654453046936929</v>
      </c>
      <c r="J31" s="851" t="s">
        <v>768</v>
      </c>
      <c r="K31" s="159"/>
      <c r="L31" s="1319">
        <f t="shared" ref="L31:AB31" si="48">IF((L21-L28)&lt;0,0,L21-L28)</f>
        <v>0</v>
      </c>
      <c r="M31" s="1319">
        <f t="shared" si="48"/>
        <v>0</v>
      </c>
      <c r="N31" s="1319">
        <f t="shared" si="48"/>
        <v>0</v>
      </c>
      <c r="O31" s="1319">
        <f t="shared" si="48"/>
        <v>86.217654092911289</v>
      </c>
      <c r="P31" s="1319">
        <f t="shared" si="48"/>
        <v>302.00596855279127</v>
      </c>
      <c r="Q31" s="1319">
        <f t="shared" si="48"/>
        <v>479.7153193500526</v>
      </c>
      <c r="R31" s="1319">
        <f t="shared" si="48"/>
        <v>618.68071731190503</v>
      </c>
      <c r="S31" s="1319">
        <f t="shared" si="48"/>
        <v>718.92646840672933</v>
      </c>
      <c r="T31" s="1319">
        <f t="shared" si="48"/>
        <v>781.08681250418249</v>
      </c>
      <c r="U31" s="1319">
        <f t="shared" si="48"/>
        <v>806.32040702877293</v>
      </c>
      <c r="V31" s="1319">
        <f t="shared" si="48"/>
        <v>796.22373130595224</v>
      </c>
      <c r="W31" s="1319">
        <f t="shared" si="48"/>
        <v>752.74727405366593</v>
      </c>
      <c r="X31" s="1319">
        <f t="shared" si="48"/>
        <v>678.1172451645989</v>
      </c>
      <c r="Y31" s="1319">
        <f t="shared" si="48"/>
        <v>574.76458050413112</v>
      </c>
      <c r="Z31" s="1319">
        <f t="shared" si="48"/>
        <v>468.31133590384889</v>
      </c>
      <c r="AA31" s="1319">
        <f t="shared" si="48"/>
        <v>358.66449396555709</v>
      </c>
      <c r="AB31" s="1319">
        <f t="shared" si="48"/>
        <v>245.72824676911841</v>
      </c>
      <c r="AC31" s="1319">
        <f>IF((AC21-AC28)&lt;0,0,AC21-AC28)</f>
        <v>129.40391215678756</v>
      </c>
      <c r="AD31" s="1319">
        <f t="shared" ref="AD31:AS31" si="49">IF((AD21-AD28)&lt;0,0,AD21-AD28)</f>
        <v>9.5898475060857891</v>
      </c>
      <c r="AE31" s="1319">
        <f t="shared" si="49"/>
        <v>0</v>
      </c>
      <c r="AF31" s="1319">
        <f t="shared" si="49"/>
        <v>0</v>
      </c>
      <c r="AG31" s="1319">
        <f t="shared" si="49"/>
        <v>0</v>
      </c>
      <c r="AH31" s="1319">
        <f t="shared" si="49"/>
        <v>0</v>
      </c>
      <c r="AI31" s="1319">
        <f t="shared" si="49"/>
        <v>0</v>
      </c>
      <c r="AJ31" s="1319">
        <f t="shared" si="49"/>
        <v>0</v>
      </c>
      <c r="AK31" s="1319">
        <f t="shared" si="49"/>
        <v>0</v>
      </c>
      <c r="AL31" s="1319">
        <f t="shared" si="49"/>
        <v>0</v>
      </c>
      <c r="AM31" s="1319">
        <f t="shared" si="49"/>
        <v>0</v>
      </c>
      <c r="AN31" s="1319">
        <f t="shared" si="49"/>
        <v>0</v>
      </c>
      <c r="AO31" s="1319">
        <f t="shared" si="49"/>
        <v>0</v>
      </c>
      <c r="AP31" s="1319">
        <f t="shared" si="49"/>
        <v>0</v>
      </c>
      <c r="AQ31" s="1319">
        <f t="shared" si="49"/>
        <v>0</v>
      </c>
      <c r="AR31" s="1319">
        <f t="shared" si="49"/>
        <v>0</v>
      </c>
      <c r="AS31" s="1319">
        <f t="shared" si="49"/>
        <v>0</v>
      </c>
    </row>
    <row r="32" spans="1:64">
      <c r="A32" s="868" t="s">
        <v>786</v>
      </c>
      <c r="B32" s="1028">
        <v>17.64</v>
      </c>
      <c r="J32" s="851" t="s">
        <v>769</v>
      </c>
      <c r="L32" s="18"/>
      <c r="M32" s="18"/>
      <c r="N32" s="18"/>
      <c r="O32" s="1186">
        <f t="shared" ref="O32:AS32" si="50">O31/(1+$B$23)^O16</f>
        <v>57.000369211948353</v>
      </c>
      <c r="P32" s="1186">
        <f t="shared" si="50"/>
        <v>181.13829652297696</v>
      </c>
      <c r="Q32" s="1186">
        <f t="shared" si="50"/>
        <v>261.03072346497845</v>
      </c>
      <c r="R32" s="1186">
        <f t="shared" si="50"/>
        <v>305.41327230224852</v>
      </c>
      <c r="S32" s="1186">
        <f t="shared" si="50"/>
        <v>321.97272651188257</v>
      </c>
      <c r="T32" s="1186">
        <f t="shared" si="50"/>
        <v>317.35635829115517</v>
      </c>
      <c r="U32" s="1186">
        <f t="shared" si="50"/>
        <v>297.21370817358138</v>
      </c>
      <c r="V32" s="1186">
        <f t="shared" si="50"/>
        <v>266.26224447942832</v>
      </c>
      <c r="W32" s="1186">
        <f t="shared" si="50"/>
        <v>228.36889415121919</v>
      </c>
      <c r="X32" s="1186">
        <f t="shared" si="50"/>
        <v>186.64047573364084</v>
      </c>
      <c r="Y32" s="1186">
        <f t="shared" si="50"/>
        <v>143.51732374621832</v>
      </c>
      <c r="Z32" s="1186">
        <f t="shared" si="50"/>
        <v>106.08702893882447</v>
      </c>
      <c r="AA32" s="1186">
        <f t="shared" si="50"/>
        <v>73.710488341190171</v>
      </c>
      <c r="AB32" s="1186">
        <f t="shared" si="50"/>
        <v>45.815166695656373</v>
      </c>
      <c r="AC32" s="1186">
        <f t="shared" si="50"/>
        <v>21.888443589900959</v>
      </c>
      <c r="AD32" s="1186">
        <f t="shared" si="50"/>
        <v>1.4716090938499478</v>
      </c>
      <c r="AE32" s="1186">
        <f t="shared" si="50"/>
        <v>0</v>
      </c>
      <c r="AF32" s="1186">
        <f t="shared" si="50"/>
        <v>0</v>
      </c>
      <c r="AG32" s="1186">
        <f t="shared" si="50"/>
        <v>0</v>
      </c>
      <c r="AH32" s="1186">
        <f t="shared" si="50"/>
        <v>0</v>
      </c>
      <c r="AI32" s="1186">
        <f t="shared" si="50"/>
        <v>0</v>
      </c>
      <c r="AJ32" s="1186">
        <f t="shared" si="50"/>
        <v>0</v>
      </c>
      <c r="AK32" s="1186">
        <f t="shared" si="50"/>
        <v>0</v>
      </c>
      <c r="AL32" s="1186">
        <f t="shared" si="50"/>
        <v>0</v>
      </c>
      <c r="AM32" s="1186">
        <f t="shared" si="50"/>
        <v>0</v>
      </c>
      <c r="AN32" s="1186">
        <f t="shared" si="50"/>
        <v>0</v>
      </c>
      <c r="AO32" s="1186">
        <f t="shared" si="50"/>
        <v>0</v>
      </c>
      <c r="AP32" s="1186">
        <f t="shared" si="50"/>
        <v>0</v>
      </c>
      <c r="AQ32" s="1186">
        <f t="shared" si="50"/>
        <v>0</v>
      </c>
      <c r="AR32" s="1186">
        <f t="shared" si="50"/>
        <v>0</v>
      </c>
      <c r="AS32" s="1186">
        <f t="shared" si="50"/>
        <v>0</v>
      </c>
    </row>
    <row r="33" spans="1:17">
      <c r="A33" s="9" t="s">
        <v>787</v>
      </c>
      <c r="B33" s="1195">
        <f>B31/B32-1</f>
        <v>-5.5870008677044836E-2</v>
      </c>
      <c r="J33" s="851" t="s">
        <v>770</v>
      </c>
      <c r="M33" s="1180">
        <f>SUM(P32:AS32)</f>
        <v>2757.8867600367516</v>
      </c>
    </row>
    <row r="34" spans="1:17">
      <c r="O34" s="1192"/>
      <c r="P34" s="159"/>
      <c r="Q34" s="159"/>
    </row>
    <row r="35" spans="1:17">
      <c r="O35" s="1192"/>
      <c r="P35" s="852"/>
      <c r="Q35" s="852"/>
    </row>
    <row r="36" spans="1:17" ht="16.5" thickBot="1"/>
    <row r="37" spans="1:17">
      <c r="D37" s="1254" t="s">
        <v>875</v>
      </c>
      <c r="E37" s="1255"/>
      <c r="F37" s="1255"/>
      <c r="G37" s="1255"/>
      <c r="H37" s="1255"/>
      <c r="I37" s="1256"/>
    </row>
    <row r="38" spans="1:17">
      <c r="D38" s="1257"/>
      <c r="E38" s="868"/>
      <c r="F38" s="868"/>
      <c r="G38" s="868" t="s">
        <v>765</v>
      </c>
      <c r="H38" s="868"/>
      <c r="I38" s="1258"/>
    </row>
    <row r="39" spans="1:17">
      <c r="D39" s="1259"/>
      <c r="E39" s="1034">
        <f>F39-1%</f>
        <v>8.2266766778664319E-2</v>
      </c>
      <c r="F39" s="1034">
        <f>G39-1%</f>
        <v>9.2266766778664314E-2</v>
      </c>
      <c r="G39" s="1034">
        <v>0.10226676677866431</v>
      </c>
      <c r="H39" s="1034">
        <f>G39+1%</f>
        <v>0.1122667667786643</v>
      </c>
      <c r="I39" s="1260">
        <f>H39+1%</f>
        <v>0.1222667667786643</v>
      </c>
    </row>
    <row r="40" spans="1:17" ht="16.5" thickBot="1">
      <c r="D40" s="1261">
        <f>B31</f>
        <v>16.654453046936929</v>
      </c>
      <c r="E40" s="1262">
        <f t="dataTable" ref="E40:I40" dt2D="0" dtr="1" r1="B23"/>
        <v>21.940987910337146</v>
      </c>
      <c r="F40" s="1262">
        <v>18.824582175185583</v>
      </c>
      <c r="G40" s="1262">
        <v>16.654453046936929</v>
      </c>
      <c r="H40" s="1262">
        <v>15.190030819705978</v>
      </c>
      <c r="I40" s="1263">
        <v>14.537777100847386</v>
      </c>
    </row>
    <row r="41" spans="1:17">
      <c r="D41" s="1196"/>
    </row>
    <row r="42" spans="1:17">
      <c r="D42" s="1492" t="s">
        <v>874</v>
      </c>
      <c r="E42" s="1492"/>
      <c r="F42" s="1492"/>
      <c r="G42" s="1492"/>
      <c r="H42" s="1492"/>
      <c r="I42" s="1492"/>
    </row>
    <row r="43" spans="1:17">
      <c r="D43" s="1453" t="s">
        <v>864</v>
      </c>
      <c r="E43" s="1454">
        <f t="shared" ref="E43:I44" si="51">E39</f>
        <v>8.2266766778664319E-2</v>
      </c>
      <c r="F43" s="1454">
        <f t="shared" si="51"/>
        <v>9.2266766778664314E-2</v>
      </c>
      <c r="G43" s="1454">
        <f t="shared" si="51"/>
        <v>0.10226676677866431</v>
      </c>
      <c r="H43" s="1454">
        <f t="shared" si="51"/>
        <v>0.1122667667786643</v>
      </c>
      <c r="I43" s="1454">
        <f t="shared" si="51"/>
        <v>0.1222667667786643</v>
      </c>
    </row>
    <row r="44" spans="1:17">
      <c r="D44" s="1196"/>
      <c r="E44" s="917">
        <f t="shared" si="51"/>
        <v>21.940987910337146</v>
      </c>
      <c r="F44" s="917">
        <f t="shared" si="51"/>
        <v>18.824582175185583</v>
      </c>
      <c r="G44" s="917">
        <f t="shared" si="51"/>
        <v>16.654453046936929</v>
      </c>
      <c r="H44" s="917">
        <f t="shared" si="51"/>
        <v>15.190030819705978</v>
      </c>
      <c r="I44" s="917">
        <f t="shared" si="51"/>
        <v>14.537777100847386</v>
      </c>
    </row>
    <row r="45" spans="1:17">
      <c r="D45" s="1453" t="s">
        <v>862</v>
      </c>
      <c r="E45" s="1454">
        <f>DDM!N25</f>
        <v>9.22667667786643E-2</v>
      </c>
      <c r="F45" s="1454">
        <f>DDM!O25</f>
        <v>9.7266766778664304E-2</v>
      </c>
      <c r="G45" s="1454">
        <f>DDM!P25</f>
        <v>0.10226676677866431</v>
      </c>
      <c r="H45" s="1454">
        <f>DDM!Q25</f>
        <v>0.10726676677866431</v>
      </c>
      <c r="I45" s="1454">
        <f>DDM!R25</f>
        <v>0.11226676677866432</v>
      </c>
    </row>
    <row r="46" spans="1:17">
      <c r="E46" s="917">
        <f>DDM!N29</f>
        <v>18.014892735557762</v>
      </c>
      <c r="F46" s="917">
        <f>DDM!O29</f>
        <v>16.587527575447844</v>
      </c>
      <c r="G46" s="917">
        <f>DDM!P29</f>
        <v>15.360551091404684</v>
      </c>
      <c r="H46" s="917">
        <f>DDM!Q29</f>
        <v>14.294965551473179</v>
      </c>
      <c r="I46" s="917">
        <f>DDM!R29</f>
        <v>13.361257502062191</v>
      </c>
    </row>
    <row r="47" spans="1:17">
      <c r="D47" s="1453" t="s">
        <v>863</v>
      </c>
      <c r="E47" s="1454">
        <f>DDM!L27</f>
        <v>2.5999999999999995E-2</v>
      </c>
      <c r="F47" s="1454">
        <f>DDM!L28</f>
        <v>2.7999999999999997E-2</v>
      </c>
      <c r="G47" s="1454">
        <f>DDM!L29</f>
        <v>0.03</v>
      </c>
      <c r="H47" s="1454">
        <f>DDM!L30</f>
        <v>3.2000000000000001E-2</v>
      </c>
      <c r="I47" s="1454">
        <f>DDM!L31</f>
        <v>3.4000000000000002E-2</v>
      </c>
      <c r="K47" s="852"/>
    </row>
    <row r="48" spans="1:17">
      <c r="E48" s="917">
        <f>DDM!$P$27</f>
        <v>14.720739392641859</v>
      </c>
      <c r="F48" s="1248">
        <f>DDM!$P$28</f>
        <v>15.032030194855947</v>
      </c>
      <c r="G48" s="1248">
        <f>DDM!$P$29</f>
        <v>15.360551091404684</v>
      </c>
      <c r="H48" s="1248">
        <f>DDM!$P$30</f>
        <v>15.70777334061896</v>
      </c>
      <c r="I48" s="1248">
        <f>DDM!$P$31</f>
        <v>16.075340613662473</v>
      </c>
      <c r="K48" s="1246"/>
    </row>
    <row r="49" spans="4:11">
      <c r="D49" s="1250" t="s">
        <v>865</v>
      </c>
      <c r="E49" s="1251"/>
      <c r="F49" s="1250" t="s">
        <v>866</v>
      </c>
      <c r="G49" s="1252" t="s">
        <v>458</v>
      </c>
      <c r="H49" s="1252" t="s">
        <v>903</v>
      </c>
      <c r="I49" s="1252"/>
      <c r="K49" s="1246"/>
    </row>
    <row r="50" spans="4:11">
      <c r="D50" s="1236" t="s">
        <v>867</v>
      </c>
      <c r="E50" s="1455"/>
      <c r="F50" s="1456" t="s">
        <v>871</v>
      </c>
      <c r="G50" s="1457"/>
      <c r="H50" s="1456" t="s">
        <v>872</v>
      </c>
      <c r="I50" s="1457"/>
      <c r="K50" s="1246"/>
    </row>
    <row r="51" spans="4:11">
      <c r="D51" s="1458" t="s">
        <v>868</v>
      </c>
      <c r="E51" s="1459"/>
      <c r="F51" s="1460" t="s">
        <v>869</v>
      </c>
      <c r="G51" s="1461"/>
      <c r="H51" s="1460" t="s">
        <v>870</v>
      </c>
      <c r="I51" s="1461"/>
      <c r="K51" s="1246"/>
    </row>
    <row r="52" spans="4:11">
      <c r="D52" s="851" t="s">
        <v>873</v>
      </c>
      <c r="E52" s="1108"/>
      <c r="F52" s="1248">
        <v>20</v>
      </c>
      <c r="G52" s="1248">
        <v>17</v>
      </c>
      <c r="H52" s="1248">
        <v>15</v>
      </c>
      <c r="I52" s="1247"/>
      <c r="K52" s="135"/>
    </row>
    <row r="53" spans="4:11" ht="16.5" thickBot="1">
      <c r="D53" s="851" t="s">
        <v>789</v>
      </c>
      <c r="E53" s="1108"/>
      <c r="F53" s="1248">
        <f>DDM!$B$11</f>
        <v>15.360551091404684</v>
      </c>
      <c r="G53" s="1248">
        <f>DDM!$B$11</f>
        <v>15.360551091404684</v>
      </c>
      <c r="H53" s="1248">
        <f>DDM!$B$11</f>
        <v>15.360551091404684</v>
      </c>
      <c r="I53" s="1247"/>
      <c r="K53" s="135"/>
    </row>
    <row r="54" spans="4:11" ht="16.5" thickBot="1">
      <c r="D54" s="1446" t="s">
        <v>788</v>
      </c>
      <c r="E54" s="1446"/>
      <c r="F54" s="1446"/>
      <c r="G54" s="1446"/>
      <c r="H54" s="1446" t="s">
        <v>584</v>
      </c>
      <c r="I54" s="1253">
        <f>AVERAGE(E44:I44,E46:I46,E48:I48,F52:H53)</f>
        <v>16.178338734112216</v>
      </c>
    </row>
    <row r="55" spans="4:11">
      <c r="D55" s="868" t="s">
        <v>924</v>
      </c>
      <c r="E55" s="868"/>
      <c r="F55" s="868"/>
      <c r="G55" s="868"/>
      <c r="H55" s="868"/>
      <c r="I55" s="1028">
        <f>B32</f>
        <v>17.64</v>
      </c>
    </row>
    <row r="56" spans="4:11">
      <c r="D56" s="9" t="s">
        <v>925</v>
      </c>
      <c r="E56" s="9"/>
      <c r="F56" s="9"/>
      <c r="G56" s="9"/>
      <c r="H56" s="9"/>
      <c r="I56" s="953">
        <f>I54/I55-1</f>
        <v>-8.2860615980033137E-2</v>
      </c>
    </row>
  </sheetData>
  <mergeCells count="1">
    <mergeCell ref="D42:I42"/>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dimension ref="A1:S155"/>
  <sheetViews>
    <sheetView zoomScale="85" zoomScaleNormal="85" workbookViewId="0">
      <pane xSplit="1" ySplit="1" topLeftCell="B6" activePane="bottomRight" state="frozen"/>
      <selection pane="topRight" activeCell="B1" sqref="B1"/>
      <selection pane="bottomLeft" activeCell="A2" sqref="A2"/>
      <selection pane="bottomRight" activeCell="G24" sqref="G24"/>
    </sheetView>
  </sheetViews>
  <sheetFormatPr defaultColWidth="11" defaultRowHeight="15.75"/>
  <cols>
    <col min="1" max="1" width="35.875" customWidth="1"/>
    <col min="2" max="2" width="11" style="563"/>
  </cols>
  <sheetData>
    <row r="1" spans="1:19" s="851" customFormat="1">
      <c r="B1" s="563" t="str">
        <f>Model!AF4</f>
        <v>2017-3Q</v>
      </c>
      <c r="C1" s="18" t="str">
        <f>Model!AG4</f>
        <v>2017-4Qe</v>
      </c>
      <c r="D1" s="18" t="str">
        <f>Model!AH4</f>
        <v>2018-1Qe</v>
      </c>
      <c r="E1" s="18" t="str">
        <f>Model!AI4</f>
        <v>2018-2Qe</v>
      </c>
      <c r="F1" s="18" t="str">
        <f>Model!AJ4</f>
        <v>2018-3Qe</v>
      </c>
      <c r="G1" s="18" t="str">
        <f>Model!AK4</f>
        <v>2018-4Qe</v>
      </c>
      <c r="H1" s="18" t="str">
        <f>Model!AL4</f>
        <v>2019-1Qe</v>
      </c>
      <c r="I1" s="18" t="str">
        <f>Model!AM4</f>
        <v>2019-2Qe</v>
      </c>
      <c r="J1" s="18" t="str">
        <f>Model!AN4</f>
        <v>2019-3Qe</v>
      </c>
      <c r="K1" s="18" t="str">
        <f>Model!AO4</f>
        <v>2019-4Qe</v>
      </c>
      <c r="L1" s="18" t="str">
        <f>Model!AP4</f>
        <v>2020-1Qe</v>
      </c>
      <c r="M1" s="18" t="str">
        <f>Model!AQ4</f>
        <v>2020-2Qe</v>
      </c>
      <c r="N1" s="18" t="str">
        <f>Model!AR4</f>
        <v>2020-3Qe</v>
      </c>
      <c r="O1" s="18" t="str">
        <f>Model!AS4</f>
        <v>2020-4Qe</v>
      </c>
      <c r="P1" s="18" t="str">
        <f>Model!AT4</f>
        <v>2021-1Qe</v>
      </c>
      <c r="Q1" s="18" t="str">
        <f>Model!AU4</f>
        <v>2021-2Qe</v>
      </c>
      <c r="R1" s="18" t="str">
        <f>Model!AV4</f>
        <v>2021-3Qe</v>
      </c>
      <c r="S1" s="18" t="str">
        <f>Model!AW4</f>
        <v>2021-4Qe</v>
      </c>
    </row>
    <row r="2" spans="1:19" s="2" customFormat="1">
      <c r="A2" s="2" t="s">
        <v>486</v>
      </c>
      <c r="B2" s="1216"/>
      <c r="C2" s="919"/>
      <c r="D2" s="919"/>
      <c r="E2" s="919"/>
      <c r="F2" s="919"/>
      <c r="G2" s="919"/>
      <c r="H2" s="919"/>
      <c r="I2" s="919"/>
      <c r="J2" s="919"/>
      <c r="K2" s="919"/>
      <c r="L2" s="919"/>
      <c r="M2" s="919"/>
      <c r="N2" s="919"/>
      <c r="O2" s="919"/>
      <c r="P2" s="919"/>
      <c r="Q2" s="919"/>
      <c r="R2" s="919"/>
      <c r="S2" s="919"/>
    </row>
    <row r="3" spans="1:19">
      <c r="A3" t="s">
        <v>487</v>
      </c>
      <c r="C3" s="18"/>
      <c r="D3" s="18"/>
      <c r="E3" s="18"/>
      <c r="F3" s="18"/>
      <c r="G3" s="18"/>
      <c r="H3" s="18"/>
      <c r="I3" s="18"/>
      <c r="J3" s="18"/>
      <c r="K3" s="18"/>
      <c r="L3" s="18"/>
      <c r="M3" s="18"/>
      <c r="N3" s="18"/>
      <c r="O3" s="18"/>
      <c r="P3" s="18"/>
      <c r="Q3" s="18"/>
      <c r="R3" s="18"/>
      <c r="S3" s="18"/>
    </row>
    <row r="4" spans="1:19">
      <c r="A4" t="s">
        <v>488</v>
      </c>
      <c r="B4" s="1198">
        <f>Model!AF106</f>
        <v>43858</v>
      </c>
      <c r="C4" s="1186">
        <f>Model!AG106</f>
        <v>41980.103483041232</v>
      </c>
      <c r="D4" s="1186">
        <f>Model!AH106</f>
        <v>42415.605449453324</v>
      </c>
      <c r="E4" s="1186">
        <f>Model!AI106</f>
        <v>41224.014714300269</v>
      </c>
      <c r="F4" s="1186">
        <f>Model!AJ106</f>
        <v>41968.874529236222</v>
      </c>
      <c r="G4" s="1186">
        <f>Model!AK106</f>
        <v>42843.056010920423</v>
      </c>
      <c r="H4" s="1186">
        <f>Model!AL106</f>
        <v>43723.694329268968</v>
      </c>
      <c r="I4" s="1186">
        <f>Model!AM106</f>
        <v>42102.778782766465</v>
      </c>
      <c r="J4" s="1186">
        <f>Model!AN106</f>
        <v>43043.69086004905</v>
      </c>
      <c r="K4" s="1186">
        <f>Model!AO106</f>
        <v>44099.76715964808</v>
      </c>
      <c r="L4" s="1186">
        <f>Model!AP106</f>
        <v>45161.067943311136</v>
      </c>
      <c r="M4" s="1186">
        <f>Model!AQ106</f>
        <v>43724.388555345162</v>
      </c>
      <c r="N4" s="1186">
        <f>Model!AR106</f>
        <v>44808.699478078219</v>
      </c>
      <c r="O4" s="1186">
        <f>Model!AS106</f>
        <v>45956.875939804297</v>
      </c>
      <c r="P4" s="1186">
        <f>Model!AT106</f>
        <v>47109.087480184135</v>
      </c>
      <c r="Q4" s="1186">
        <f>Model!AU106</f>
        <v>45000.694674077684</v>
      </c>
      <c r="R4" s="1186">
        <f>Model!AV106</f>
        <v>46176.394652195944</v>
      </c>
      <c r="S4" s="1186">
        <f>Model!AW106</f>
        <v>47421.324707509179</v>
      </c>
    </row>
    <row r="5" spans="1:19">
      <c r="A5" t="s">
        <v>489</v>
      </c>
      <c r="B5" s="1198">
        <f>SUM(Model!N18:AA18)</f>
        <v>3809</v>
      </c>
      <c r="C5" s="1186">
        <f t="shared" ref="C5:O5" si="0">B5</f>
        <v>3809</v>
      </c>
      <c r="D5" s="1186">
        <f t="shared" si="0"/>
        <v>3809</v>
      </c>
      <c r="E5" s="1186">
        <f t="shared" si="0"/>
        <v>3809</v>
      </c>
      <c r="F5" s="1186">
        <f t="shared" si="0"/>
        <v>3809</v>
      </c>
      <c r="G5" s="1186">
        <f t="shared" si="0"/>
        <v>3809</v>
      </c>
      <c r="H5" s="1186">
        <f t="shared" si="0"/>
        <v>3809</v>
      </c>
      <c r="I5" s="1186">
        <f t="shared" si="0"/>
        <v>3809</v>
      </c>
      <c r="J5" s="1186">
        <f t="shared" si="0"/>
        <v>3809</v>
      </c>
      <c r="K5" s="1186">
        <f t="shared" si="0"/>
        <v>3809</v>
      </c>
      <c r="L5" s="1186">
        <f t="shared" si="0"/>
        <v>3809</v>
      </c>
      <c r="M5" s="1186">
        <f t="shared" si="0"/>
        <v>3809</v>
      </c>
      <c r="N5" s="1186">
        <f t="shared" si="0"/>
        <v>3809</v>
      </c>
      <c r="O5" s="1186">
        <f t="shared" si="0"/>
        <v>3809</v>
      </c>
      <c r="P5" s="1186">
        <f t="shared" ref="P5" si="1">O5</f>
        <v>3809</v>
      </c>
      <c r="Q5" s="1186">
        <f t="shared" ref="Q5" si="2">P5</f>
        <v>3809</v>
      </c>
      <c r="R5" s="1186">
        <f t="shared" ref="R5" si="3">Q5</f>
        <v>3809</v>
      </c>
      <c r="S5" s="1186">
        <f t="shared" ref="S5" si="4">R5</f>
        <v>3809</v>
      </c>
    </row>
    <row r="6" spans="1:19">
      <c r="A6" t="s">
        <v>490</v>
      </c>
      <c r="B6" s="1198">
        <f t="shared" ref="B6:O6" si="5">SUM(B4:B5)</f>
        <v>47667</v>
      </c>
      <c r="C6" s="1186">
        <f t="shared" si="5"/>
        <v>45789.103483041232</v>
      </c>
      <c r="D6" s="1186">
        <f t="shared" si="5"/>
        <v>46224.605449453324</v>
      </c>
      <c r="E6" s="1186">
        <f t="shared" si="5"/>
        <v>45033.014714300269</v>
      </c>
      <c r="F6" s="1186">
        <f t="shared" si="5"/>
        <v>45777.874529236222</v>
      </c>
      <c r="G6" s="1186">
        <f t="shared" si="5"/>
        <v>46652.056010920423</v>
      </c>
      <c r="H6" s="1186">
        <f t="shared" si="5"/>
        <v>47532.694329268968</v>
      </c>
      <c r="I6" s="1186">
        <f t="shared" si="5"/>
        <v>45911.778782766465</v>
      </c>
      <c r="J6" s="1186">
        <f t="shared" si="5"/>
        <v>46852.69086004905</v>
      </c>
      <c r="K6" s="1186">
        <f t="shared" si="5"/>
        <v>47908.76715964808</v>
      </c>
      <c r="L6" s="1186">
        <f t="shared" si="5"/>
        <v>48970.067943311136</v>
      </c>
      <c r="M6" s="1186">
        <f t="shared" si="5"/>
        <v>47533.388555345162</v>
      </c>
      <c r="N6" s="1186">
        <f t="shared" si="5"/>
        <v>48617.699478078219</v>
      </c>
      <c r="O6" s="1186">
        <f t="shared" si="5"/>
        <v>49765.875939804297</v>
      </c>
      <c r="P6" s="1186">
        <f t="shared" ref="P6:S6" si="6">SUM(P4:P5)</f>
        <v>50918.087480184135</v>
      </c>
      <c r="Q6" s="1186">
        <f t="shared" si="6"/>
        <v>48809.694674077684</v>
      </c>
      <c r="R6" s="1186">
        <f t="shared" si="6"/>
        <v>49985.394652195944</v>
      </c>
      <c r="S6" s="1186">
        <f t="shared" si="6"/>
        <v>51230.324707509179</v>
      </c>
    </row>
    <row r="7" spans="1:19">
      <c r="B7" s="1198"/>
      <c r="C7" s="1186"/>
      <c r="D7" s="1186"/>
      <c r="E7" s="1186"/>
      <c r="F7" s="1186"/>
      <c r="G7" s="1186"/>
      <c r="H7" s="1186"/>
      <c r="I7" s="1186"/>
      <c r="J7" s="1186"/>
      <c r="K7" s="1186"/>
      <c r="L7" s="1186"/>
      <c r="M7" s="1186"/>
      <c r="N7" s="1186"/>
      <c r="O7" s="1186"/>
      <c r="P7" s="1186"/>
      <c r="Q7" s="1186"/>
      <c r="R7" s="1186"/>
      <c r="S7" s="1186"/>
    </row>
    <row r="8" spans="1:19">
      <c r="A8" t="s">
        <v>491</v>
      </c>
      <c r="B8" s="1198"/>
      <c r="C8" s="1186"/>
      <c r="D8" s="1186"/>
      <c r="E8" s="1186"/>
      <c r="F8" s="1186"/>
      <c r="G8" s="1186"/>
      <c r="H8" s="1186"/>
      <c r="I8" s="1186"/>
      <c r="J8" s="1186"/>
      <c r="K8" s="1186"/>
      <c r="L8" s="1186"/>
      <c r="M8" s="1186"/>
      <c r="N8" s="1186"/>
      <c r="O8" s="1186"/>
      <c r="P8" s="1186"/>
      <c r="Q8" s="1186"/>
      <c r="R8" s="1186"/>
      <c r="S8" s="1186"/>
    </row>
    <row r="9" spans="1:19">
      <c r="A9" t="s">
        <v>492</v>
      </c>
      <c r="B9" s="1198">
        <v>23293</v>
      </c>
      <c r="C9" s="1186">
        <f t="shared" ref="C9:O9" si="7">B9</f>
        <v>23293</v>
      </c>
      <c r="D9" s="1186">
        <f t="shared" si="7"/>
        <v>23293</v>
      </c>
      <c r="E9" s="1186">
        <f t="shared" si="7"/>
        <v>23293</v>
      </c>
      <c r="F9" s="1186">
        <f t="shared" si="7"/>
        <v>23293</v>
      </c>
      <c r="G9" s="1186">
        <f t="shared" si="7"/>
        <v>23293</v>
      </c>
      <c r="H9" s="1186">
        <f t="shared" si="7"/>
        <v>23293</v>
      </c>
      <c r="I9" s="1186">
        <f t="shared" si="7"/>
        <v>23293</v>
      </c>
      <c r="J9" s="1186">
        <f t="shared" si="7"/>
        <v>23293</v>
      </c>
      <c r="K9" s="1186">
        <f t="shared" si="7"/>
        <v>23293</v>
      </c>
      <c r="L9" s="1186">
        <f t="shared" si="7"/>
        <v>23293</v>
      </c>
      <c r="M9" s="1186">
        <f t="shared" si="7"/>
        <v>23293</v>
      </c>
      <c r="N9" s="1186">
        <f t="shared" si="7"/>
        <v>23293</v>
      </c>
      <c r="O9" s="1186">
        <f t="shared" si="7"/>
        <v>23293</v>
      </c>
      <c r="P9" s="1186">
        <f t="shared" ref="P9" si="8">O9</f>
        <v>23293</v>
      </c>
      <c r="Q9" s="1186">
        <f t="shared" ref="Q9" si="9">P9</f>
        <v>23293</v>
      </c>
      <c r="R9" s="1186">
        <f t="shared" ref="R9" si="10">Q9</f>
        <v>23293</v>
      </c>
      <c r="S9" s="1186">
        <f t="shared" ref="S9" si="11">R9</f>
        <v>23293</v>
      </c>
    </row>
    <row r="10" spans="1:19">
      <c r="A10" t="s">
        <v>493</v>
      </c>
      <c r="B10" s="1198">
        <v>0</v>
      </c>
      <c r="C10" s="1186">
        <v>0</v>
      </c>
      <c r="D10" s="1186">
        <v>0</v>
      </c>
      <c r="E10" s="1186">
        <v>0</v>
      </c>
      <c r="F10" s="1186">
        <v>0</v>
      </c>
      <c r="G10" s="1186">
        <v>0</v>
      </c>
      <c r="H10" s="1186">
        <v>0</v>
      </c>
      <c r="I10" s="1186">
        <v>0</v>
      </c>
      <c r="J10" s="1186">
        <v>0</v>
      </c>
      <c r="K10" s="1186">
        <v>0</v>
      </c>
      <c r="L10" s="1186">
        <v>0</v>
      </c>
      <c r="M10" s="1186">
        <v>0</v>
      </c>
      <c r="N10" s="1186">
        <v>0</v>
      </c>
      <c r="O10" s="1186">
        <v>0</v>
      </c>
      <c r="P10" s="1186">
        <v>0</v>
      </c>
      <c r="Q10" s="1186">
        <v>0</v>
      </c>
      <c r="R10" s="1186">
        <v>0</v>
      </c>
      <c r="S10" s="1186">
        <v>0</v>
      </c>
    </row>
    <row r="11" spans="1:19">
      <c r="B11" s="1198"/>
      <c r="C11" s="1186"/>
      <c r="D11" s="1186"/>
      <c r="E11" s="1186"/>
      <c r="F11" s="1186"/>
      <c r="G11" s="1186"/>
      <c r="H11" s="1186"/>
      <c r="I11" s="1186"/>
      <c r="J11" s="1186"/>
      <c r="K11" s="1186"/>
      <c r="L11" s="1186"/>
      <c r="M11" s="1186"/>
      <c r="N11" s="1186"/>
      <c r="O11" s="1186"/>
      <c r="P11" s="1186"/>
      <c r="Q11" s="1186"/>
      <c r="R11" s="1186"/>
      <c r="S11" s="1186"/>
    </row>
    <row r="12" spans="1:19" s="7" customFormat="1">
      <c r="A12" s="7" t="s">
        <v>486</v>
      </c>
      <c r="B12" s="1363">
        <f t="shared" ref="B12:O12" si="12">B6+B9</f>
        <v>70960</v>
      </c>
      <c r="C12" s="1359">
        <f t="shared" si="12"/>
        <v>69082.103483041225</v>
      </c>
      <c r="D12" s="1359">
        <f t="shared" si="12"/>
        <v>69517.605449453316</v>
      </c>
      <c r="E12" s="1359">
        <f t="shared" si="12"/>
        <v>68326.014714300269</v>
      </c>
      <c r="F12" s="1359">
        <f t="shared" si="12"/>
        <v>69070.874529236229</v>
      </c>
      <c r="G12" s="1359">
        <f t="shared" si="12"/>
        <v>69945.056010920423</v>
      </c>
      <c r="H12" s="1359">
        <f t="shared" si="12"/>
        <v>70825.694329268968</v>
      </c>
      <c r="I12" s="1359">
        <f t="shared" si="12"/>
        <v>69204.778782766458</v>
      </c>
      <c r="J12" s="1359">
        <f t="shared" si="12"/>
        <v>70145.690860049042</v>
      </c>
      <c r="K12" s="1359">
        <f t="shared" si="12"/>
        <v>71201.76715964808</v>
      </c>
      <c r="L12" s="1359">
        <f t="shared" si="12"/>
        <v>72263.067943311136</v>
      </c>
      <c r="M12" s="1359">
        <f t="shared" si="12"/>
        <v>70826.388555345155</v>
      </c>
      <c r="N12" s="1359">
        <f t="shared" si="12"/>
        <v>71910.699478078226</v>
      </c>
      <c r="O12" s="1359">
        <f t="shared" si="12"/>
        <v>73058.875939804304</v>
      </c>
      <c r="P12" s="1359">
        <f t="shared" ref="P12:S12" si="13">P6+P9</f>
        <v>74211.087480184127</v>
      </c>
      <c r="Q12" s="1359">
        <f t="shared" si="13"/>
        <v>72102.694674077677</v>
      </c>
      <c r="R12" s="1359">
        <f t="shared" si="13"/>
        <v>73278.394652195944</v>
      </c>
      <c r="S12" s="1359">
        <f t="shared" si="13"/>
        <v>74523.324707509179</v>
      </c>
    </row>
    <row r="13" spans="1:19">
      <c r="B13" s="1198"/>
      <c r="C13" s="1186"/>
      <c r="D13" s="1186"/>
      <c r="E13" s="1186"/>
      <c r="F13" s="1186"/>
      <c r="G13" s="1186"/>
      <c r="H13" s="1186"/>
      <c r="I13" s="1186"/>
      <c r="J13" s="1186"/>
      <c r="K13" s="1186"/>
      <c r="L13" s="1186"/>
      <c r="M13" s="1186"/>
      <c r="N13" s="1186"/>
      <c r="O13" s="1186"/>
      <c r="P13" s="1186"/>
      <c r="Q13" s="1186"/>
      <c r="R13" s="1186"/>
      <c r="S13" s="1186"/>
    </row>
    <row r="14" spans="1:19" s="2" customFormat="1">
      <c r="A14" s="2" t="s">
        <v>494</v>
      </c>
      <c r="B14" s="1364"/>
      <c r="C14" s="1360"/>
      <c r="D14" s="1360"/>
      <c r="E14" s="1360"/>
      <c r="F14" s="1360"/>
      <c r="G14" s="1360"/>
      <c r="H14" s="1360"/>
      <c r="I14" s="1360"/>
      <c r="J14" s="1360"/>
      <c r="K14" s="1360"/>
      <c r="L14" s="1360"/>
      <c r="M14" s="1360"/>
      <c r="N14" s="1360"/>
      <c r="O14" s="1360"/>
      <c r="P14" s="1360"/>
      <c r="Q14" s="1360"/>
      <c r="R14" s="1360"/>
      <c r="S14" s="1360"/>
    </row>
    <row r="15" spans="1:19">
      <c r="A15" t="s">
        <v>495</v>
      </c>
      <c r="B15" s="1198">
        <f>Model!AF28</f>
        <v>247</v>
      </c>
      <c r="C15" s="1186">
        <f>Model!AG28</f>
        <v>422.10348304123426</v>
      </c>
      <c r="D15" s="1186">
        <f>Model!AH28</f>
        <v>435.5019664120934</v>
      </c>
      <c r="E15" s="1186">
        <f>Model!AI28</f>
        <v>596.97926484694449</v>
      </c>
      <c r="F15" s="1186">
        <f>Model!AJ28</f>
        <v>744.85981493595432</v>
      </c>
      <c r="G15" s="1186">
        <f>Model!AK28</f>
        <v>874.18148168419793</v>
      </c>
      <c r="H15" s="1186">
        <f>Model!AL28</f>
        <v>880.63831834854591</v>
      </c>
      <c r="I15" s="1186">
        <f>Model!AM28</f>
        <v>934.18445349749595</v>
      </c>
      <c r="J15" s="1186">
        <f>Model!AN28</f>
        <v>940.91207728258621</v>
      </c>
      <c r="K15" s="1186">
        <f>Model!AO28</f>
        <v>1056.0762995990299</v>
      </c>
      <c r="L15" s="1186">
        <f>Model!AP28</f>
        <v>1061.3007836630604</v>
      </c>
      <c r="M15" s="1186">
        <f>Model!AQ28</f>
        <v>1118.4206120340239</v>
      </c>
      <c r="N15" s="1186">
        <f>Model!AR28</f>
        <v>1084.3109227330597</v>
      </c>
      <c r="O15" s="1186">
        <f>Model!AS28</f>
        <v>1148.1764617260808</v>
      </c>
      <c r="P15" s="1186">
        <f>Model!AT28</f>
        <v>1152.2115403798409</v>
      </c>
      <c r="Q15" s="1186">
        <f>Model!AU28</f>
        <v>1213.2371938935476</v>
      </c>
      <c r="R15" s="1186">
        <f>Model!AV28</f>
        <v>1175.6999781182633</v>
      </c>
      <c r="S15" s="1186">
        <f>Model!AW28</f>
        <v>1244.9300553132348</v>
      </c>
    </row>
    <row r="16" spans="1:19">
      <c r="A16" s="135" t="s">
        <v>496</v>
      </c>
      <c r="B16" s="1198">
        <f>Model!AF18</f>
        <v>0</v>
      </c>
      <c r="C16" s="1186">
        <f>Model!AG18-2300</f>
        <v>0</v>
      </c>
      <c r="D16" s="1186">
        <f>Model!AH18</f>
        <v>0</v>
      </c>
      <c r="E16" s="1186">
        <f>Model!AI18</f>
        <v>0</v>
      </c>
      <c r="F16" s="1186">
        <f>Model!AJ18</f>
        <v>0</v>
      </c>
      <c r="G16" s="1186">
        <f>Model!AK18</f>
        <v>0</v>
      </c>
      <c r="H16" s="1186">
        <f>Model!AL18</f>
        <v>0</v>
      </c>
      <c r="I16" s="1186">
        <f>Model!AM18</f>
        <v>0</v>
      </c>
      <c r="J16" s="1186">
        <f>Model!AN18</f>
        <v>0</v>
      </c>
      <c r="K16" s="1186">
        <f>Model!AO18</f>
        <v>0</v>
      </c>
      <c r="L16" s="1186">
        <f>Model!AP18</f>
        <v>0</v>
      </c>
      <c r="M16" s="1186">
        <f>Model!AQ18</f>
        <v>0</v>
      </c>
      <c r="N16" s="1186">
        <f>Model!AR18</f>
        <v>0</v>
      </c>
      <c r="O16" s="1186">
        <f>Model!AS18</f>
        <v>0</v>
      </c>
      <c r="P16" s="1186">
        <f>Model!AT18</f>
        <v>0</v>
      </c>
      <c r="Q16" s="1186">
        <f>Model!AU18</f>
        <v>0</v>
      </c>
      <c r="R16" s="1186">
        <f>Model!AV18</f>
        <v>0</v>
      </c>
      <c r="S16" s="1186">
        <f>Model!AW18</f>
        <v>0</v>
      </c>
    </row>
    <row r="17" spans="1:19">
      <c r="A17" s="135" t="s">
        <v>497</v>
      </c>
      <c r="B17" s="1198">
        <f>Model!AF19</f>
        <v>112</v>
      </c>
      <c r="C17" s="1186">
        <f>Model!AG19</f>
        <v>175</v>
      </c>
      <c r="D17" s="1186">
        <f>Model!AH19</f>
        <v>0</v>
      </c>
      <c r="E17" s="1186">
        <f>Model!AI19</f>
        <v>0</v>
      </c>
      <c r="F17" s="1186">
        <f>Model!AJ19</f>
        <v>0</v>
      </c>
      <c r="G17" s="1186">
        <f>Model!AK19</f>
        <v>0</v>
      </c>
      <c r="H17" s="1186">
        <f>Model!AL19</f>
        <v>0</v>
      </c>
      <c r="I17" s="1186">
        <f>Model!AM19</f>
        <v>0</v>
      </c>
      <c r="J17" s="1186">
        <f>Model!AN19</f>
        <v>0</v>
      </c>
      <c r="K17" s="1186">
        <f>Model!AO19</f>
        <v>0</v>
      </c>
      <c r="L17" s="1186">
        <f>Model!AP19</f>
        <v>0</v>
      </c>
      <c r="M17" s="1186">
        <f>Model!AQ19</f>
        <v>0</v>
      </c>
      <c r="N17" s="1186">
        <f>Model!AR19</f>
        <v>0</v>
      </c>
      <c r="O17" s="1186">
        <f>Model!AS19</f>
        <v>0</v>
      </c>
      <c r="P17" s="1186">
        <f>Model!AT19</f>
        <v>0</v>
      </c>
      <c r="Q17" s="1186">
        <f>Model!AU19</f>
        <v>0</v>
      </c>
      <c r="R17" s="1186">
        <f>Model!AV19</f>
        <v>0</v>
      </c>
      <c r="S17" s="1186">
        <f>Model!AW19</f>
        <v>0</v>
      </c>
    </row>
    <row r="18" spans="1:19">
      <c r="A18" s="135" t="s">
        <v>498</v>
      </c>
      <c r="B18" s="1198">
        <v>0</v>
      </c>
      <c r="C18" s="1186">
        <v>0</v>
      </c>
      <c r="D18" s="1186">
        <v>0</v>
      </c>
      <c r="E18" s="1186">
        <v>0</v>
      </c>
      <c r="F18" s="1186">
        <v>0</v>
      </c>
      <c r="G18" s="1186">
        <v>0</v>
      </c>
      <c r="H18" s="1186">
        <v>0</v>
      </c>
      <c r="I18" s="1186">
        <v>0</v>
      </c>
      <c r="J18" s="1186">
        <v>0</v>
      </c>
      <c r="K18" s="1186">
        <v>0</v>
      </c>
      <c r="L18" s="1186">
        <v>0</v>
      </c>
      <c r="M18" s="1186">
        <v>0</v>
      </c>
      <c r="N18" s="1186">
        <v>0</v>
      </c>
      <c r="O18" s="1186">
        <v>0</v>
      </c>
      <c r="P18" s="1186">
        <v>1</v>
      </c>
      <c r="Q18" s="1186">
        <v>2</v>
      </c>
      <c r="R18" s="1186">
        <v>3</v>
      </c>
      <c r="S18" s="1186">
        <v>4</v>
      </c>
    </row>
    <row r="19" spans="1:19">
      <c r="A19" s="135" t="s">
        <v>499</v>
      </c>
      <c r="B19" s="1198">
        <f t="shared" ref="B19:O19" si="14">B9*7%/4</f>
        <v>407.62750000000005</v>
      </c>
      <c r="C19" s="1186">
        <f t="shared" si="14"/>
        <v>407.62750000000005</v>
      </c>
      <c r="D19" s="1186">
        <f t="shared" si="14"/>
        <v>407.62750000000005</v>
      </c>
      <c r="E19" s="1186">
        <f t="shared" si="14"/>
        <v>407.62750000000005</v>
      </c>
      <c r="F19" s="1186">
        <f t="shared" si="14"/>
        <v>407.62750000000005</v>
      </c>
      <c r="G19" s="1186">
        <f t="shared" si="14"/>
        <v>407.62750000000005</v>
      </c>
      <c r="H19" s="1186">
        <f t="shared" si="14"/>
        <v>407.62750000000005</v>
      </c>
      <c r="I19" s="1186">
        <f t="shared" si="14"/>
        <v>407.62750000000005</v>
      </c>
      <c r="J19" s="1186">
        <f t="shared" si="14"/>
        <v>407.62750000000005</v>
      </c>
      <c r="K19" s="1186">
        <f t="shared" si="14"/>
        <v>407.62750000000005</v>
      </c>
      <c r="L19" s="1186">
        <f t="shared" si="14"/>
        <v>407.62750000000005</v>
      </c>
      <c r="M19" s="1186">
        <f t="shared" si="14"/>
        <v>407.62750000000005</v>
      </c>
      <c r="N19" s="1186">
        <f t="shared" si="14"/>
        <v>407.62750000000005</v>
      </c>
      <c r="O19" s="1186">
        <f t="shared" si="14"/>
        <v>407.62750000000005</v>
      </c>
      <c r="P19" s="1186">
        <f t="shared" ref="P19:S19" si="15">P9*7%/4</f>
        <v>407.62750000000005</v>
      </c>
      <c r="Q19" s="1186">
        <f t="shared" si="15"/>
        <v>407.62750000000005</v>
      </c>
      <c r="R19" s="1186">
        <f t="shared" si="15"/>
        <v>407.62750000000005</v>
      </c>
      <c r="S19" s="1186">
        <f t="shared" si="15"/>
        <v>407.62750000000005</v>
      </c>
    </row>
    <row r="20" spans="1:19">
      <c r="A20" s="135" t="s">
        <v>500</v>
      </c>
      <c r="B20" s="1198">
        <f>+Model!AF29</f>
        <v>3</v>
      </c>
      <c r="C20" s="1186">
        <f>+Model!AG29</f>
        <v>0</v>
      </c>
      <c r="D20" s="1186">
        <f>+Model!AH29</f>
        <v>0</v>
      </c>
      <c r="E20" s="1186">
        <f>+Model!AI29</f>
        <v>0</v>
      </c>
      <c r="F20" s="1186">
        <f>+Model!AJ29</f>
        <v>0</v>
      </c>
      <c r="G20" s="1186">
        <f>+Model!AK29</f>
        <v>0</v>
      </c>
      <c r="H20" s="1186">
        <f>+Model!AL29</f>
        <v>0</v>
      </c>
      <c r="I20" s="1186">
        <f>+Model!AM29</f>
        <v>0</v>
      </c>
      <c r="J20" s="1186">
        <f>+Model!AN29</f>
        <v>0</v>
      </c>
      <c r="K20" s="1186">
        <f>+Model!AO29</f>
        <v>0</v>
      </c>
      <c r="L20" s="1186">
        <f>+Model!AP29</f>
        <v>0</v>
      </c>
      <c r="M20" s="1186">
        <f>+Model!AQ29</f>
        <v>0</v>
      </c>
      <c r="N20" s="1186">
        <f>+Model!AR29</f>
        <v>0</v>
      </c>
      <c r="O20" s="1186">
        <f>+Model!AS29</f>
        <v>0</v>
      </c>
      <c r="P20" s="1186">
        <f>+Model!AT29</f>
        <v>0</v>
      </c>
      <c r="Q20" s="1186">
        <f>+Model!AU29</f>
        <v>0</v>
      </c>
      <c r="R20" s="1186">
        <f>+Model!AV29</f>
        <v>0</v>
      </c>
      <c r="S20" s="1186">
        <f>+Model!AW29</f>
        <v>0</v>
      </c>
    </row>
    <row r="21" spans="1:19">
      <c r="A21" s="135" t="s">
        <v>501</v>
      </c>
      <c r="B21" s="1198">
        <f>Model!AF14</f>
        <v>32</v>
      </c>
      <c r="C21" s="1186">
        <f>Model!AG14</f>
        <v>50.14188192528686</v>
      </c>
      <c r="D21" s="1186">
        <f>Model!AH14</f>
        <v>50.14188192528686</v>
      </c>
      <c r="E21" s="1186">
        <f>Model!AI14</f>
        <v>50.14188192528686</v>
      </c>
      <c r="F21" s="1186">
        <f>Model!AJ14</f>
        <v>50.14188192528686</v>
      </c>
      <c r="G21" s="1186">
        <f>Model!AK14</f>
        <v>50.14188192528686</v>
      </c>
      <c r="H21" s="1186">
        <f>Model!AL14</f>
        <v>50.14188192528686</v>
      </c>
      <c r="I21" s="1186">
        <f>Model!AM14</f>
        <v>50.14188192528686</v>
      </c>
      <c r="J21" s="1186">
        <f>Model!AN14</f>
        <v>50.14188192528686</v>
      </c>
      <c r="K21" s="1186">
        <f>Model!AO14</f>
        <v>50.14188192528686</v>
      </c>
      <c r="L21" s="1186">
        <f>Model!AP14</f>
        <v>50.14188192528686</v>
      </c>
      <c r="M21" s="1186">
        <f>Model!AQ14</f>
        <v>50.14188192528686</v>
      </c>
      <c r="N21" s="1186">
        <f>Model!AR14</f>
        <v>50.14188192528686</v>
      </c>
      <c r="O21" s="1186">
        <f>Model!AS14</f>
        <v>50.14188192528686</v>
      </c>
      <c r="P21" s="1186">
        <f>Model!AT14</f>
        <v>50.14188192528686</v>
      </c>
      <c r="Q21" s="1186">
        <f>Model!AU14</f>
        <v>50.14188192528686</v>
      </c>
      <c r="R21" s="1186">
        <f>Model!AV14</f>
        <v>50.14188192528686</v>
      </c>
      <c r="S21" s="1186">
        <f>Model!AW14</f>
        <v>50.14188192528686</v>
      </c>
    </row>
    <row r="22" spans="1:19">
      <c r="A22" s="135" t="s">
        <v>502</v>
      </c>
      <c r="B22" s="1198">
        <f>Model!AF25</f>
        <v>153</v>
      </c>
      <c r="C22" s="1186">
        <f>Model!AG25</f>
        <v>140.70116101374475</v>
      </c>
      <c r="D22" s="1186">
        <f>Model!AH25</f>
        <v>145.16732213736447</v>
      </c>
      <c r="E22" s="1186">
        <f>Model!AI25</f>
        <v>198.99308828231483</v>
      </c>
      <c r="F22" s="1186">
        <f>Model!AJ25</f>
        <v>248.28660497865144</v>
      </c>
      <c r="G22" s="1186">
        <f>Model!AK25</f>
        <v>291.39382722806596</v>
      </c>
      <c r="H22" s="1186">
        <f>Model!AL25</f>
        <v>293.54610611618199</v>
      </c>
      <c r="I22" s="1186">
        <f>Model!AM25</f>
        <v>311.39481783249863</v>
      </c>
      <c r="J22" s="1186">
        <f>Model!AN25</f>
        <v>313.6373590941954</v>
      </c>
      <c r="K22" s="1186">
        <f>Model!AO25</f>
        <v>352.02543319967663</v>
      </c>
      <c r="L22" s="1186">
        <f>Model!AP25</f>
        <v>353.76692788768685</v>
      </c>
      <c r="M22" s="1186">
        <f>Model!AQ25</f>
        <v>372.80687067800795</v>
      </c>
      <c r="N22" s="1186">
        <f>Model!AR25</f>
        <v>361.43697424435322</v>
      </c>
      <c r="O22" s="1186">
        <f>Model!AS25</f>
        <v>382.72548724202693</v>
      </c>
      <c r="P22" s="1186">
        <f>Model!AT25</f>
        <v>384.07051345994699</v>
      </c>
      <c r="Q22" s="1186">
        <f>Model!AU25</f>
        <v>404.41239796451583</v>
      </c>
      <c r="R22" s="1186">
        <f>Model!AV25</f>
        <v>391.89999270608774</v>
      </c>
      <c r="S22" s="1186">
        <f>Model!AW25</f>
        <v>414.97668510441156</v>
      </c>
    </row>
    <row r="23" spans="1:19">
      <c r="A23" t="s">
        <v>503</v>
      </c>
      <c r="B23" s="1198">
        <f t="shared" ref="B23:O23" si="16">SUM(B15:B22)</f>
        <v>954.62750000000005</v>
      </c>
      <c r="C23" s="1186">
        <f t="shared" si="16"/>
        <v>1195.574025980266</v>
      </c>
      <c r="D23" s="1186">
        <f t="shared" si="16"/>
        <v>1038.4386704747449</v>
      </c>
      <c r="E23" s="1186">
        <f t="shared" si="16"/>
        <v>1253.7417350545463</v>
      </c>
      <c r="F23" s="1186">
        <f t="shared" si="16"/>
        <v>1450.9158018398928</v>
      </c>
      <c r="G23" s="1186">
        <f t="shared" si="16"/>
        <v>1623.3446908375508</v>
      </c>
      <c r="H23" s="1186">
        <f t="shared" si="16"/>
        <v>1631.953806390015</v>
      </c>
      <c r="I23" s="1186">
        <f t="shared" si="16"/>
        <v>1703.3486532552815</v>
      </c>
      <c r="J23" s="1186">
        <f t="shared" si="16"/>
        <v>1712.3188183020688</v>
      </c>
      <c r="K23" s="1186">
        <f t="shared" si="16"/>
        <v>1865.8711147239935</v>
      </c>
      <c r="L23" s="1186">
        <f t="shared" si="16"/>
        <v>1872.8370934760342</v>
      </c>
      <c r="M23" s="1186">
        <f t="shared" si="16"/>
        <v>1948.9968646373188</v>
      </c>
      <c r="N23" s="1186">
        <f t="shared" si="16"/>
        <v>1903.5172789026999</v>
      </c>
      <c r="O23" s="1186">
        <f t="shared" si="16"/>
        <v>1988.6713308933947</v>
      </c>
      <c r="P23" s="1186">
        <f t="shared" ref="P23:S23" si="17">SUM(P15:P22)</f>
        <v>1995.051435765075</v>
      </c>
      <c r="Q23" s="1186">
        <f t="shared" si="17"/>
        <v>2077.4189737833503</v>
      </c>
      <c r="R23" s="1186">
        <f t="shared" si="17"/>
        <v>2028.369352749638</v>
      </c>
      <c r="S23" s="1186">
        <f t="shared" si="17"/>
        <v>2121.6761223429335</v>
      </c>
    </row>
    <row r="24" spans="1:19">
      <c r="A24" s="135" t="s">
        <v>504</v>
      </c>
      <c r="B24" s="1198">
        <f>-Model!AF14</f>
        <v>-32</v>
      </c>
      <c r="C24" s="1186">
        <f>-Model!AG14</f>
        <v>-50.14188192528686</v>
      </c>
      <c r="D24" s="1186">
        <f>-Model!AH14</f>
        <v>-50.14188192528686</v>
      </c>
      <c r="E24" s="1186">
        <f>-Model!AI14</f>
        <v>-50.14188192528686</v>
      </c>
      <c r="F24" s="1186">
        <f>-Model!AJ14</f>
        <v>-50.14188192528686</v>
      </c>
      <c r="G24" s="1186">
        <f>-Model!AK14</f>
        <v>-50.14188192528686</v>
      </c>
      <c r="H24" s="1186">
        <f>-Model!AL14</f>
        <v>-50.14188192528686</v>
      </c>
      <c r="I24" s="1186">
        <f>-Model!AM14</f>
        <v>-50.14188192528686</v>
      </c>
      <c r="J24" s="1186">
        <f>-Model!AN14</f>
        <v>-50.14188192528686</v>
      </c>
      <c r="K24" s="1186">
        <f>-Model!AO14</f>
        <v>-50.14188192528686</v>
      </c>
      <c r="L24" s="1186">
        <f>-Model!AP14</f>
        <v>-50.14188192528686</v>
      </c>
      <c r="M24" s="1186">
        <f>-Model!AQ14</f>
        <v>-50.14188192528686</v>
      </c>
      <c r="N24" s="1186">
        <f>-Model!AR14</f>
        <v>-50.14188192528686</v>
      </c>
      <c r="O24" s="1186">
        <f>-Model!AS14</f>
        <v>-50.14188192528686</v>
      </c>
      <c r="P24" s="1186">
        <f>-Model!AT14</f>
        <v>-50.14188192528686</v>
      </c>
      <c r="Q24" s="1186">
        <f>-Model!AU14</f>
        <v>-50.14188192528686</v>
      </c>
      <c r="R24" s="1186">
        <f>-Model!AV14</f>
        <v>-50.14188192528686</v>
      </c>
      <c r="S24" s="1186">
        <f>-Model!AW14</f>
        <v>-50.14188192528686</v>
      </c>
    </row>
    <row r="25" spans="1:19">
      <c r="A25" t="s">
        <v>505</v>
      </c>
      <c r="B25" s="1198">
        <f t="shared" ref="B25:O25" si="18">B23+B24</f>
        <v>922.62750000000005</v>
      </c>
      <c r="C25" s="1186">
        <f t="shared" si="18"/>
        <v>1145.4321440549791</v>
      </c>
      <c r="D25" s="1186">
        <f t="shared" si="18"/>
        <v>988.29678854945803</v>
      </c>
      <c r="E25" s="1186">
        <f t="shared" si="18"/>
        <v>1203.5998531292594</v>
      </c>
      <c r="F25" s="1186">
        <f t="shared" si="18"/>
        <v>1400.7739199146058</v>
      </c>
      <c r="G25" s="1186">
        <f t="shared" si="18"/>
        <v>1573.2028089122639</v>
      </c>
      <c r="H25" s="1186">
        <f t="shared" si="18"/>
        <v>1581.811924464728</v>
      </c>
      <c r="I25" s="1186">
        <f t="shared" si="18"/>
        <v>1653.2067713299946</v>
      </c>
      <c r="J25" s="1186">
        <f t="shared" si="18"/>
        <v>1662.1769363767819</v>
      </c>
      <c r="K25" s="1186">
        <f t="shared" si="18"/>
        <v>1815.7292327987066</v>
      </c>
      <c r="L25" s="1186">
        <f t="shared" si="18"/>
        <v>1822.6952115507472</v>
      </c>
      <c r="M25" s="1186">
        <f t="shared" si="18"/>
        <v>1898.8549827120319</v>
      </c>
      <c r="N25" s="1186">
        <f t="shared" si="18"/>
        <v>1853.3753969774129</v>
      </c>
      <c r="O25" s="1186">
        <f t="shared" si="18"/>
        <v>1938.5294489681078</v>
      </c>
      <c r="P25" s="1186">
        <f t="shared" ref="P25:S25" si="19">P23+P24</f>
        <v>1944.909553839788</v>
      </c>
      <c r="Q25" s="1186">
        <f t="shared" si="19"/>
        <v>2027.2770918580634</v>
      </c>
      <c r="R25" s="1186">
        <f t="shared" si="19"/>
        <v>1978.227470824351</v>
      </c>
      <c r="S25" s="1186">
        <f t="shared" si="19"/>
        <v>2071.5342404176467</v>
      </c>
    </row>
    <row r="26" spans="1:19" s="2" customFormat="1">
      <c r="A26" s="2" t="s">
        <v>538</v>
      </c>
      <c r="B26" s="1365">
        <f t="shared" ref="B26:O26" si="20">B25/B12</f>
        <v>1.3002078635851184E-2</v>
      </c>
      <c r="C26" s="920">
        <f t="shared" si="20"/>
        <v>1.6580736345646569E-2</v>
      </c>
      <c r="D26" s="920">
        <f t="shared" si="20"/>
        <v>1.4216496413531602E-2</v>
      </c>
      <c r="E26" s="920">
        <f t="shared" si="20"/>
        <v>1.7615543042602665E-2</v>
      </c>
      <c r="F26" s="920">
        <f t="shared" si="20"/>
        <v>2.0280240107886403E-2</v>
      </c>
      <c r="G26" s="920">
        <f t="shared" si="20"/>
        <v>2.2491980114600837E-2</v>
      </c>
      <c r="H26" s="920">
        <f t="shared" si="20"/>
        <v>2.2333871054067995E-2</v>
      </c>
      <c r="I26" s="920">
        <f t="shared" si="20"/>
        <v>2.3888621572209695E-2</v>
      </c>
      <c r="J26" s="920">
        <f t="shared" si="20"/>
        <v>2.3696066230113395E-2</v>
      </c>
      <c r="K26" s="920">
        <f t="shared" si="20"/>
        <v>2.5501182136778877E-2</v>
      </c>
      <c r="L26" s="920">
        <f t="shared" si="20"/>
        <v>2.5223053261184722E-2</v>
      </c>
      <c r="M26" s="920">
        <f t="shared" si="20"/>
        <v>2.6809993018749343E-2</v>
      </c>
      <c r="N26" s="920">
        <f t="shared" si="20"/>
        <v>2.577329118516514E-2</v>
      </c>
      <c r="O26" s="920">
        <f t="shared" si="20"/>
        <v>2.6533797899728546E-2</v>
      </c>
      <c r="P26" s="920">
        <f t="shared" ref="P26:S26" si="21">P25/P12</f>
        <v>2.6207802902216176E-2</v>
      </c>
      <c r="Q26" s="920">
        <f t="shared" si="21"/>
        <v>2.8116523259246635E-2</v>
      </c>
      <c r="R26" s="920">
        <f t="shared" si="21"/>
        <v>2.6996053614625266E-2</v>
      </c>
      <c r="S26" s="920">
        <f t="shared" si="21"/>
        <v>2.7797125913907504E-2</v>
      </c>
    </row>
    <row r="27" spans="1:19" s="7" customFormat="1">
      <c r="A27" s="7" t="s">
        <v>539</v>
      </c>
      <c r="B27" s="1366">
        <f t="shared" ref="B27:O27" si="22">((1+B26)^4)-1</f>
        <v>5.3031459631940558E-2</v>
      </c>
      <c r="C27" s="921">
        <f t="shared" si="22"/>
        <v>6.7990779429006443E-2</v>
      </c>
      <c r="D27" s="921">
        <f t="shared" si="22"/>
        <v>5.8090172238168369E-2</v>
      </c>
      <c r="E27" s="921">
        <f t="shared" si="22"/>
        <v>7.2345977531573125E-2</v>
      </c>
      <c r="F27" s="921">
        <f t="shared" si="22"/>
        <v>8.3622222511316124E-2</v>
      </c>
      <c r="G27" s="921">
        <f t="shared" si="22"/>
        <v>9.3049025195668822E-2</v>
      </c>
      <c r="H27" s="921">
        <f t="shared" si="22"/>
        <v>9.2373104497058822E-2</v>
      </c>
      <c r="I27" s="921">
        <f t="shared" si="22"/>
        <v>9.9033339111982865E-2</v>
      </c>
      <c r="J27" s="921">
        <f t="shared" si="22"/>
        <v>9.8206823237076968E-2</v>
      </c>
      <c r="K27" s="921">
        <f t="shared" si="22"/>
        <v>0.10597334791746893</v>
      </c>
      <c r="L27" s="921">
        <f t="shared" si="22"/>
        <v>0.10477402016282866</v>
      </c>
      <c r="M27" s="921">
        <f t="shared" si="22"/>
        <v>0.11163022455628213</v>
      </c>
      <c r="N27" s="921">
        <f t="shared" si="22"/>
        <v>0.10714766214378679</v>
      </c>
      <c r="O27" s="921">
        <f t="shared" si="22"/>
        <v>0.11043466553886727</v>
      </c>
      <c r="P27" s="921">
        <f t="shared" ref="P27:S27" si="23">((1+P26)^4)-1</f>
        <v>0.10902478017392436</v>
      </c>
      <c r="Q27" s="921">
        <f t="shared" si="23"/>
        <v>0.11729886008908252</v>
      </c>
      <c r="R27" s="921">
        <f t="shared" si="23"/>
        <v>0.11243616453551097</v>
      </c>
      <c r="S27" s="921">
        <f t="shared" si="23"/>
        <v>0.11591109510102915</v>
      </c>
    </row>
    <row r="28" spans="1:19" s="914" customFormat="1">
      <c r="B28" s="1165"/>
      <c r="C28" s="916"/>
      <c r="D28" s="916"/>
      <c r="E28" s="916"/>
      <c r="F28" s="916"/>
      <c r="G28" s="916"/>
      <c r="H28" s="916"/>
      <c r="I28" s="916"/>
      <c r="J28" s="916"/>
      <c r="K28" s="916"/>
      <c r="L28" s="916"/>
      <c r="M28" s="916"/>
      <c r="N28" s="916"/>
      <c r="O28" s="916"/>
      <c r="P28" s="916"/>
      <c r="Q28" s="916"/>
      <c r="R28" s="916"/>
      <c r="S28" s="916"/>
    </row>
    <row r="29" spans="1:19" s="914" customFormat="1">
      <c r="A29" s="11" t="s">
        <v>540</v>
      </c>
      <c r="B29" s="1367">
        <f>Model!AF25</f>
        <v>153</v>
      </c>
      <c r="C29" s="1361">
        <f>Model!AG25</f>
        <v>140.70116101374475</v>
      </c>
      <c r="D29" s="1361">
        <f>Model!AH25</f>
        <v>145.16732213736447</v>
      </c>
      <c r="E29" s="1361">
        <f>Model!AI25</f>
        <v>198.99308828231483</v>
      </c>
      <c r="F29" s="1361">
        <f>Model!AJ25</f>
        <v>248.28660497865144</v>
      </c>
      <c r="G29" s="1361">
        <f>Model!AK25</f>
        <v>291.39382722806596</v>
      </c>
      <c r="H29" s="1361">
        <f>Model!AL25</f>
        <v>293.54610611618199</v>
      </c>
      <c r="I29" s="1361">
        <f>Model!AM25</f>
        <v>311.39481783249863</v>
      </c>
      <c r="J29" s="1361">
        <f>Model!AN25</f>
        <v>313.6373590941954</v>
      </c>
      <c r="K29" s="1361">
        <f>Model!AO25</f>
        <v>352.02543319967663</v>
      </c>
      <c r="L29" s="1361">
        <f>Model!AP25</f>
        <v>353.76692788768685</v>
      </c>
      <c r="M29" s="1361">
        <f>Model!AQ25</f>
        <v>372.80687067800795</v>
      </c>
      <c r="N29" s="1361">
        <f>Model!AR25</f>
        <v>361.43697424435322</v>
      </c>
      <c r="O29" s="1361">
        <f>Model!AS25</f>
        <v>382.72548724202693</v>
      </c>
      <c r="P29" s="1361">
        <f>Model!AT25</f>
        <v>384.07051345994699</v>
      </c>
      <c r="Q29" s="1361">
        <f>Model!AU25</f>
        <v>404.41239796451583</v>
      </c>
      <c r="R29" s="1361">
        <f>Model!AV25</f>
        <v>391.89999270608774</v>
      </c>
      <c r="S29" s="1361">
        <f>Model!AW25</f>
        <v>414.97668510441156</v>
      </c>
    </row>
    <row r="30" spans="1:19" s="914" customFormat="1">
      <c r="A30" s="11" t="s">
        <v>541</v>
      </c>
      <c r="B30" s="1367">
        <f>(B19+B18)*25%</f>
        <v>101.90687500000001</v>
      </c>
      <c r="C30" s="1361">
        <f t="shared" ref="C30:S30" si="24">(C19+C18)*25%</f>
        <v>101.90687500000001</v>
      </c>
      <c r="D30" s="1361">
        <f t="shared" si="24"/>
        <v>101.90687500000001</v>
      </c>
      <c r="E30" s="1361">
        <f t="shared" si="24"/>
        <v>101.90687500000001</v>
      </c>
      <c r="F30" s="1361">
        <f t="shared" si="24"/>
        <v>101.90687500000001</v>
      </c>
      <c r="G30" s="1361">
        <f t="shared" si="24"/>
        <v>101.90687500000001</v>
      </c>
      <c r="H30" s="1361">
        <f t="shared" si="24"/>
        <v>101.90687500000001</v>
      </c>
      <c r="I30" s="1361">
        <f t="shared" si="24"/>
        <v>101.90687500000001</v>
      </c>
      <c r="J30" s="1361">
        <f t="shared" si="24"/>
        <v>101.90687500000001</v>
      </c>
      <c r="K30" s="1361">
        <f t="shared" si="24"/>
        <v>101.90687500000001</v>
      </c>
      <c r="L30" s="1361">
        <f t="shared" si="24"/>
        <v>101.90687500000001</v>
      </c>
      <c r="M30" s="1361">
        <f t="shared" si="24"/>
        <v>101.90687500000001</v>
      </c>
      <c r="N30" s="1361">
        <f t="shared" si="24"/>
        <v>101.90687500000001</v>
      </c>
      <c r="O30" s="1361">
        <f t="shared" si="24"/>
        <v>101.90687500000001</v>
      </c>
      <c r="P30" s="1361">
        <f t="shared" si="24"/>
        <v>102.15687500000001</v>
      </c>
      <c r="Q30" s="1361">
        <f t="shared" si="24"/>
        <v>102.40687500000001</v>
      </c>
      <c r="R30" s="1361">
        <f t="shared" si="24"/>
        <v>102.65687500000001</v>
      </c>
      <c r="S30" s="1361">
        <f t="shared" si="24"/>
        <v>102.90687500000001</v>
      </c>
    </row>
    <row r="31" spans="1:19" s="914" customFormat="1">
      <c r="A31" s="914" t="s">
        <v>542</v>
      </c>
      <c r="B31" s="1368">
        <f t="shared" ref="B31" si="25">B25-(B30+B29)</f>
        <v>667.72062500000004</v>
      </c>
      <c r="C31" s="1362">
        <f t="shared" ref="C31:O31" si="26">C25-(C30+C29)</f>
        <v>902.82410804123424</v>
      </c>
      <c r="D31" s="1362">
        <f t="shared" si="26"/>
        <v>741.22259141209361</v>
      </c>
      <c r="E31" s="1362">
        <f t="shared" si="26"/>
        <v>902.69988984694453</v>
      </c>
      <c r="F31" s="1362">
        <f t="shared" si="26"/>
        <v>1050.5804399359545</v>
      </c>
      <c r="G31" s="1362">
        <f t="shared" si="26"/>
        <v>1179.9021066841979</v>
      </c>
      <c r="H31" s="1362">
        <f t="shared" si="26"/>
        <v>1186.3589433485461</v>
      </c>
      <c r="I31" s="1362">
        <f t="shared" si="26"/>
        <v>1239.9050784974959</v>
      </c>
      <c r="J31" s="1362">
        <f t="shared" si="26"/>
        <v>1246.6327022825865</v>
      </c>
      <c r="K31" s="1362">
        <f t="shared" si="26"/>
        <v>1361.7969245990298</v>
      </c>
      <c r="L31" s="1362">
        <f t="shared" si="26"/>
        <v>1367.0214086630604</v>
      </c>
      <c r="M31" s="1362">
        <f t="shared" si="26"/>
        <v>1424.141237034024</v>
      </c>
      <c r="N31" s="1362">
        <f t="shared" si="26"/>
        <v>1390.0315477330596</v>
      </c>
      <c r="O31" s="1362">
        <f t="shared" si="26"/>
        <v>1453.8970867260809</v>
      </c>
      <c r="P31" s="1362">
        <f t="shared" ref="P31:S31" si="27">P25-(P30+P29)</f>
        <v>1458.6821653798411</v>
      </c>
      <c r="Q31" s="1362">
        <f t="shared" si="27"/>
        <v>1520.4578188935475</v>
      </c>
      <c r="R31" s="1362">
        <f t="shared" si="27"/>
        <v>1483.6706031182632</v>
      </c>
      <c r="S31" s="1362">
        <f t="shared" si="27"/>
        <v>1553.6506803132352</v>
      </c>
    </row>
    <row r="32" spans="1:19" s="914" customFormat="1">
      <c r="B32" s="1369"/>
      <c r="C32" s="922"/>
      <c r="D32" s="922"/>
      <c r="E32" s="922"/>
      <c r="F32" s="922"/>
      <c r="G32" s="922"/>
      <c r="H32" s="922"/>
      <c r="I32" s="922"/>
      <c r="J32" s="922"/>
      <c r="K32" s="922"/>
      <c r="L32" s="922"/>
      <c r="M32" s="922"/>
      <c r="N32" s="922"/>
      <c r="O32" s="922"/>
      <c r="P32" s="922"/>
      <c r="Q32" s="922"/>
      <c r="R32" s="922"/>
      <c r="S32" s="922"/>
    </row>
    <row r="33" spans="1:19" s="914" customFormat="1">
      <c r="A33" s="914" t="s">
        <v>543</v>
      </c>
      <c r="B33" s="1370">
        <f>B31/Model!AF179</f>
        <v>2.5195863772206543E-3</v>
      </c>
      <c r="C33" s="923">
        <f>C31/Model!AG179</f>
        <v>3.4722185563190815E-3</v>
      </c>
      <c r="D33" s="923">
        <f>D31/Model!AH179</f>
        <v>2.841102592830865E-3</v>
      </c>
      <c r="E33" s="923">
        <f>E31/Model!AI179</f>
        <v>3.4560828188343333E-3</v>
      </c>
      <c r="F33" s="923">
        <f>F31/Model!AJ179</f>
        <v>4.0011476873131457E-3</v>
      </c>
      <c r="G33" s="923">
        <f>G31/Model!AK179</f>
        <v>4.4663038976573604E-3</v>
      </c>
      <c r="H33" s="923">
        <f>H31/Model!AL179</f>
        <v>4.4607235503222467E-3</v>
      </c>
      <c r="I33" s="923">
        <f>I31/Model!AM179</f>
        <v>4.6479476322495899E-3</v>
      </c>
      <c r="J33" s="923">
        <f>J31/Model!AN179</f>
        <v>4.6357637453375289E-3</v>
      </c>
      <c r="K33" s="923">
        <f>K31/Model!AO179</f>
        <v>5.0196791374452765E-3</v>
      </c>
      <c r="L33" s="923">
        <f>L31/Model!AP179</f>
        <v>4.9930112029509524E-3</v>
      </c>
      <c r="M33" s="923">
        <f>M31/Model!AQ179</f>
        <v>5.1723591363512364E-3</v>
      </c>
      <c r="N33" s="923">
        <f>N31/Model!AR179</f>
        <v>4.9966369099773075E-3</v>
      </c>
      <c r="O33" s="923">
        <f>O31/Model!AS179</f>
        <v>5.1693263339369694E-3</v>
      </c>
      <c r="P33" s="923">
        <f>P31/Model!AT179</f>
        <v>5.1286596717951541E-3</v>
      </c>
      <c r="Q33" s="923">
        <f>Q31/Model!AU179</f>
        <v>5.3101339620677222E-3</v>
      </c>
      <c r="R33" s="923">
        <f>R31/Model!AV179</f>
        <v>5.1183112650554832E-3</v>
      </c>
      <c r="S33" s="923">
        <f>S31/Model!AW179</f>
        <v>5.2910597395070024E-3</v>
      </c>
    </row>
    <row r="34" spans="1:19" s="914" customFormat="1">
      <c r="A34" s="914" t="s">
        <v>494</v>
      </c>
      <c r="B34" s="1370">
        <f t="shared" ref="B34" si="28">B31/B12</f>
        <v>9.409817150507328E-3</v>
      </c>
      <c r="C34" s="923">
        <f t="shared" ref="C34:O34" si="29">C31/C12</f>
        <v>1.3068856657829853E-2</v>
      </c>
      <c r="D34" s="923">
        <f>D31/D12</f>
        <v>1.0662372310148703E-2</v>
      </c>
      <c r="E34" s="923">
        <f t="shared" si="29"/>
        <v>1.3211657281951998E-2</v>
      </c>
      <c r="F34" s="923">
        <f t="shared" si="29"/>
        <v>1.5210180080914803E-2</v>
      </c>
      <c r="G34" s="923">
        <f t="shared" si="29"/>
        <v>1.6868985085950628E-2</v>
      </c>
      <c r="H34" s="923">
        <f t="shared" si="29"/>
        <v>1.6750403290550997E-2</v>
      </c>
      <c r="I34" s="923">
        <f t="shared" si="29"/>
        <v>1.7916466179157271E-2</v>
      </c>
      <c r="J34" s="923">
        <f t="shared" si="29"/>
        <v>1.7772049672585048E-2</v>
      </c>
      <c r="K34" s="923">
        <f t="shared" si="29"/>
        <v>1.9125886602584158E-2</v>
      </c>
      <c r="L34" s="923">
        <f t="shared" si="29"/>
        <v>1.8917289945888541E-2</v>
      </c>
      <c r="M34" s="923">
        <f t="shared" si="29"/>
        <v>2.0107494764062008E-2</v>
      </c>
      <c r="N34" s="923">
        <f t="shared" si="29"/>
        <v>1.9329968388873853E-2</v>
      </c>
      <c r="O34" s="923">
        <f t="shared" si="29"/>
        <v>1.9900348424796412E-2</v>
      </c>
      <c r="P34" s="923">
        <f t="shared" ref="P34:S34" si="30">P31/P12</f>
        <v>1.9655852176662131E-2</v>
      </c>
      <c r="Q34" s="923">
        <f t="shared" si="30"/>
        <v>2.1087392444434975E-2</v>
      </c>
      <c r="R34" s="923">
        <f t="shared" si="30"/>
        <v>2.0247040210968948E-2</v>
      </c>
      <c r="S34" s="923">
        <f t="shared" si="30"/>
        <v>2.084784443543063E-2</v>
      </c>
    </row>
    <row r="35" spans="1:19">
      <c r="A35" s="140" t="s">
        <v>544</v>
      </c>
      <c r="B35" s="1104">
        <f t="shared" ref="B35" si="31">((1+B33)^4)-1</f>
        <v>1.0116499422774927E-2</v>
      </c>
      <c r="C35" s="120">
        <f t="shared" ref="C35:O35" si="32">((1+C33)^4)-1</f>
        <v>1.3961379629306103E-2</v>
      </c>
      <c r="D35" s="120">
        <f t="shared" si="32"/>
        <v>1.1412933352110466E-2</v>
      </c>
      <c r="E35" s="120">
        <f t="shared" si="32"/>
        <v>1.3896163593554167E-2</v>
      </c>
      <c r="F35" s="120">
        <f t="shared" si="32"/>
        <v>1.6100902322859989E-2</v>
      </c>
      <c r="G35" s="120">
        <f t="shared" si="32"/>
        <v>1.7985259584591518E-2</v>
      </c>
      <c r="H35" s="120">
        <f t="shared" si="32"/>
        <v>1.7962637963658823E-2</v>
      </c>
      <c r="I35" s="120">
        <f t="shared" si="32"/>
        <v>1.8721813145065935E-2</v>
      </c>
      <c r="J35" s="120">
        <f t="shared" si="32"/>
        <v>1.8672395772115769E-2</v>
      </c>
      <c r="K35" s="120">
        <f t="shared" si="32"/>
        <v>2.0230406183544103E-2</v>
      </c>
      <c r="L35" s="120">
        <f t="shared" si="32"/>
        <v>2.0122124304843947E-2</v>
      </c>
      <c r="M35" s="120">
        <f t="shared" si="32"/>
        <v>2.0850510566039482E-2</v>
      </c>
      <c r="N35" s="120">
        <f t="shared" si="32"/>
        <v>2.0136845537441328E-2</v>
      </c>
      <c r="O35" s="120">
        <f t="shared" si="32"/>
        <v>2.0838190195894057E-2</v>
      </c>
      <c r="P35" s="120">
        <f t="shared" ref="P35:S35" si="33">((1+P33)^4)-1</f>
        <v>2.0672997878830479E-2</v>
      </c>
      <c r="Q35" s="120">
        <f t="shared" si="33"/>
        <v>2.141032071003357E-2</v>
      </c>
      <c r="R35" s="120">
        <f t="shared" si="33"/>
        <v>2.0630964747603509E-2</v>
      </c>
      <c r="S35" s="120">
        <f t="shared" si="33"/>
        <v>2.1332804120265392E-2</v>
      </c>
    </row>
    <row r="36" spans="1:19" s="851" customFormat="1">
      <c r="A36" s="140" t="s">
        <v>545</v>
      </c>
      <c r="B36" s="1104">
        <f t="shared" ref="B36" si="34">((1+B34)^4)-1</f>
        <v>3.817387715121745E-2</v>
      </c>
      <c r="C36" s="120">
        <f t="shared" ref="C36:O36" si="35">((1+C34)^4)-1</f>
        <v>5.3309154270554826E-2</v>
      </c>
      <c r="D36" s="120">
        <f>((1+D34)^4)-1</f>
        <v>4.3336467922474808E-2</v>
      </c>
      <c r="E36" s="120">
        <f t="shared" si="35"/>
        <v>5.3903171191097554E-2</v>
      </c>
      <c r="F36" s="120">
        <f t="shared" si="35"/>
        <v>6.2242946789827558E-2</v>
      </c>
      <c r="G36" s="120">
        <f t="shared" si="35"/>
        <v>6.9202598399612958E-2</v>
      </c>
      <c r="H36" s="120">
        <f t="shared" si="35"/>
        <v>6.8703946992789477E-2</v>
      </c>
      <c r="I36" s="120">
        <f t="shared" si="35"/>
        <v>7.3614971044967836E-2</v>
      </c>
      <c r="J36" s="120">
        <f t="shared" si="35"/>
        <v>7.3005825851667483E-2</v>
      </c>
      <c r="K36" s="120">
        <f t="shared" si="35"/>
        <v>7.8726462411605747E-2</v>
      </c>
      <c r="L36" s="120">
        <f t="shared" si="35"/>
        <v>7.7843550260995986E-2</v>
      </c>
      <c r="M36" s="120">
        <f t="shared" si="35"/>
        <v>8.2888529351099027E-2</v>
      </c>
      <c r="N36" s="120">
        <f t="shared" si="35"/>
        <v>7.9590789626782676E-2</v>
      </c>
      <c r="O36" s="120">
        <f t="shared" si="35"/>
        <v>8.2009217790444344E-2</v>
      </c>
      <c r="P36" s="120">
        <f t="shared" ref="P36:S36" si="36">((1+P34)^4)-1</f>
        <v>8.0972049476127905E-2</v>
      </c>
      <c r="Q36" s="120">
        <f t="shared" si="36"/>
        <v>8.7055344645124544E-2</v>
      </c>
      <c r="R36" s="120">
        <f t="shared" si="36"/>
        <v>8.3481185220915632E-2</v>
      </c>
      <c r="S36" s="120">
        <f t="shared" si="36"/>
        <v>8.6035606965651379E-2</v>
      </c>
    </row>
    <row r="37" spans="1:19" s="851" customFormat="1">
      <c r="B37" s="563"/>
      <c r="C37" s="18"/>
      <c r="D37" s="18"/>
      <c r="E37" s="18"/>
      <c r="F37" s="18"/>
      <c r="G37" s="18"/>
      <c r="H37" s="18"/>
      <c r="I37" s="18"/>
      <c r="J37" s="18"/>
      <c r="K37" s="18"/>
      <c r="L37" s="18"/>
      <c r="M37" s="18"/>
      <c r="N37" s="18"/>
      <c r="O37" s="18"/>
      <c r="P37" s="18"/>
      <c r="Q37" s="18"/>
      <c r="R37" s="18"/>
      <c r="S37" s="18"/>
    </row>
    <row r="38" spans="1:19" s="851" customFormat="1">
      <c r="B38" s="563"/>
      <c r="C38" s="18"/>
      <c r="D38" s="18"/>
      <c r="E38" s="18"/>
      <c r="F38" s="18"/>
      <c r="G38" s="18"/>
      <c r="H38" s="18"/>
      <c r="I38" s="18"/>
      <c r="J38" s="18"/>
      <c r="K38" s="18"/>
      <c r="L38" s="18"/>
      <c r="M38" s="18"/>
      <c r="N38" s="18"/>
      <c r="O38" s="18"/>
      <c r="P38" s="18"/>
      <c r="Q38" s="18"/>
      <c r="R38" s="18"/>
      <c r="S38" s="18"/>
    </row>
    <row r="39" spans="1:19" s="851" customFormat="1">
      <c r="B39" s="563"/>
      <c r="C39" s="18"/>
      <c r="D39" s="18"/>
      <c r="E39" s="18"/>
      <c r="F39" s="18"/>
      <c r="G39" s="18"/>
      <c r="H39" s="18"/>
      <c r="I39" s="18"/>
      <c r="J39" s="18"/>
      <c r="K39" s="18"/>
      <c r="L39" s="18"/>
      <c r="M39" s="18"/>
      <c r="N39" s="18"/>
      <c r="O39" s="18"/>
      <c r="P39" s="18"/>
      <c r="Q39" s="18"/>
      <c r="R39" s="18"/>
      <c r="S39" s="18"/>
    </row>
    <row r="40" spans="1:19" s="2" customFormat="1">
      <c r="A40" s="2" t="s">
        <v>506</v>
      </c>
      <c r="B40" s="1216"/>
      <c r="C40" s="919"/>
      <c r="D40" s="919"/>
      <c r="E40" s="919"/>
      <c r="F40" s="919"/>
      <c r="G40" s="919"/>
      <c r="H40" s="919"/>
      <c r="I40" s="919"/>
      <c r="J40" s="919"/>
      <c r="K40" s="919"/>
      <c r="L40" s="919"/>
      <c r="M40" s="919"/>
      <c r="N40" s="919"/>
      <c r="O40" s="919"/>
      <c r="P40" s="919"/>
      <c r="Q40" s="919"/>
      <c r="R40" s="919"/>
      <c r="S40" s="919"/>
    </row>
    <row r="41" spans="1:19">
      <c r="A41" t="s">
        <v>507</v>
      </c>
      <c r="B41" s="1371">
        <f>7%</f>
        <v>7.0000000000000007E-2</v>
      </c>
      <c r="C41" s="924">
        <f>7%</f>
        <v>7.0000000000000007E-2</v>
      </c>
      <c r="D41" s="924">
        <f>7%</f>
        <v>7.0000000000000007E-2</v>
      </c>
      <c r="E41" s="924">
        <f>7%</f>
        <v>7.0000000000000007E-2</v>
      </c>
      <c r="F41" s="924">
        <f>7%</f>
        <v>7.0000000000000007E-2</v>
      </c>
      <c r="G41" s="924">
        <f>7%</f>
        <v>7.0000000000000007E-2</v>
      </c>
      <c r="H41" s="924">
        <f>7%</f>
        <v>7.0000000000000007E-2</v>
      </c>
      <c r="I41" s="924">
        <f>7%</f>
        <v>7.0000000000000007E-2</v>
      </c>
      <c r="J41" s="924">
        <f>7%</f>
        <v>7.0000000000000007E-2</v>
      </c>
      <c r="K41" s="924">
        <f>7%</f>
        <v>7.0000000000000007E-2</v>
      </c>
      <c r="L41" s="924">
        <f>7%</f>
        <v>7.0000000000000007E-2</v>
      </c>
      <c r="M41" s="924">
        <f>7%</f>
        <v>7.0000000000000007E-2</v>
      </c>
      <c r="N41" s="924">
        <f>7%</f>
        <v>7.0000000000000007E-2</v>
      </c>
      <c r="O41" s="924">
        <f>7%</f>
        <v>7.0000000000000007E-2</v>
      </c>
      <c r="P41" s="924">
        <f>7%</f>
        <v>7.0000000000000007E-2</v>
      </c>
      <c r="Q41" s="924">
        <f>7%</f>
        <v>7.0000000000000007E-2</v>
      </c>
      <c r="R41" s="924">
        <f>7%</f>
        <v>7.0000000000000007E-2</v>
      </c>
      <c r="S41" s="924">
        <f>7%</f>
        <v>7.0000000000000007E-2</v>
      </c>
    </row>
    <row r="42" spans="1:19" s="851" customFormat="1">
      <c r="A42" s="851" t="s">
        <v>508</v>
      </c>
      <c r="B42" s="1372">
        <f>25%*B41</f>
        <v>1.7500000000000002E-2</v>
      </c>
      <c r="C42" s="150">
        <f t="shared" ref="C42:S42" si="37">25%*C41</f>
        <v>1.7500000000000002E-2</v>
      </c>
      <c r="D42" s="150">
        <f t="shared" si="37"/>
        <v>1.7500000000000002E-2</v>
      </c>
      <c r="E42" s="150">
        <f t="shared" si="37"/>
        <v>1.7500000000000002E-2</v>
      </c>
      <c r="F42" s="150">
        <f t="shared" si="37"/>
        <v>1.7500000000000002E-2</v>
      </c>
      <c r="G42" s="150">
        <f t="shared" si="37"/>
        <v>1.7500000000000002E-2</v>
      </c>
      <c r="H42" s="150">
        <f t="shared" si="37"/>
        <v>1.7500000000000002E-2</v>
      </c>
      <c r="I42" s="150">
        <f t="shared" si="37"/>
        <v>1.7500000000000002E-2</v>
      </c>
      <c r="J42" s="150">
        <f t="shared" si="37"/>
        <v>1.7500000000000002E-2</v>
      </c>
      <c r="K42" s="150">
        <f t="shared" si="37"/>
        <v>1.7500000000000002E-2</v>
      </c>
      <c r="L42" s="150">
        <f t="shared" si="37"/>
        <v>1.7500000000000002E-2</v>
      </c>
      <c r="M42" s="150">
        <f t="shared" si="37"/>
        <v>1.7500000000000002E-2</v>
      </c>
      <c r="N42" s="150">
        <f t="shared" si="37"/>
        <v>1.7500000000000002E-2</v>
      </c>
      <c r="O42" s="150">
        <f t="shared" si="37"/>
        <v>1.7500000000000002E-2</v>
      </c>
      <c r="P42" s="150">
        <f t="shared" si="37"/>
        <v>1.7500000000000002E-2</v>
      </c>
      <c r="Q42" s="150">
        <f t="shared" si="37"/>
        <v>1.7500000000000002E-2</v>
      </c>
      <c r="R42" s="150">
        <f t="shared" si="37"/>
        <v>1.7500000000000002E-2</v>
      </c>
      <c r="S42" s="150">
        <f t="shared" si="37"/>
        <v>1.7500000000000002E-2</v>
      </c>
    </row>
    <row r="43" spans="1:19" s="851" customFormat="1">
      <c r="A43" s="851" t="s">
        <v>509</v>
      </c>
      <c r="B43" s="1372">
        <f t="shared" ref="B43" si="38">B41-B42</f>
        <v>5.2500000000000005E-2</v>
      </c>
      <c r="C43" s="150">
        <f t="shared" ref="C43:O43" si="39">C41-C42</f>
        <v>5.2500000000000005E-2</v>
      </c>
      <c r="D43" s="150">
        <f t="shared" si="39"/>
        <v>5.2500000000000005E-2</v>
      </c>
      <c r="E43" s="150">
        <f t="shared" si="39"/>
        <v>5.2500000000000005E-2</v>
      </c>
      <c r="F43" s="150">
        <f t="shared" si="39"/>
        <v>5.2500000000000005E-2</v>
      </c>
      <c r="G43" s="150">
        <f t="shared" si="39"/>
        <v>5.2500000000000005E-2</v>
      </c>
      <c r="H43" s="150">
        <f t="shared" si="39"/>
        <v>5.2500000000000005E-2</v>
      </c>
      <c r="I43" s="150">
        <f t="shared" si="39"/>
        <v>5.2500000000000005E-2</v>
      </c>
      <c r="J43" s="150">
        <f t="shared" si="39"/>
        <v>5.2500000000000005E-2</v>
      </c>
      <c r="K43" s="150">
        <f t="shared" si="39"/>
        <v>5.2500000000000005E-2</v>
      </c>
      <c r="L43" s="150">
        <f t="shared" si="39"/>
        <v>5.2500000000000005E-2</v>
      </c>
      <c r="M43" s="150">
        <f t="shared" si="39"/>
        <v>5.2500000000000005E-2</v>
      </c>
      <c r="N43" s="150">
        <f t="shared" si="39"/>
        <v>5.2500000000000005E-2</v>
      </c>
      <c r="O43" s="150">
        <f t="shared" si="39"/>
        <v>5.2500000000000005E-2</v>
      </c>
      <c r="P43" s="150">
        <f t="shared" ref="P43:S43" si="40">P41-P42</f>
        <v>5.2500000000000005E-2</v>
      </c>
      <c r="Q43" s="150">
        <f t="shared" si="40"/>
        <v>5.2500000000000005E-2</v>
      </c>
      <c r="R43" s="150">
        <f t="shared" si="40"/>
        <v>5.2500000000000005E-2</v>
      </c>
      <c r="S43" s="150">
        <f t="shared" si="40"/>
        <v>5.2500000000000005E-2</v>
      </c>
    </row>
    <row r="44" spans="1:19">
      <c r="A44" t="s">
        <v>832</v>
      </c>
      <c r="B44" s="1104">
        <f t="shared" ref="B44" si="41">B9/B12</f>
        <v>0.32825535512965048</v>
      </c>
      <c r="C44" s="120">
        <f t="shared" ref="C44:O44" si="42">C9/C12</f>
        <v>0.33717849957649498</v>
      </c>
      <c r="D44" s="120">
        <f t="shared" si="42"/>
        <v>0.33506620156726319</v>
      </c>
      <c r="E44" s="120">
        <f t="shared" si="42"/>
        <v>0.34090968275257683</v>
      </c>
      <c r="F44" s="120">
        <f t="shared" si="42"/>
        <v>0.337233315181793</v>
      </c>
      <c r="G44" s="120">
        <f t="shared" si="42"/>
        <v>0.33301853380978486</v>
      </c>
      <c r="H44" s="120">
        <f t="shared" si="42"/>
        <v>0.32887782069189098</v>
      </c>
      <c r="I44" s="120">
        <f t="shared" si="42"/>
        <v>0.33658080279566588</v>
      </c>
      <c r="J44" s="120">
        <f t="shared" si="42"/>
        <v>0.33206601452501133</v>
      </c>
      <c r="K44" s="120">
        <f t="shared" si="42"/>
        <v>0.3271407568827977</v>
      </c>
      <c r="L44" s="120">
        <f t="shared" si="42"/>
        <v>0.3223361623432992</v>
      </c>
      <c r="M44" s="120">
        <f t="shared" si="42"/>
        <v>0.32887459709735706</v>
      </c>
      <c r="N44" s="120">
        <f t="shared" si="42"/>
        <v>0.32391563660287864</v>
      </c>
      <c r="O44" s="120">
        <f t="shared" si="42"/>
        <v>0.31882505308721004</v>
      </c>
      <c r="P44" s="120">
        <f t="shared" ref="P44:S44" si="43">P9/P12</f>
        <v>0.31387493150831008</v>
      </c>
      <c r="Q44" s="120">
        <f t="shared" si="43"/>
        <v>0.32305311341400239</v>
      </c>
      <c r="R44" s="120">
        <f t="shared" si="43"/>
        <v>0.31786995485581337</v>
      </c>
      <c r="S44" s="120">
        <f t="shared" si="43"/>
        <v>0.31255986084116472</v>
      </c>
    </row>
    <row r="45" spans="1:19">
      <c r="C45" s="18"/>
      <c r="D45" s="18"/>
      <c r="E45" s="18"/>
      <c r="F45" s="18"/>
      <c r="G45" s="18"/>
      <c r="H45" s="18"/>
      <c r="I45" s="18"/>
      <c r="J45" s="18"/>
      <c r="K45" s="18"/>
      <c r="L45" s="18"/>
      <c r="M45" s="18"/>
      <c r="N45" s="18"/>
      <c r="O45" s="18"/>
      <c r="P45" s="18"/>
      <c r="Q45" s="18"/>
      <c r="R45" s="18"/>
      <c r="S45" s="18"/>
    </row>
    <row r="46" spans="1:19">
      <c r="A46" t="s">
        <v>424</v>
      </c>
      <c r="C46" s="18"/>
      <c r="D46" s="18"/>
      <c r="E46" s="18"/>
      <c r="F46" s="18"/>
      <c r="G46" s="18"/>
      <c r="H46" s="18"/>
      <c r="I46" s="18"/>
      <c r="J46" s="18"/>
      <c r="K46" s="18"/>
      <c r="L46" s="18"/>
      <c r="M46" s="18"/>
      <c r="N46" s="18"/>
      <c r="O46" s="18"/>
      <c r="P46" s="18"/>
      <c r="Q46" s="18"/>
      <c r="R46" s="18"/>
      <c r="S46" s="18"/>
    </row>
    <row r="47" spans="1:19" s="851" customFormat="1">
      <c r="A47" s="851" t="s">
        <v>511</v>
      </c>
      <c r="B47" s="1372">
        <f>DDM!B19</f>
        <v>0.10226676677866431</v>
      </c>
      <c r="C47" s="150">
        <f t="shared" ref="C47:O47" si="44">B47</f>
        <v>0.10226676677866431</v>
      </c>
      <c r="D47" s="150">
        <f t="shared" si="44"/>
        <v>0.10226676677866431</v>
      </c>
      <c r="E47" s="150">
        <f t="shared" si="44"/>
        <v>0.10226676677866431</v>
      </c>
      <c r="F47" s="150">
        <f t="shared" si="44"/>
        <v>0.10226676677866431</v>
      </c>
      <c r="G47" s="150">
        <f t="shared" si="44"/>
        <v>0.10226676677866431</v>
      </c>
      <c r="H47" s="150">
        <f t="shared" si="44"/>
        <v>0.10226676677866431</v>
      </c>
      <c r="I47" s="150">
        <f t="shared" si="44"/>
        <v>0.10226676677866431</v>
      </c>
      <c r="J47" s="150">
        <f t="shared" si="44"/>
        <v>0.10226676677866431</v>
      </c>
      <c r="K47" s="150">
        <f t="shared" si="44"/>
        <v>0.10226676677866431</v>
      </c>
      <c r="L47" s="150">
        <f t="shared" si="44"/>
        <v>0.10226676677866431</v>
      </c>
      <c r="M47" s="150">
        <f t="shared" si="44"/>
        <v>0.10226676677866431</v>
      </c>
      <c r="N47" s="150">
        <f t="shared" si="44"/>
        <v>0.10226676677866431</v>
      </c>
      <c r="O47" s="150">
        <f t="shared" si="44"/>
        <v>0.10226676677866431</v>
      </c>
      <c r="P47" s="150">
        <f t="shared" ref="P47:P48" si="45">O47</f>
        <v>0.10226676677866431</v>
      </c>
      <c r="Q47" s="150">
        <f t="shared" ref="Q47:Q48" si="46">P47</f>
        <v>0.10226676677866431</v>
      </c>
      <c r="R47" s="150">
        <f t="shared" ref="R47:R48" si="47">Q47</f>
        <v>0.10226676677866431</v>
      </c>
      <c r="S47" s="150">
        <f t="shared" ref="S47:S48" si="48">R47</f>
        <v>0.10226676677866431</v>
      </c>
    </row>
    <row r="48" spans="1:19" s="851" customFormat="1">
      <c r="A48" s="851" t="s">
        <v>512</v>
      </c>
      <c r="B48" s="1372">
        <f>DDM!B21</f>
        <v>9.2665517241379308E-2</v>
      </c>
      <c r="C48" s="150">
        <f t="shared" ref="C48:O48" si="49">B48</f>
        <v>9.2665517241379308E-2</v>
      </c>
      <c r="D48" s="150">
        <f t="shared" si="49"/>
        <v>9.2665517241379308E-2</v>
      </c>
      <c r="E48" s="150">
        <f t="shared" si="49"/>
        <v>9.2665517241379308E-2</v>
      </c>
      <c r="F48" s="150">
        <f t="shared" si="49"/>
        <v>9.2665517241379308E-2</v>
      </c>
      <c r="G48" s="150">
        <f t="shared" si="49"/>
        <v>9.2665517241379308E-2</v>
      </c>
      <c r="H48" s="150">
        <f t="shared" si="49"/>
        <v>9.2665517241379308E-2</v>
      </c>
      <c r="I48" s="150">
        <f t="shared" si="49"/>
        <v>9.2665517241379308E-2</v>
      </c>
      <c r="J48" s="150">
        <f t="shared" si="49"/>
        <v>9.2665517241379308E-2</v>
      </c>
      <c r="K48" s="150">
        <f t="shared" si="49"/>
        <v>9.2665517241379308E-2</v>
      </c>
      <c r="L48" s="150">
        <f t="shared" si="49"/>
        <v>9.2665517241379308E-2</v>
      </c>
      <c r="M48" s="150">
        <f t="shared" si="49"/>
        <v>9.2665517241379308E-2</v>
      </c>
      <c r="N48" s="150">
        <f t="shared" si="49"/>
        <v>9.2665517241379308E-2</v>
      </c>
      <c r="O48" s="150">
        <f t="shared" si="49"/>
        <v>9.2665517241379308E-2</v>
      </c>
      <c r="P48" s="150">
        <f t="shared" si="45"/>
        <v>9.2665517241379308E-2</v>
      </c>
      <c r="Q48" s="150">
        <f t="shared" si="46"/>
        <v>9.2665517241379308E-2</v>
      </c>
      <c r="R48" s="150">
        <f t="shared" si="47"/>
        <v>9.2665517241379308E-2</v>
      </c>
      <c r="S48" s="150">
        <f t="shared" si="48"/>
        <v>9.2665517241379308E-2</v>
      </c>
    </row>
    <row r="49" spans="1:19" s="851" customFormat="1">
      <c r="B49" s="563"/>
      <c r="C49" s="18"/>
      <c r="D49" s="18"/>
      <c r="E49" s="18"/>
      <c r="F49" s="18"/>
      <c r="G49" s="18"/>
      <c r="H49" s="18"/>
      <c r="I49" s="18"/>
      <c r="J49" s="18"/>
      <c r="K49" s="18"/>
      <c r="L49" s="18"/>
      <c r="M49" s="18"/>
      <c r="N49" s="18"/>
      <c r="O49" s="18"/>
      <c r="P49" s="18"/>
      <c r="Q49" s="18"/>
      <c r="R49" s="18"/>
      <c r="S49" s="18"/>
    </row>
    <row r="50" spans="1:19" s="851" customFormat="1">
      <c r="B50" s="563"/>
      <c r="C50" s="18"/>
      <c r="D50" s="18"/>
      <c r="E50" s="18"/>
      <c r="F50" s="18"/>
      <c r="G50" s="18"/>
      <c r="H50" s="18"/>
      <c r="I50" s="18"/>
      <c r="J50" s="18"/>
      <c r="K50" s="18"/>
      <c r="L50" s="18"/>
      <c r="M50" s="18"/>
      <c r="N50" s="18"/>
      <c r="O50" s="18"/>
      <c r="P50" s="18"/>
      <c r="Q50" s="18"/>
      <c r="R50" s="18"/>
      <c r="S50" s="18"/>
    </row>
    <row r="51" spans="1:19">
      <c r="A51" t="s">
        <v>510</v>
      </c>
      <c r="B51" s="1104">
        <f t="shared" ref="B51:O51" si="50">B6/B12</f>
        <v>0.67174464487034946</v>
      </c>
      <c r="C51" s="120">
        <f t="shared" si="50"/>
        <v>0.66282150042350507</v>
      </c>
      <c r="D51" s="120">
        <f t="shared" si="50"/>
        <v>0.66493379843273692</v>
      </c>
      <c r="E51" s="120">
        <f t="shared" si="50"/>
        <v>0.65909031724742317</v>
      </c>
      <c r="F51" s="120">
        <f t="shared" si="50"/>
        <v>0.66276668481820689</v>
      </c>
      <c r="G51" s="120">
        <f t="shared" si="50"/>
        <v>0.66698146619021514</v>
      </c>
      <c r="H51" s="120">
        <f t="shared" si="50"/>
        <v>0.67112217930810902</v>
      </c>
      <c r="I51" s="120">
        <f t="shared" si="50"/>
        <v>0.66341919720433418</v>
      </c>
      <c r="J51" s="120">
        <f t="shared" si="50"/>
        <v>0.66793398547498872</v>
      </c>
      <c r="K51" s="120">
        <f t="shared" si="50"/>
        <v>0.67285924311720235</v>
      </c>
      <c r="L51" s="120">
        <f t="shared" si="50"/>
        <v>0.6776638376567008</v>
      </c>
      <c r="M51" s="120">
        <f t="shared" si="50"/>
        <v>0.671125402902643</v>
      </c>
      <c r="N51" s="120">
        <f t="shared" si="50"/>
        <v>0.6760843633971213</v>
      </c>
      <c r="O51" s="120">
        <f t="shared" si="50"/>
        <v>0.6811749469127899</v>
      </c>
      <c r="P51" s="120">
        <f t="shared" ref="P51:S51" si="51">P6/P12</f>
        <v>0.68612506849169008</v>
      </c>
      <c r="Q51" s="120">
        <f t="shared" si="51"/>
        <v>0.67694688658599778</v>
      </c>
      <c r="R51" s="120">
        <f t="shared" si="51"/>
        <v>0.68213004514418663</v>
      </c>
      <c r="S51" s="120">
        <f t="shared" si="51"/>
        <v>0.68744013915883528</v>
      </c>
    </row>
    <row r="52" spans="1:19">
      <c r="A52" t="s">
        <v>513</v>
      </c>
      <c r="B52" s="1371">
        <f t="shared" ref="B52:O52" si="52">B43*B44+B47*B51</f>
        <v>8.5930559076079369E-2</v>
      </c>
      <c r="C52" s="924">
        <f t="shared" si="52"/>
        <v>8.5486483027460924E-2</v>
      </c>
      <c r="D52" s="924">
        <f t="shared" si="52"/>
        <v>8.5591605269853405E-2</v>
      </c>
      <c r="E52" s="924">
        <f t="shared" si="52"/>
        <v>8.5300794104528371E-2</v>
      </c>
      <c r="F52" s="924">
        <f t="shared" si="52"/>
        <v>8.5483755032016218E-2</v>
      </c>
      <c r="G52" s="924">
        <f t="shared" si="52"/>
        <v>8.5693511073580003E-2</v>
      </c>
      <c r="H52" s="924">
        <f t="shared" si="52"/>
        <v>8.5899580977615603E-2</v>
      </c>
      <c r="I52" s="924">
        <f t="shared" si="52"/>
        <v>8.551622846375681E-2</v>
      </c>
      <c r="J52" s="924">
        <f t="shared" si="52"/>
        <v>8.5740914878677521E-2</v>
      </c>
      <c r="K52" s="924">
        <f t="shared" si="52"/>
        <v>8.5986029027082411E-2</v>
      </c>
      <c r="L52" s="924">
        <f t="shared" si="52"/>
        <v>8.6225138162995665E-2</v>
      </c>
      <c r="M52" s="924">
        <f t="shared" si="52"/>
        <v>8.589974140549296E-2</v>
      </c>
      <c r="N52" s="924">
        <f t="shared" si="52"/>
        <v>8.6146532835886261E-2</v>
      </c>
      <c r="O52" s="924">
        <f t="shared" si="52"/>
        <v>8.6399874718477862E-2</v>
      </c>
      <c r="P52" s="924">
        <f t="shared" ref="P52:S52" si="53">P43*P44+P47*P51</f>
        <v>8.6646226264621026E-2</v>
      </c>
      <c r="Q52" s="924">
        <f t="shared" si="53"/>
        <v>8.6189457826268273E-2</v>
      </c>
      <c r="R52" s="924">
        <f t="shared" si="53"/>
        <v>8.6447406869410492E-2</v>
      </c>
      <c r="S52" s="924">
        <f t="shared" si="53"/>
        <v>8.67116730798103E-2</v>
      </c>
    </row>
    <row r="53" spans="1:19" s="7" customFormat="1">
      <c r="A53" s="7" t="s">
        <v>514</v>
      </c>
      <c r="B53" s="1373">
        <f t="shared" ref="B53:O53" si="54">B43*B44+B51*B48</f>
        <v>7.9480971115344246E-2</v>
      </c>
      <c r="C53" s="925">
        <f t="shared" si="54"/>
        <v>7.91225684032172E-2</v>
      </c>
      <c r="D53" s="925">
        <f t="shared" si="54"/>
        <v>7.9207409945325935E-2</v>
      </c>
      <c r="E53" s="925">
        <f t="shared" si="54"/>
        <v>7.897270350102753E-2</v>
      </c>
      <c r="F53" s="925">
        <f t="shared" si="54"/>
        <v>7.9120366706077486E-2</v>
      </c>
      <c r="G53" s="925">
        <f t="shared" si="54"/>
        <v>7.9289655579943538E-2</v>
      </c>
      <c r="H53" s="925">
        <f t="shared" si="54"/>
        <v>7.9455969464071907E-2</v>
      </c>
      <c r="I53" s="925">
        <f t="shared" si="54"/>
        <v>7.9146575203572711E-2</v>
      </c>
      <c r="J53" s="925">
        <f t="shared" si="54"/>
        <v>7.9327914009698852E-2</v>
      </c>
      <c r="K53" s="925">
        <f t="shared" si="54"/>
        <v>7.9525739530445422E-2</v>
      </c>
      <c r="L53" s="925">
        <f t="shared" si="54"/>
        <v>7.9718718555259485E-2</v>
      </c>
      <c r="M53" s="925">
        <f t="shared" si="54"/>
        <v>7.9456098941413741E-2</v>
      </c>
      <c r="N53" s="925">
        <f t="shared" si="54"/>
        <v>7.9655278154654022E-2</v>
      </c>
      <c r="O53" s="925">
        <f t="shared" si="54"/>
        <v>7.9859744074621306E-2</v>
      </c>
      <c r="P53" s="925">
        <f t="shared" ref="P53:S53" si="55">P43*P44+P51*P48</f>
        <v>8.0058568268245547E-2</v>
      </c>
      <c r="Q53" s="925">
        <f t="shared" si="55"/>
        <v>7.9689921844667944E-2</v>
      </c>
      <c r="R53" s="925">
        <f t="shared" si="55"/>
        <v>7.9898106089101681E-2</v>
      </c>
      <c r="S53" s="925">
        <f t="shared" si="55"/>
        <v>8.0111388761800392E-2</v>
      </c>
    </row>
    <row r="54" spans="1:19">
      <c r="C54" s="18"/>
      <c r="D54" s="18"/>
      <c r="E54" s="18"/>
      <c r="F54" s="18"/>
      <c r="G54" s="18"/>
      <c r="H54" s="18"/>
      <c r="I54" s="18"/>
      <c r="J54" s="18"/>
      <c r="K54" s="18"/>
      <c r="L54" s="18"/>
      <c r="M54" s="18"/>
      <c r="N54" s="18"/>
      <c r="O54" s="18"/>
      <c r="P54" s="18"/>
      <c r="Q54" s="18"/>
      <c r="R54" s="18"/>
      <c r="S54" s="18"/>
    </row>
    <row r="55" spans="1:19">
      <c r="A55" t="s">
        <v>515</v>
      </c>
      <c r="B55" s="1372">
        <f t="shared" ref="B55:O55" si="56">B36-B53</f>
        <v>-4.1307093964126795E-2</v>
      </c>
      <c r="C55" s="150">
        <f t="shared" si="56"/>
        <v>-2.5813414132662374E-2</v>
      </c>
      <c r="D55" s="150">
        <f>D36-D53</f>
        <v>-3.5870942022851127E-2</v>
      </c>
      <c r="E55" s="150">
        <f t="shared" si="56"/>
        <v>-2.5069532309929976E-2</v>
      </c>
      <c r="F55" s="150">
        <f t="shared" si="56"/>
        <v>-1.6877419916249928E-2</v>
      </c>
      <c r="G55" s="150">
        <f t="shared" si="56"/>
        <v>-1.008705718033058E-2</v>
      </c>
      <c r="H55" s="150">
        <f t="shared" si="56"/>
        <v>-1.075202247128243E-2</v>
      </c>
      <c r="I55" s="150">
        <f t="shared" si="56"/>
        <v>-5.5316041586048748E-3</v>
      </c>
      <c r="J55" s="150">
        <f t="shared" si="56"/>
        <v>-6.3220881580313693E-3</v>
      </c>
      <c r="K55" s="150">
        <f t="shared" si="56"/>
        <v>-7.9927711883967523E-4</v>
      </c>
      <c r="L55" s="150">
        <f t="shared" si="56"/>
        <v>-1.875168294263499E-3</v>
      </c>
      <c r="M55" s="150">
        <f t="shared" si="56"/>
        <v>3.4324304096852859E-3</v>
      </c>
      <c r="N55" s="150">
        <f t="shared" si="56"/>
        <v>-6.4488527871345291E-5</v>
      </c>
      <c r="O55" s="150">
        <f t="shared" si="56"/>
        <v>2.1494737158230387E-3</v>
      </c>
      <c r="P55" s="150">
        <f t="shared" ref="P55:S55" si="57">P36-P53</f>
        <v>9.1348120788235787E-4</v>
      </c>
      <c r="Q55" s="150">
        <f t="shared" si="57"/>
        <v>7.3654228004566002E-3</v>
      </c>
      <c r="R55" s="150">
        <f t="shared" si="57"/>
        <v>3.5830791318139515E-3</v>
      </c>
      <c r="S55" s="150">
        <f t="shared" si="57"/>
        <v>5.9242182038509866E-3</v>
      </c>
    </row>
    <row r="56" spans="1:19">
      <c r="A56" t="s">
        <v>537</v>
      </c>
      <c r="B56" s="1198">
        <f t="shared" ref="B56:O56" si="58">B55*B12</f>
        <v>-2931.1513876944373</v>
      </c>
      <c r="C56" s="1186">
        <f t="shared" si="58"/>
        <v>-1783.244946363181</v>
      </c>
      <c r="D56" s="1186">
        <f t="shared" si="58"/>
        <v>-2493.6619946447795</v>
      </c>
      <c r="E56" s="1186">
        <f t="shared" si="58"/>
        <v>-1712.9012334889017</v>
      </c>
      <c r="F56" s="1186">
        <f t="shared" si="58"/>
        <v>-1165.7381534125313</v>
      </c>
      <c r="G56" s="1186">
        <f t="shared" si="58"/>
        <v>-705.53977946357952</v>
      </c>
      <c r="H56" s="1186">
        <f t="shared" si="58"/>
        <v>-761.5194569724805</v>
      </c>
      <c r="I56" s="1186">
        <f t="shared" si="58"/>
        <v>-382.81344211008133</v>
      </c>
      <c r="J56" s="1186">
        <f t="shared" si="58"/>
        <v>-443.46724152324532</v>
      </c>
      <c r="K56" s="1186">
        <f t="shared" si="58"/>
        <v>-56.909943311656924</v>
      </c>
      <c r="L56" s="1186">
        <f t="shared" si="58"/>
        <v>-135.50541385350607</v>
      </c>
      <c r="M56" s="1186">
        <f t="shared" si="58"/>
        <v>243.10664988555263</v>
      </c>
      <c r="N56" s="1186">
        <f t="shared" si="58"/>
        <v>-4.6374151475399827</v>
      </c>
      <c r="O56" s="1186">
        <f t="shared" si="58"/>
        <v>157.03813354018556</v>
      </c>
      <c r="P56" s="1186">
        <f t="shared" ref="P56:S56" si="59">P55*P12</f>
        <v>67.790433829661922</v>
      </c>
      <c r="Q56" s="1186">
        <f t="shared" si="59"/>
        <v>531.06683132681235</v>
      </c>
      <c r="R56" s="1186">
        <f t="shared" si="59"/>
        <v>262.56228669111033</v>
      </c>
      <c r="S56" s="1186">
        <f t="shared" si="59"/>
        <v>441.49243684372385</v>
      </c>
    </row>
    <row r="57" spans="1:19">
      <c r="A57" t="s">
        <v>516</v>
      </c>
      <c r="B57" s="1326">
        <f>B56/Model!AF155</f>
        <v>-1.1471767788714482</v>
      </c>
      <c r="C57" s="926">
        <f>C56/Model!AG155</f>
        <v>-0.6979159118481395</v>
      </c>
      <c r="D57" s="926">
        <f>D56/Model!AH155</f>
        <v>-0.97595475505646734</v>
      </c>
      <c r="E57" s="926">
        <f>E56/Model!AI155</f>
        <v>-0.67038520351019593</v>
      </c>
      <c r="F57" s="926">
        <f>F56/Model!AJ155</f>
        <v>-0.45623973754942326</v>
      </c>
      <c r="G57" s="926">
        <f>G56/Model!AK155</f>
        <v>-0.27613000644341884</v>
      </c>
      <c r="H57" s="926">
        <f>H56/Model!AL155</f>
        <v>-0.29803900315935994</v>
      </c>
      <c r="I57" s="926">
        <f>I56/Model!AM155</f>
        <v>-0.14982327193068035</v>
      </c>
      <c r="J57" s="926">
        <f>J56/Model!AN155</f>
        <v>-0.17356159896804249</v>
      </c>
      <c r="K57" s="926">
        <f>K56/Model!AO155</f>
        <v>-2.2273078670759238E-2</v>
      </c>
      <c r="L57" s="926">
        <f>L56/Model!AP155</f>
        <v>-5.3033311359048992E-2</v>
      </c>
      <c r="M57" s="926">
        <f>M56/Model!AQ155</f>
        <v>9.5145649831925416E-2</v>
      </c>
      <c r="N57" s="926">
        <f>N56/Model!AR155</f>
        <v>-1.814964247011852E-3</v>
      </c>
      <c r="O57" s="926">
        <f>O56/Model!AS155</f>
        <v>6.1460660459545832E-2</v>
      </c>
      <c r="P57" s="926">
        <f>P56/Model!AT155</f>
        <v>2.6531421012743896E-2</v>
      </c>
      <c r="Q57" s="926">
        <f>Q56/Model!AU155</f>
        <v>0.20784581085938411</v>
      </c>
      <c r="R57" s="926">
        <f>R56/Model!AV155</f>
        <v>0.10276008245904675</v>
      </c>
      <c r="S57" s="926">
        <f>S56/Model!AW155</f>
        <v>0.17278871153525258</v>
      </c>
    </row>
    <row r="58" spans="1:19">
      <c r="C58" s="18"/>
      <c r="D58" s="18"/>
      <c r="E58" s="18"/>
      <c r="F58" s="18"/>
      <c r="G58" s="18"/>
      <c r="H58" s="18"/>
      <c r="I58" s="18"/>
      <c r="J58" s="18"/>
      <c r="K58" s="18"/>
      <c r="L58" s="18"/>
      <c r="M58" s="18"/>
      <c r="N58" s="18"/>
      <c r="O58" s="18"/>
      <c r="P58" s="18"/>
      <c r="Q58" s="18"/>
      <c r="R58" s="18"/>
      <c r="S58" s="18"/>
    </row>
    <row r="59" spans="1:19">
      <c r="C59" s="18"/>
      <c r="D59" s="18"/>
      <c r="E59" s="18"/>
      <c r="F59" s="18"/>
      <c r="G59" s="18"/>
      <c r="H59" s="18"/>
      <c r="I59" s="18"/>
      <c r="J59" s="18"/>
      <c r="K59" s="18"/>
      <c r="L59" s="18"/>
      <c r="M59" s="18"/>
      <c r="N59" s="18"/>
      <c r="O59" s="18"/>
      <c r="P59" s="18"/>
      <c r="Q59" s="18"/>
      <c r="R59" s="18"/>
      <c r="S59" s="18"/>
    </row>
    <row r="60" spans="1:19" s="2" customFormat="1">
      <c r="A60" s="2" t="s">
        <v>534</v>
      </c>
      <c r="B60" s="1374"/>
      <c r="C60" s="927"/>
      <c r="D60" s="927"/>
      <c r="E60" s="927"/>
      <c r="F60" s="927"/>
      <c r="G60" s="927"/>
      <c r="H60" s="927"/>
      <c r="I60" s="927"/>
      <c r="J60" s="927"/>
      <c r="K60" s="927"/>
      <c r="L60" s="927"/>
      <c r="M60" s="927"/>
      <c r="N60" s="927"/>
      <c r="O60" s="927"/>
      <c r="P60" s="927"/>
      <c r="Q60" s="927"/>
      <c r="R60" s="927"/>
      <c r="S60" s="927"/>
    </row>
    <row r="61" spans="1:19">
      <c r="B61" s="1375"/>
      <c r="C61" s="928"/>
      <c r="D61" s="928"/>
      <c r="E61" s="928"/>
      <c r="F61" s="928"/>
      <c r="G61" s="928"/>
      <c r="H61" s="928"/>
      <c r="I61" s="928"/>
      <c r="J61" s="928"/>
      <c r="K61" s="928"/>
      <c r="L61" s="928"/>
      <c r="M61" s="928"/>
      <c r="N61" s="928"/>
      <c r="O61" s="928"/>
      <c r="P61" s="928"/>
      <c r="Q61" s="928"/>
      <c r="R61" s="928"/>
      <c r="S61" s="928"/>
    </row>
    <row r="62" spans="1:19" s="851" customFormat="1">
      <c r="A62" s="851" t="s">
        <v>517</v>
      </c>
      <c r="B62" s="1372">
        <f t="shared" ref="B62:O62" si="60">B55</f>
        <v>-4.1307093964126795E-2</v>
      </c>
      <c r="C62" s="150">
        <f t="shared" si="60"/>
        <v>-2.5813414132662374E-2</v>
      </c>
      <c r="D62" s="150">
        <f>D55</f>
        <v>-3.5870942022851127E-2</v>
      </c>
      <c r="E62" s="150">
        <f t="shared" si="60"/>
        <v>-2.5069532309929976E-2</v>
      </c>
      <c r="F62" s="150">
        <f t="shared" si="60"/>
        <v>-1.6877419916249928E-2</v>
      </c>
      <c r="G62" s="150">
        <f t="shared" si="60"/>
        <v>-1.008705718033058E-2</v>
      </c>
      <c r="H62" s="150">
        <f t="shared" si="60"/>
        <v>-1.075202247128243E-2</v>
      </c>
      <c r="I62" s="150">
        <f t="shared" si="60"/>
        <v>-5.5316041586048748E-3</v>
      </c>
      <c r="J62" s="150">
        <f t="shared" si="60"/>
        <v>-6.3220881580313693E-3</v>
      </c>
      <c r="K62" s="150">
        <f t="shared" si="60"/>
        <v>-7.9927711883967523E-4</v>
      </c>
      <c r="L62" s="150">
        <f t="shared" si="60"/>
        <v>-1.875168294263499E-3</v>
      </c>
      <c r="M62" s="150">
        <f t="shared" si="60"/>
        <v>3.4324304096852859E-3</v>
      </c>
      <c r="N62" s="150">
        <f t="shared" si="60"/>
        <v>-6.4488527871345291E-5</v>
      </c>
      <c r="O62" s="150">
        <f t="shared" si="60"/>
        <v>2.1494737158230387E-3</v>
      </c>
      <c r="P62" s="150">
        <f t="shared" ref="P62:S62" si="61">P55</f>
        <v>9.1348120788235787E-4</v>
      </c>
      <c r="Q62" s="150">
        <f t="shared" si="61"/>
        <v>7.3654228004566002E-3</v>
      </c>
      <c r="R62" s="150">
        <f t="shared" si="61"/>
        <v>3.5830791318139515E-3</v>
      </c>
      <c r="S62" s="150">
        <f t="shared" si="61"/>
        <v>5.9242182038509866E-3</v>
      </c>
    </row>
    <row r="63" spans="1:19" s="851" customFormat="1">
      <c r="A63" s="851" t="s">
        <v>518</v>
      </c>
      <c r="B63" s="1372">
        <v>0.05</v>
      </c>
      <c r="C63" s="150">
        <v>0.05</v>
      </c>
      <c r="D63" s="150">
        <v>0.05</v>
      </c>
      <c r="E63" s="150">
        <v>0.05</v>
      </c>
      <c r="F63" s="150">
        <v>0.05</v>
      </c>
      <c r="G63" s="150">
        <v>0.05</v>
      </c>
      <c r="H63" s="150">
        <v>0.05</v>
      </c>
      <c r="I63" s="150">
        <v>0.05</v>
      </c>
      <c r="J63" s="150">
        <v>0.05</v>
      </c>
      <c r="K63" s="150">
        <v>0.05</v>
      </c>
      <c r="L63" s="150">
        <v>0.05</v>
      </c>
      <c r="M63" s="150">
        <v>0.05</v>
      </c>
      <c r="N63" s="150">
        <v>0.05</v>
      </c>
      <c r="O63" s="150">
        <v>0.05</v>
      </c>
      <c r="P63" s="150">
        <v>0.05</v>
      </c>
      <c r="Q63" s="150">
        <v>0.05</v>
      </c>
      <c r="R63" s="150">
        <v>0.05</v>
      </c>
      <c r="S63" s="150">
        <v>0.05</v>
      </c>
    </row>
    <row r="64" spans="1:19" s="1235" customFormat="1">
      <c r="A64" s="1235" t="s">
        <v>519</v>
      </c>
      <c r="B64" s="1382">
        <v>0.02</v>
      </c>
      <c r="C64" s="1383">
        <v>0.02</v>
      </c>
      <c r="D64" s="1383">
        <v>0.02</v>
      </c>
      <c r="E64" s="1383">
        <v>0.02</v>
      </c>
      <c r="F64" s="1383">
        <v>0.02</v>
      </c>
      <c r="G64" s="1383">
        <v>0.02</v>
      </c>
      <c r="H64" s="1383">
        <v>0.02</v>
      </c>
      <c r="I64" s="1383">
        <v>0.02</v>
      </c>
      <c r="J64" s="1383">
        <v>0.02</v>
      </c>
      <c r="K64" s="1383">
        <v>0.02</v>
      </c>
      <c r="L64" s="1383">
        <v>0.02</v>
      </c>
      <c r="M64" s="1383">
        <v>0.02</v>
      </c>
      <c r="N64" s="1383">
        <v>0.02</v>
      </c>
      <c r="O64" s="1383">
        <v>0.02</v>
      </c>
      <c r="P64" s="1383">
        <v>0.02</v>
      </c>
      <c r="Q64" s="1383">
        <v>0.02</v>
      </c>
      <c r="R64" s="1383">
        <v>0.02</v>
      </c>
      <c r="S64" s="1383">
        <v>0.02</v>
      </c>
    </row>
    <row r="65" spans="1:19" s="1235" customFormat="1">
      <c r="A65" s="1235" t="s">
        <v>520</v>
      </c>
      <c r="B65" s="1382">
        <v>1E-3</v>
      </c>
      <c r="C65" s="1383">
        <v>1E-3</v>
      </c>
      <c r="D65" s="1383">
        <v>1E-3</v>
      </c>
      <c r="E65" s="1383">
        <v>1E-3</v>
      </c>
      <c r="F65" s="1383">
        <v>1E-3</v>
      </c>
      <c r="G65" s="1383">
        <v>1E-3</v>
      </c>
      <c r="H65" s="1383">
        <v>1E-3</v>
      </c>
      <c r="I65" s="1383">
        <v>1E-3</v>
      </c>
      <c r="J65" s="1383">
        <v>1E-3</v>
      </c>
      <c r="K65" s="1383">
        <v>1E-3</v>
      </c>
      <c r="L65" s="1383">
        <v>1E-3</v>
      </c>
      <c r="M65" s="1383">
        <v>1E-3</v>
      </c>
      <c r="N65" s="1383">
        <v>1E-3</v>
      </c>
      <c r="O65" s="1383">
        <v>1E-3</v>
      </c>
      <c r="P65" s="1383">
        <v>1E-3</v>
      </c>
      <c r="Q65" s="1383">
        <v>1E-3</v>
      </c>
      <c r="R65" s="1383">
        <v>1E-3</v>
      </c>
      <c r="S65" s="1383">
        <v>1E-3</v>
      </c>
    </row>
    <row r="66" spans="1:19" s="1235" customFormat="1">
      <c r="A66" s="1235" t="s">
        <v>521</v>
      </c>
      <c r="B66" s="1382">
        <v>0.02</v>
      </c>
      <c r="C66" s="1383">
        <v>0.02</v>
      </c>
      <c r="D66" s="1383">
        <v>0.02</v>
      </c>
      <c r="E66" s="1383">
        <v>0.02</v>
      </c>
      <c r="F66" s="1383">
        <v>0.02</v>
      </c>
      <c r="G66" s="1383">
        <v>0.02</v>
      </c>
      <c r="H66" s="1383">
        <v>0.02</v>
      </c>
      <c r="I66" s="1383">
        <v>0.02</v>
      </c>
      <c r="J66" s="1383">
        <v>0.02</v>
      </c>
      <c r="K66" s="1383">
        <v>0.02</v>
      </c>
      <c r="L66" s="1383">
        <v>0.02</v>
      </c>
      <c r="M66" s="1383">
        <v>0.02</v>
      </c>
      <c r="N66" s="1383">
        <v>0.02</v>
      </c>
      <c r="O66" s="1383">
        <v>0.02</v>
      </c>
      <c r="P66" s="1383">
        <v>0.02</v>
      </c>
      <c r="Q66" s="1383">
        <v>0.02</v>
      </c>
      <c r="R66" s="1383">
        <v>0.02</v>
      </c>
      <c r="S66" s="1383">
        <v>0.02</v>
      </c>
    </row>
    <row r="67" spans="1:19">
      <c r="B67" s="1376"/>
      <c r="C67" s="929"/>
      <c r="D67" s="929"/>
      <c r="E67" s="929"/>
      <c r="F67" s="929"/>
      <c r="G67" s="929"/>
      <c r="H67" s="929"/>
      <c r="I67" s="929"/>
      <c r="J67" s="929"/>
      <c r="K67" s="929"/>
      <c r="L67" s="929"/>
      <c r="M67" s="929"/>
      <c r="N67" s="929"/>
      <c r="O67" s="929"/>
      <c r="P67" s="929"/>
      <c r="Q67" s="929"/>
      <c r="R67" s="929"/>
      <c r="S67" s="929"/>
    </row>
    <row r="68" spans="1:19" s="914" customFormat="1">
      <c r="A68" s="11" t="s">
        <v>522</v>
      </c>
      <c r="B68" s="1367">
        <f t="shared" ref="B68:O68" si="62">B12+B56</f>
        <v>68028.848612305563</v>
      </c>
      <c r="C68" s="1361">
        <f t="shared" si="62"/>
        <v>67298.858536678046</v>
      </c>
      <c r="D68" s="1361">
        <f t="shared" si="62"/>
        <v>67023.943454808541</v>
      </c>
      <c r="E68" s="1361">
        <f t="shared" si="62"/>
        <v>66613.113480811371</v>
      </c>
      <c r="F68" s="1361">
        <f t="shared" si="62"/>
        <v>67905.136375823698</v>
      </c>
      <c r="G68" s="1361">
        <f t="shared" si="62"/>
        <v>69239.516231456844</v>
      </c>
      <c r="H68" s="1361">
        <f t="shared" si="62"/>
        <v>70064.174872296484</v>
      </c>
      <c r="I68" s="1361">
        <f t="shared" si="62"/>
        <v>68821.965340656374</v>
      </c>
      <c r="J68" s="1361">
        <f t="shared" si="62"/>
        <v>69702.223618525793</v>
      </c>
      <c r="K68" s="1361">
        <f t="shared" si="62"/>
        <v>71144.85721633643</v>
      </c>
      <c r="L68" s="1361">
        <f t="shared" si="62"/>
        <v>72127.562529457631</v>
      </c>
      <c r="M68" s="1361">
        <f t="shared" si="62"/>
        <v>71069.495205230705</v>
      </c>
      <c r="N68" s="1361">
        <f t="shared" si="62"/>
        <v>71906.06206293068</v>
      </c>
      <c r="O68" s="1361">
        <f t="shared" si="62"/>
        <v>73215.914073344495</v>
      </c>
      <c r="P68" s="1361">
        <f t="shared" ref="P68:S68" si="63">P12+P56</f>
        <v>74278.877914013792</v>
      </c>
      <c r="Q68" s="1361">
        <f t="shared" si="63"/>
        <v>72633.761505404487</v>
      </c>
      <c r="R68" s="1361">
        <f t="shared" si="63"/>
        <v>73540.956938887059</v>
      </c>
      <c r="S68" s="1361">
        <f t="shared" si="63"/>
        <v>74964.817144352899</v>
      </c>
    </row>
    <row r="69" spans="1:19" s="914" customFormat="1">
      <c r="A69" s="11" t="s">
        <v>523</v>
      </c>
      <c r="B69" s="1367">
        <f t="shared" ref="B69:O69" si="64">B155</f>
        <v>-7525.3164960558079</v>
      </c>
      <c r="C69" s="1361">
        <f t="shared" si="64"/>
        <v>-4382.3248225955094</v>
      </c>
      <c r="D69" s="1361">
        <f t="shared" si="64"/>
        <v>-6331.907614931959</v>
      </c>
      <c r="E69" s="1361">
        <f t="shared" si="64"/>
        <v>-4193.7723989393253</v>
      </c>
      <c r="F69" s="1361">
        <f t="shared" si="64"/>
        <v>-2685.4424118511238</v>
      </c>
      <c r="G69" s="1361">
        <f t="shared" si="64"/>
        <v>-1415.1462604547494</v>
      </c>
      <c r="H69" s="1361">
        <f t="shared" si="64"/>
        <v>-1563.3104189468238</v>
      </c>
      <c r="I69" s="1361">
        <f t="shared" si="64"/>
        <v>-533.03956402159599</v>
      </c>
      <c r="J69" s="1361">
        <f t="shared" si="64"/>
        <v>-693.61727641627272</v>
      </c>
      <c r="K69" s="1361">
        <f t="shared" si="64"/>
        <v>375.64097374122372</v>
      </c>
      <c r="L69" s="1361">
        <f t="shared" si="64"/>
        <v>166.57042138503297</v>
      </c>
      <c r="M69" s="1361">
        <f t="shared" si="64"/>
        <v>1197.7242522844163</v>
      </c>
      <c r="N69" s="1361">
        <f t="shared" si="64"/>
        <v>523.95118025206091</v>
      </c>
      <c r="O69" s="1361">
        <f t="shared" si="64"/>
        <v>975.85848173327417</v>
      </c>
      <c r="P69" s="1361">
        <f t="shared" ref="P69:S69" si="65">P155</f>
        <v>738.11821832203123</v>
      </c>
      <c r="Q69" s="1361">
        <f t="shared" si="65"/>
        <v>1997.5814155219318</v>
      </c>
      <c r="R69" s="1361">
        <f t="shared" si="65"/>
        <v>1267.3475745703386</v>
      </c>
      <c r="S69" s="1361">
        <f t="shared" si="65"/>
        <v>1767.3843884995367</v>
      </c>
    </row>
    <row r="70" spans="1:19" s="914" customFormat="1">
      <c r="A70" s="11" t="s">
        <v>524</v>
      </c>
      <c r="B70" s="1367">
        <f t="shared" ref="B70:S70" si="66">((B65*B110)/(B$53-B66))/((1+B$53)^($A110+1))</f>
        <v>627.0069751581043</v>
      </c>
      <c r="C70" s="1361">
        <f t="shared" si="66"/>
        <v>616.36142365304534</v>
      </c>
      <c r="D70" s="1361">
        <f t="shared" si="66"/>
        <v>618.82286825438678</v>
      </c>
      <c r="E70" s="1361">
        <f t="shared" si="66"/>
        <v>612.099090910222</v>
      </c>
      <c r="F70" s="1361">
        <f t="shared" si="66"/>
        <v>616.29801868459401</v>
      </c>
      <c r="G70" s="1361">
        <f t="shared" si="66"/>
        <v>621.24320539507369</v>
      </c>
      <c r="H70" s="1361">
        <f t="shared" si="66"/>
        <v>626.2429324256583</v>
      </c>
      <c r="I70" s="1361">
        <f t="shared" si="66"/>
        <v>617.05431723545746</v>
      </c>
      <c r="J70" s="1361">
        <f t="shared" si="66"/>
        <v>622.3807272332258</v>
      </c>
      <c r="K70" s="1361">
        <f t="shared" si="66"/>
        <v>628.38335157122867</v>
      </c>
      <c r="L70" s="1361">
        <f t="shared" si="66"/>
        <v>634.4402049797493</v>
      </c>
      <c r="M70" s="1361">
        <f t="shared" si="66"/>
        <v>626.24688073295385</v>
      </c>
      <c r="N70" s="1361">
        <f t="shared" si="66"/>
        <v>632.42658954192314</v>
      </c>
      <c r="O70" s="1361">
        <f t="shared" si="66"/>
        <v>638.99723901644052</v>
      </c>
      <c r="P70" s="1361">
        <f t="shared" si="66"/>
        <v>645.61731009824246</v>
      </c>
      <c r="Q70" s="1361">
        <f t="shared" si="66"/>
        <v>633.523428193207</v>
      </c>
      <c r="R70" s="1361">
        <f t="shared" si="66"/>
        <v>640.25650370662379</v>
      </c>
      <c r="S70" s="1361">
        <f t="shared" si="66"/>
        <v>647.41562877392084</v>
      </c>
    </row>
    <row r="71" spans="1:19" s="1389" customFormat="1">
      <c r="A71" s="1386" t="s">
        <v>525</v>
      </c>
      <c r="B71" s="1387">
        <f t="shared" ref="B71:C71" si="67">SUM(B68:B70)</f>
        <v>61130.53909140786</v>
      </c>
      <c r="C71" s="1388">
        <f t="shared" si="67"/>
        <v>63532.895137735584</v>
      </c>
      <c r="D71" s="1388">
        <f t="shared" ref="D71:O71" si="68">SUM(D68:D70)</f>
        <v>61310.858708130967</v>
      </c>
      <c r="E71" s="1388">
        <f t="shared" si="68"/>
        <v>63031.44017278227</v>
      </c>
      <c r="F71" s="1388">
        <f t="shared" si="68"/>
        <v>65835.991982657171</v>
      </c>
      <c r="G71" s="1388">
        <f t="shared" si="68"/>
        <v>68445.613176397164</v>
      </c>
      <c r="H71" s="1388">
        <f t="shared" si="68"/>
        <v>69127.107385775307</v>
      </c>
      <c r="I71" s="1388">
        <f t="shared" si="68"/>
        <v>68905.980093870225</v>
      </c>
      <c r="J71" s="1388">
        <f t="shared" si="68"/>
        <v>69630.987069342737</v>
      </c>
      <c r="K71" s="1388">
        <f t="shared" si="68"/>
        <v>72148.88154164888</v>
      </c>
      <c r="L71" s="1388">
        <f t="shared" si="68"/>
        <v>72928.573155822407</v>
      </c>
      <c r="M71" s="1388">
        <f t="shared" si="68"/>
        <v>72893.466338248079</v>
      </c>
      <c r="N71" s="1388">
        <f t="shared" si="68"/>
        <v>73062.43983272466</v>
      </c>
      <c r="O71" s="1388">
        <f t="shared" si="68"/>
        <v>74830.769794094216</v>
      </c>
      <c r="P71" s="1388">
        <f t="shared" ref="P71:S71" si="69">SUM(P68:P70)</f>
        <v>75662.613442434071</v>
      </c>
      <c r="Q71" s="1388">
        <f t="shared" si="69"/>
        <v>75264.86634911962</v>
      </c>
      <c r="R71" s="1388">
        <f t="shared" si="69"/>
        <v>75448.561017164015</v>
      </c>
      <c r="S71" s="1388">
        <f t="shared" si="69"/>
        <v>77379.617161626345</v>
      </c>
    </row>
    <row r="72" spans="1:19" s="914" customFormat="1">
      <c r="A72" s="11" t="s">
        <v>526</v>
      </c>
      <c r="B72" s="1367">
        <f t="shared" ref="B72:O72" si="70">-B9</f>
        <v>-23293</v>
      </c>
      <c r="C72" s="1361">
        <f t="shared" si="70"/>
        <v>-23293</v>
      </c>
      <c r="D72" s="1361">
        <f t="shared" si="70"/>
        <v>-23293</v>
      </c>
      <c r="E72" s="1361">
        <f t="shared" si="70"/>
        <v>-23293</v>
      </c>
      <c r="F72" s="1361">
        <f t="shared" si="70"/>
        <v>-23293</v>
      </c>
      <c r="G72" s="1361">
        <f t="shared" si="70"/>
        <v>-23293</v>
      </c>
      <c r="H72" s="1361">
        <f t="shared" si="70"/>
        <v>-23293</v>
      </c>
      <c r="I72" s="1361">
        <f t="shared" si="70"/>
        <v>-23293</v>
      </c>
      <c r="J72" s="1361">
        <f t="shared" si="70"/>
        <v>-23293</v>
      </c>
      <c r="K72" s="1361">
        <f t="shared" si="70"/>
        <v>-23293</v>
      </c>
      <c r="L72" s="1361">
        <f t="shared" si="70"/>
        <v>-23293</v>
      </c>
      <c r="M72" s="1361">
        <f t="shared" si="70"/>
        <v>-23293</v>
      </c>
      <c r="N72" s="1361">
        <f t="shared" si="70"/>
        <v>-23293</v>
      </c>
      <c r="O72" s="1361">
        <f t="shared" si="70"/>
        <v>-23293</v>
      </c>
      <c r="P72" s="1361">
        <f t="shared" ref="P72:S72" si="71">-P9</f>
        <v>-23293</v>
      </c>
      <c r="Q72" s="1361">
        <f t="shared" si="71"/>
        <v>-23293</v>
      </c>
      <c r="R72" s="1361">
        <f t="shared" si="71"/>
        <v>-23293</v>
      </c>
      <c r="S72" s="1361">
        <f t="shared" si="71"/>
        <v>-23293</v>
      </c>
    </row>
    <row r="73" spans="1:19" s="7" customFormat="1">
      <c r="A73" s="1056" t="s">
        <v>527</v>
      </c>
      <c r="B73" s="1384">
        <f t="shared" ref="B73:O73" si="72">-B5</f>
        <v>-3809</v>
      </c>
      <c r="C73" s="1385">
        <f t="shared" si="72"/>
        <v>-3809</v>
      </c>
      <c r="D73" s="1385">
        <f t="shared" si="72"/>
        <v>-3809</v>
      </c>
      <c r="E73" s="1385">
        <f t="shared" si="72"/>
        <v>-3809</v>
      </c>
      <c r="F73" s="1385">
        <f t="shared" si="72"/>
        <v>-3809</v>
      </c>
      <c r="G73" s="1385">
        <f t="shared" si="72"/>
        <v>-3809</v>
      </c>
      <c r="H73" s="1385">
        <f t="shared" si="72"/>
        <v>-3809</v>
      </c>
      <c r="I73" s="1385">
        <f t="shared" si="72"/>
        <v>-3809</v>
      </c>
      <c r="J73" s="1385">
        <f t="shared" si="72"/>
        <v>-3809</v>
      </c>
      <c r="K73" s="1385">
        <f t="shared" si="72"/>
        <v>-3809</v>
      </c>
      <c r="L73" s="1385">
        <f t="shared" si="72"/>
        <v>-3809</v>
      </c>
      <c r="M73" s="1385">
        <f t="shared" si="72"/>
        <v>-3809</v>
      </c>
      <c r="N73" s="1385">
        <f t="shared" si="72"/>
        <v>-3809</v>
      </c>
      <c r="O73" s="1385">
        <f t="shared" si="72"/>
        <v>-3809</v>
      </c>
      <c r="P73" s="1385">
        <f t="shared" ref="P73:S73" si="73">-P5</f>
        <v>-3809</v>
      </c>
      <c r="Q73" s="1385">
        <f t="shared" si="73"/>
        <v>-3809</v>
      </c>
      <c r="R73" s="1385">
        <f t="shared" si="73"/>
        <v>-3809</v>
      </c>
      <c r="S73" s="1385">
        <f t="shared" si="73"/>
        <v>-3809</v>
      </c>
    </row>
    <row r="74" spans="1:19" s="914" customFormat="1">
      <c r="A74" s="11" t="s">
        <v>528</v>
      </c>
      <c r="B74" s="1367">
        <f t="shared" ref="B74:C74" si="74">B71+B72+B73</f>
        <v>34028.53909140786</v>
      </c>
      <c r="C74" s="1361">
        <f t="shared" si="74"/>
        <v>36430.895137735584</v>
      </c>
      <c r="D74" s="1361">
        <f t="shared" ref="D74:O74" si="75">D71+D72+D73</f>
        <v>34208.858708130967</v>
      </c>
      <c r="E74" s="1361">
        <f t="shared" si="75"/>
        <v>35929.44017278227</v>
      </c>
      <c r="F74" s="1361">
        <f t="shared" si="75"/>
        <v>38733.991982657171</v>
      </c>
      <c r="G74" s="1361">
        <f t="shared" si="75"/>
        <v>41343.613176397164</v>
      </c>
      <c r="H74" s="1361">
        <f t="shared" si="75"/>
        <v>42025.107385775307</v>
      </c>
      <c r="I74" s="1361">
        <f t="shared" si="75"/>
        <v>41803.980093870225</v>
      </c>
      <c r="J74" s="1361">
        <f t="shared" si="75"/>
        <v>42528.987069342737</v>
      </c>
      <c r="K74" s="1361">
        <f t="shared" si="75"/>
        <v>45046.88154164888</v>
      </c>
      <c r="L74" s="1361">
        <f t="shared" si="75"/>
        <v>45826.573155822407</v>
      </c>
      <c r="M74" s="1361">
        <f t="shared" si="75"/>
        <v>45791.466338248079</v>
      </c>
      <c r="N74" s="1361">
        <f t="shared" si="75"/>
        <v>45960.43983272466</v>
      </c>
      <c r="O74" s="1361">
        <f t="shared" si="75"/>
        <v>47728.769794094216</v>
      </c>
      <c r="P74" s="1361">
        <f t="shared" ref="P74:S74" si="76">P71+P72+P73</f>
        <v>48560.613442434071</v>
      </c>
      <c r="Q74" s="1361">
        <f t="shared" si="76"/>
        <v>48162.86634911962</v>
      </c>
      <c r="R74" s="1361">
        <f t="shared" si="76"/>
        <v>48346.561017164015</v>
      </c>
      <c r="S74" s="1361">
        <f t="shared" si="76"/>
        <v>50277.617161626345</v>
      </c>
    </row>
    <row r="75" spans="1:19" s="914" customFormat="1">
      <c r="A75" s="11" t="s">
        <v>529</v>
      </c>
      <c r="B75" s="1367">
        <f>Model!AG156*Model!AG155</f>
        <v>0</v>
      </c>
      <c r="C75" s="1361">
        <f>Model!AH156*Model!AH155</f>
        <v>0</v>
      </c>
      <c r="D75" s="1361">
        <f>Model!AI156*Model!AI155</f>
        <v>0</v>
      </c>
      <c r="E75" s="1361">
        <f>Model!AJ156*Model!AJ155</f>
        <v>0</v>
      </c>
      <c r="F75" s="1361">
        <f>Model!AK156*Model!AK155</f>
        <v>0</v>
      </c>
      <c r="G75" s="1361">
        <f>Model!AL156*Model!AL155</f>
        <v>0</v>
      </c>
      <c r="H75" s="1361">
        <f>Model!AM156*Model!AM155</f>
        <v>0</v>
      </c>
      <c r="I75" s="1361">
        <f>Model!AN156*Model!AN155</f>
        <v>0</v>
      </c>
      <c r="J75" s="1361">
        <f>Model!AO156*Model!AO155</f>
        <v>0</v>
      </c>
      <c r="K75" s="1361">
        <f>Model!AP156*Model!AP155</f>
        <v>0</v>
      </c>
      <c r="L75" s="1361">
        <f>Model!AQ156*Model!AQ155</f>
        <v>0</v>
      </c>
      <c r="M75" s="1361">
        <f>Model!AR156*Model!AR155</f>
        <v>0</v>
      </c>
      <c r="N75" s="1361">
        <f>Model!AS156*Model!AS155</f>
        <v>0</v>
      </c>
      <c r="O75" s="1361">
        <f>Model!AT156*Model!AT155</f>
        <v>0</v>
      </c>
      <c r="P75" s="1361">
        <f>Model!AU156*Model!AU155</f>
        <v>0</v>
      </c>
      <c r="Q75" s="1361">
        <f>Model!AV156*Model!AV155</f>
        <v>0</v>
      </c>
      <c r="R75" s="1361">
        <f>Model!AW156*Model!AW155</f>
        <v>0</v>
      </c>
      <c r="S75" s="1361">
        <f>Model!AX156*Model!AX155</f>
        <v>0</v>
      </c>
    </row>
    <row r="76" spans="1:19">
      <c r="B76" s="1377"/>
      <c r="C76" s="930"/>
      <c r="D76" s="930"/>
      <c r="E76" s="930"/>
      <c r="F76" s="930"/>
      <c r="G76" s="930"/>
      <c r="H76" s="930"/>
      <c r="I76" s="930"/>
      <c r="J76" s="930"/>
      <c r="K76" s="930"/>
      <c r="L76" s="930"/>
      <c r="M76" s="930"/>
      <c r="N76" s="930"/>
      <c r="O76" s="930"/>
      <c r="P76" s="930"/>
      <c r="Q76" s="930"/>
      <c r="R76" s="930"/>
      <c r="S76" s="930"/>
    </row>
    <row r="77" spans="1:19">
      <c r="A77" s="2" t="s">
        <v>535</v>
      </c>
      <c r="B77" s="1378">
        <f>B74/Model!AF155</f>
        <v>13.317889355175085</v>
      </c>
      <c r="C77" s="931">
        <f>C74/Model!AG155</f>
        <v>14.258109325558916</v>
      </c>
      <c r="D77" s="931">
        <f>D74/Model!AH155</f>
        <v>13.388461785499969</v>
      </c>
      <c r="E77" s="931">
        <f>E74/Model!AI155</f>
        <v>14.061852832680627</v>
      </c>
      <c r="F77" s="1390">
        <f>F74/Model!AJ155</f>
        <v>15.159481813884847</v>
      </c>
      <c r="G77" s="1390">
        <f>G74/Model!AK155</f>
        <v>16.180819997807195</v>
      </c>
      <c r="H77" s="1390">
        <f>H74/Model!AL155</f>
        <v>16.447539190550394</v>
      </c>
      <c r="I77" s="1390">
        <f>I74/Model!AM155</f>
        <v>16.360995692485705</v>
      </c>
      <c r="J77" s="1390">
        <f>J74/Model!AN155</f>
        <v>16.64474465552923</v>
      </c>
      <c r="K77" s="1390">
        <f>K74/Model!AO155</f>
        <v>17.630183375072946</v>
      </c>
      <c r="L77" s="1390">
        <f>L74/Model!AP155</f>
        <v>17.935334490165712</v>
      </c>
      <c r="M77" s="1390">
        <f>M74/Model!AQ155</f>
        <v>17.92159459052408</v>
      </c>
      <c r="N77" s="1390">
        <f>N74/Model!AR155</f>
        <v>17.98772644230154</v>
      </c>
      <c r="O77" s="1390">
        <f>O74/Model!AS155</f>
        <v>18.679805015104776</v>
      </c>
      <c r="P77" s="1390">
        <f>P74/Model!AT155</f>
        <v>19.005367086389601</v>
      </c>
      <c r="Q77" s="1390">
        <f>Q74/Model!AU155</f>
        <v>18.849699169942319</v>
      </c>
      <c r="R77" s="1390">
        <f>R74/Model!AV155</f>
        <v>18.921592507989519</v>
      </c>
      <c r="S77" s="1390">
        <f>S74/Model!AW155</f>
        <v>19.677357896609269</v>
      </c>
    </row>
    <row r="78" spans="1:19" s="9" customFormat="1">
      <c r="A78" s="9" t="s">
        <v>536</v>
      </c>
      <c r="B78" s="1379"/>
      <c r="C78" s="932"/>
      <c r="D78" s="932"/>
      <c r="E78" s="932"/>
      <c r="F78" s="932"/>
      <c r="G78" s="932"/>
      <c r="H78" s="932"/>
      <c r="I78" s="932"/>
      <c r="J78" s="932"/>
      <c r="K78" s="932"/>
      <c r="L78" s="932"/>
      <c r="M78" s="932"/>
      <c r="N78" s="932"/>
      <c r="O78" s="932"/>
      <c r="P78" s="932"/>
      <c r="Q78" s="932"/>
      <c r="R78" s="932"/>
      <c r="S78" s="932"/>
    </row>
    <row r="79" spans="1:19">
      <c r="B79" s="1378"/>
      <c r="C79" s="931"/>
      <c r="D79" s="931"/>
      <c r="E79" s="931"/>
      <c r="F79" s="931"/>
      <c r="G79" s="931"/>
      <c r="H79" s="931"/>
      <c r="I79" s="931"/>
      <c r="J79" s="931"/>
      <c r="K79" s="931"/>
      <c r="L79" s="931"/>
      <c r="M79" s="931"/>
      <c r="N79" s="931"/>
      <c r="O79" s="931"/>
      <c r="P79" s="931"/>
      <c r="Q79" s="931"/>
      <c r="R79" s="931"/>
      <c r="S79" s="931"/>
    </row>
    <row r="80" spans="1:19">
      <c r="B80" s="1380"/>
      <c r="C80" s="933"/>
      <c r="D80" s="933"/>
      <c r="E80" s="933"/>
      <c r="F80" s="933"/>
      <c r="G80" s="933"/>
      <c r="H80" s="933"/>
      <c r="I80" s="933"/>
      <c r="J80" s="933"/>
      <c r="K80" s="933"/>
      <c r="L80" s="933"/>
      <c r="M80" s="933"/>
      <c r="N80" s="933"/>
      <c r="O80" s="933"/>
      <c r="P80" s="933"/>
      <c r="Q80" s="933"/>
      <c r="R80" s="933"/>
      <c r="S80" s="933"/>
    </row>
    <row r="81" spans="1:19">
      <c r="A81" t="s">
        <v>530</v>
      </c>
      <c r="B81" s="1381"/>
      <c r="C81" s="934"/>
      <c r="D81" s="934"/>
      <c r="E81" s="934"/>
      <c r="F81" s="934"/>
      <c r="G81" s="934"/>
      <c r="H81" s="934"/>
      <c r="I81" s="934"/>
      <c r="J81" s="934"/>
      <c r="K81" s="934"/>
      <c r="L81" s="934"/>
      <c r="M81" s="934"/>
      <c r="N81" s="934"/>
      <c r="O81" s="934"/>
      <c r="P81" s="934"/>
      <c r="Q81" s="934"/>
      <c r="R81" s="934"/>
      <c r="S81" s="934"/>
    </row>
    <row r="82" spans="1:19">
      <c r="A82" s="851">
        <v>1</v>
      </c>
      <c r="B82" s="1372">
        <f t="shared" ref="B82:O82" si="77">B62+(B65-B62)/10</f>
        <v>-3.7076384567714116E-2</v>
      </c>
      <c r="C82" s="150">
        <f t="shared" si="77"/>
        <v>-2.3132072719396136E-2</v>
      </c>
      <c r="D82" s="150">
        <f>D62+(D65-D62)/10</f>
        <v>-3.2183847820566013E-2</v>
      </c>
      <c r="E82" s="150">
        <f t="shared" si="77"/>
        <v>-2.2462579078936978E-2</v>
      </c>
      <c r="F82" s="150">
        <f t="shared" si="77"/>
        <v>-1.5089677924624935E-2</v>
      </c>
      <c r="G82" s="150">
        <f t="shared" si="77"/>
        <v>-8.9783514622975222E-3</v>
      </c>
      <c r="H82" s="150">
        <f t="shared" si="77"/>
        <v>-9.5768202241541863E-3</v>
      </c>
      <c r="I82" s="150">
        <f t="shared" si="77"/>
        <v>-4.8784437427443874E-3</v>
      </c>
      <c r="J82" s="150">
        <f t="shared" si="77"/>
        <v>-5.5898793422282326E-3</v>
      </c>
      <c r="K82" s="150">
        <f t="shared" si="77"/>
        <v>-6.1934940695570768E-4</v>
      </c>
      <c r="L82" s="150">
        <f t="shared" si="77"/>
        <v>-1.5876514648371491E-3</v>
      </c>
      <c r="M82" s="150">
        <f t="shared" si="77"/>
        <v>3.1891873687167572E-3</v>
      </c>
      <c r="N82" s="150">
        <f t="shared" si="77"/>
        <v>4.1960324915789245E-5</v>
      </c>
      <c r="O82" s="150">
        <f t="shared" si="77"/>
        <v>2.0345263442407349E-3</v>
      </c>
      <c r="P82" s="150">
        <f t="shared" ref="P82:S82" si="78">P62+(P65-P62)/10</f>
        <v>9.2213308709412206E-4</v>
      </c>
      <c r="Q82" s="150">
        <f t="shared" si="78"/>
        <v>6.7288805204109405E-3</v>
      </c>
      <c r="R82" s="150">
        <f t="shared" si="78"/>
        <v>3.3247712186325563E-3</v>
      </c>
      <c r="S82" s="150">
        <f t="shared" si="78"/>
        <v>5.4317963834658884E-3</v>
      </c>
    </row>
    <row r="83" spans="1:19">
      <c r="A83" s="851">
        <v>2</v>
      </c>
      <c r="B83" s="1372">
        <f t="shared" ref="B83:B97" si="79">B82+(B$65-B$62)/10</f>
        <v>-3.2845675171301436E-2</v>
      </c>
      <c r="C83" s="150">
        <f t="shared" ref="C83:C97" si="80">C82+(C$65-C$62)/10</f>
        <v>-2.0450731306129899E-2</v>
      </c>
      <c r="D83" s="150">
        <f t="shared" ref="D83:D97" si="81">D82+(D$65-D$62)/10</f>
        <v>-2.8496753618280898E-2</v>
      </c>
      <c r="E83" s="150">
        <f t="shared" ref="E83:E97" si="82">E82+(E$65-E$62)/10</f>
        <v>-1.9855625847943981E-2</v>
      </c>
      <c r="F83" s="150">
        <f t="shared" ref="F83:F97" si="83">F82+(F$65-F$62)/10</f>
        <v>-1.3301935932999942E-2</v>
      </c>
      <c r="G83" s="150">
        <f t="shared" ref="G83:G97" si="84">G82+(G$65-G$62)/10</f>
        <v>-7.8696457442644641E-3</v>
      </c>
      <c r="H83" s="150">
        <f t="shared" ref="H83:H97" si="85">H82+(H$65-H$62)/10</f>
        <v>-8.4016179770259429E-3</v>
      </c>
      <c r="I83" s="150">
        <f t="shared" ref="I83:I97" si="86">I82+(I$65-I$62)/10</f>
        <v>-4.2252833268839E-3</v>
      </c>
      <c r="J83" s="150">
        <f t="shared" ref="J83:J97" si="87">J82+(J$65-J$62)/10</f>
        <v>-4.8576705264250959E-3</v>
      </c>
      <c r="K83" s="150">
        <f t="shared" ref="K83:K97" si="88">K82+(K$65-K$62)/10</f>
        <v>-4.3942169507174013E-4</v>
      </c>
      <c r="L83" s="150">
        <f t="shared" ref="L83:L97" si="89">L82+(L$65-L$62)/10</f>
        <v>-1.3001346354107992E-3</v>
      </c>
      <c r="M83" s="150">
        <f t="shared" ref="M83:M97" si="90">M82+(M$65-M$62)/10</f>
        <v>2.9459443277482286E-3</v>
      </c>
      <c r="N83" s="150">
        <f t="shared" ref="N83:S97" si="91">N82+(N$65-N$62)/10</f>
        <v>1.4840917770292378E-4</v>
      </c>
      <c r="O83" s="150">
        <f t="shared" ref="O83:S91" si="92">O82+(O$65-O$62)/10</f>
        <v>1.9195789726584311E-3</v>
      </c>
      <c r="P83" s="150">
        <f t="shared" si="92"/>
        <v>9.3078496630588626E-4</v>
      </c>
      <c r="Q83" s="150">
        <f t="shared" si="92"/>
        <v>6.0923382403652807E-3</v>
      </c>
      <c r="R83" s="150">
        <f t="shared" si="92"/>
        <v>3.0664633054511611E-3</v>
      </c>
      <c r="S83" s="150">
        <f t="shared" si="92"/>
        <v>4.9393745630807902E-3</v>
      </c>
    </row>
    <row r="84" spans="1:19">
      <c r="A84" s="851">
        <v>3</v>
      </c>
      <c r="B84" s="1372">
        <f t="shared" si="79"/>
        <v>-2.8614965774888756E-2</v>
      </c>
      <c r="C84" s="150">
        <f t="shared" si="80"/>
        <v>-1.7769389892863661E-2</v>
      </c>
      <c r="D84" s="150">
        <f t="shared" si="81"/>
        <v>-2.4809659415995784E-2</v>
      </c>
      <c r="E84" s="150">
        <f t="shared" si="82"/>
        <v>-1.7248672616950983E-2</v>
      </c>
      <c r="F84" s="150">
        <f t="shared" si="83"/>
        <v>-1.1514193941374949E-2</v>
      </c>
      <c r="G84" s="150">
        <f t="shared" si="84"/>
        <v>-6.7609400262314059E-3</v>
      </c>
      <c r="H84" s="150">
        <f t="shared" si="85"/>
        <v>-7.2264157298976995E-3</v>
      </c>
      <c r="I84" s="150">
        <f t="shared" si="86"/>
        <v>-3.5721229110234126E-3</v>
      </c>
      <c r="J84" s="150">
        <f t="shared" si="87"/>
        <v>-4.1254617106219593E-3</v>
      </c>
      <c r="K84" s="150">
        <f t="shared" si="88"/>
        <v>-2.5949398318777259E-4</v>
      </c>
      <c r="L84" s="150">
        <f t="shared" si="89"/>
        <v>-1.0126178059844493E-3</v>
      </c>
      <c r="M84" s="150">
        <f t="shared" si="90"/>
        <v>2.7027012867796999E-3</v>
      </c>
      <c r="N84" s="150">
        <f t="shared" si="91"/>
        <v>2.5485803049005835E-4</v>
      </c>
      <c r="O84" s="150">
        <f t="shared" si="92"/>
        <v>1.8046316010761274E-3</v>
      </c>
      <c r="P84" s="150">
        <f t="shared" si="92"/>
        <v>9.3943684551765045E-4</v>
      </c>
      <c r="Q84" s="150">
        <f t="shared" si="92"/>
        <v>5.455795960319621E-3</v>
      </c>
      <c r="R84" s="150">
        <f t="shared" si="92"/>
        <v>2.8081553922697658E-3</v>
      </c>
      <c r="S84" s="150">
        <f t="shared" si="92"/>
        <v>4.4469527426956919E-3</v>
      </c>
    </row>
    <row r="85" spans="1:19">
      <c r="A85" s="851">
        <v>4</v>
      </c>
      <c r="B85" s="1372">
        <f t="shared" si="79"/>
        <v>-2.4384256378476077E-2</v>
      </c>
      <c r="C85" s="150">
        <f t="shared" si="80"/>
        <v>-1.5088048479597424E-2</v>
      </c>
      <c r="D85" s="150">
        <f t="shared" si="81"/>
        <v>-2.112256521371067E-2</v>
      </c>
      <c r="E85" s="150">
        <f t="shared" si="82"/>
        <v>-1.4641719385957985E-2</v>
      </c>
      <c r="F85" s="150">
        <f t="shared" si="83"/>
        <v>-9.7264519497499563E-3</v>
      </c>
      <c r="G85" s="150">
        <f t="shared" si="84"/>
        <v>-5.6522343081983478E-3</v>
      </c>
      <c r="H85" s="150">
        <f t="shared" si="85"/>
        <v>-6.0512134827694561E-3</v>
      </c>
      <c r="I85" s="150">
        <f t="shared" si="86"/>
        <v>-2.9189624951629252E-3</v>
      </c>
      <c r="J85" s="150">
        <f t="shared" si="87"/>
        <v>-3.3932528948188226E-3</v>
      </c>
      <c r="K85" s="150">
        <f t="shared" si="88"/>
        <v>-7.9566271303805068E-5</v>
      </c>
      <c r="L85" s="150">
        <f t="shared" si="89"/>
        <v>-7.2510097655809937E-4</v>
      </c>
      <c r="M85" s="150">
        <f t="shared" si="90"/>
        <v>2.4594582458111712E-3</v>
      </c>
      <c r="N85" s="150">
        <f t="shared" si="91"/>
        <v>3.6130688327719286E-4</v>
      </c>
      <c r="O85" s="150">
        <f t="shared" si="92"/>
        <v>1.6896842294938236E-3</v>
      </c>
      <c r="P85" s="150">
        <f t="shared" si="92"/>
        <v>9.4808872472941464E-4</v>
      </c>
      <c r="Q85" s="150">
        <f t="shared" si="92"/>
        <v>4.8192536802739612E-3</v>
      </c>
      <c r="R85" s="150">
        <f t="shared" si="92"/>
        <v>2.5498474790883706E-3</v>
      </c>
      <c r="S85" s="150">
        <f t="shared" si="92"/>
        <v>3.9545309223105937E-3</v>
      </c>
    </row>
    <row r="86" spans="1:19">
      <c r="A86" s="851">
        <v>5</v>
      </c>
      <c r="B86" s="1372">
        <f t="shared" si="79"/>
        <v>-2.0153546982063397E-2</v>
      </c>
      <c r="C86" s="150">
        <f t="shared" si="80"/>
        <v>-1.2406707066331187E-2</v>
      </c>
      <c r="D86" s="150">
        <f t="shared" si="81"/>
        <v>-1.7435471011425556E-2</v>
      </c>
      <c r="E86" s="150">
        <f t="shared" si="82"/>
        <v>-1.2034766154964988E-2</v>
      </c>
      <c r="F86" s="150">
        <f t="shared" si="83"/>
        <v>-7.9387099581249634E-3</v>
      </c>
      <c r="G86" s="150">
        <f t="shared" si="84"/>
        <v>-4.5435285901652897E-3</v>
      </c>
      <c r="H86" s="150">
        <f t="shared" si="85"/>
        <v>-4.8760112356412127E-3</v>
      </c>
      <c r="I86" s="150">
        <f t="shared" si="86"/>
        <v>-2.2658020793024378E-3</v>
      </c>
      <c r="J86" s="150">
        <f t="shared" si="87"/>
        <v>-2.6610440790156859E-3</v>
      </c>
      <c r="K86" s="150">
        <f t="shared" si="88"/>
        <v>1.0036144058016245E-4</v>
      </c>
      <c r="L86" s="150">
        <f t="shared" si="89"/>
        <v>-4.3758414713174947E-4</v>
      </c>
      <c r="M86" s="150">
        <f t="shared" si="90"/>
        <v>2.2162152048426425E-3</v>
      </c>
      <c r="N86" s="150">
        <f t="shared" si="91"/>
        <v>4.6775573606432736E-4</v>
      </c>
      <c r="O86" s="150">
        <f t="shared" si="92"/>
        <v>1.5747368579115198E-3</v>
      </c>
      <c r="P86" s="150">
        <f t="shared" si="92"/>
        <v>9.5674060394117884E-4</v>
      </c>
      <c r="Q86" s="150">
        <f t="shared" si="92"/>
        <v>4.1827114002283014E-3</v>
      </c>
      <c r="R86" s="150">
        <f t="shared" si="92"/>
        <v>2.2915395659069753E-3</v>
      </c>
      <c r="S86" s="150">
        <f t="shared" si="92"/>
        <v>3.4621091019254951E-3</v>
      </c>
    </row>
    <row r="87" spans="1:19">
      <c r="A87" s="851">
        <v>6</v>
      </c>
      <c r="B87" s="1372">
        <f t="shared" si="79"/>
        <v>-1.5922837585650718E-2</v>
      </c>
      <c r="C87" s="150">
        <f t="shared" si="80"/>
        <v>-9.725365653064949E-3</v>
      </c>
      <c r="D87" s="150">
        <f t="shared" si="81"/>
        <v>-1.3748376809140444E-2</v>
      </c>
      <c r="E87" s="150">
        <f t="shared" si="82"/>
        <v>-9.4278129239719899E-3</v>
      </c>
      <c r="F87" s="150">
        <f t="shared" si="83"/>
        <v>-6.1509679664999706E-3</v>
      </c>
      <c r="G87" s="150">
        <f t="shared" si="84"/>
        <v>-3.4348228721322316E-3</v>
      </c>
      <c r="H87" s="150">
        <f t="shared" si="85"/>
        <v>-3.7008089885129697E-3</v>
      </c>
      <c r="I87" s="150">
        <f t="shared" si="86"/>
        <v>-1.6126416634419504E-3</v>
      </c>
      <c r="J87" s="150">
        <f t="shared" si="87"/>
        <v>-1.928835263212549E-3</v>
      </c>
      <c r="K87" s="150">
        <f t="shared" si="88"/>
        <v>2.8028915246412994E-4</v>
      </c>
      <c r="L87" s="150">
        <f t="shared" si="89"/>
        <v>-1.5006731770539957E-4</v>
      </c>
      <c r="M87" s="150">
        <f t="shared" si="90"/>
        <v>1.9729721638741139E-3</v>
      </c>
      <c r="N87" s="150">
        <f t="shared" si="91"/>
        <v>5.7420458885146187E-4</v>
      </c>
      <c r="O87" s="150">
        <f t="shared" si="92"/>
        <v>1.459789486329216E-3</v>
      </c>
      <c r="P87" s="150">
        <f t="shared" si="92"/>
        <v>9.6539248315294303E-4</v>
      </c>
      <c r="Q87" s="150">
        <f t="shared" si="92"/>
        <v>3.5461691201826417E-3</v>
      </c>
      <c r="R87" s="150">
        <f t="shared" si="92"/>
        <v>2.0332316527255801E-3</v>
      </c>
      <c r="S87" s="150">
        <f t="shared" si="92"/>
        <v>2.9696872815403964E-3</v>
      </c>
    </row>
    <row r="88" spans="1:19">
      <c r="A88" s="851">
        <v>7</v>
      </c>
      <c r="B88" s="1372">
        <f t="shared" si="79"/>
        <v>-1.1692128189238038E-2</v>
      </c>
      <c r="C88" s="150">
        <f t="shared" si="80"/>
        <v>-7.0440242397987116E-3</v>
      </c>
      <c r="D88" s="150">
        <f t="shared" si="81"/>
        <v>-1.0061282606855331E-2</v>
      </c>
      <c r="E88" s="150">
        <f t="shared" si="82"/>
        <v>-6.8208596929789922E-3</v>
      </c>
      <c r="F88" s="150">
        <f t="shared" si="83"/>
        <v>-4.3632259748749777E-3</v>
      </c>
      <c r="G88" s="150">
        <f t="shared" si="84"/>
        <v>-2.3261171540991735E-3</v>
      </c>
      <c r="H88" s="150">
        <f t="shared" si="85"/>
        <v>-2.5256067413847267E-3</v>
      </c>
      <c r="I88" s="150">
        <f t="shared" si="86"/>
        <v>-9.5948124758146291E-4</v>
      </c>
      <c r="J88" s="150">
        <f t="shared" si="87"/>
        <v>-1.1966264474094121E-3</v>
      </c>
      <c r="K88" s="150">
        <f t="shared" si="88"/>
        <v>4.6021686434809749E-4</v>
      </c>
      <c r="L88" s="150">
        <f t="shared" si="89"/>
        <v>1.3744951172095033E-4</v>
      </c>
      <c r="M88" s="150">
        <f t="shared" si="90"/>
        <v>1.7297291229055852E-3</v>
      </c>
      <c r="N88" s="150">
        <f t="shared" si="91"/>
        <v>6.8065344163859638E-4</v>
      </c>
      <c r="O88" s="150">
        <f t="shared" si="92"/>
        <v>1.3448421147469122E-3</v>
      </c>
      <c r="P88" s="150">
        <f t="shared" si="92"/>
        <v>9.7404436236470722E-4</v>
      </c>
      <c r="Q88" s="150">
        <f t="shared" si="92"/>
        <v>2.9096268401369819E-3</v>
      </c>
      <c r="R88" s="150">
        <f t="shared" si="92"/>
        <v>1.7749237395441849E-3</v>
      </c>
      <c r="S88" s="150">
        <f t="shared" si="92"/>
        <v>2.4772654611552977E-3</v>
      </c>
    </row>
    <row r="89" spans="1:19">
      <c r="A89" s="851">
        <v>8</v>
      </c>
      <c r="B89" s="1372">
        <f t="shared" si="79"/>
        <v>-7.4614187928253584E-3</v>
      </c>
      <c r="C89" s="150">
        <f t="shared" si="80"/>
        <v>-4.3626828265324741E-3</v>
      </c>
      <c r="D89" s="150">
        <f t="shared" si="81"/>
        <v>-6.3741884045702187E-3</v>
      </c>
      <c r="E89" s="150">
        <f t="shared" si="82"/>
        <v>-4.2139064619859945E-3</v>
      </c>
      <c r="F89" s="150">
        <f t="shared" si="83"/>
        <v>-2.5754839832499848E-3</v>
      </c>
      <c r="G89" s="150">
        <f t="shared" si="84"/>
        <v>-1.2174114360661153E-3</v>
      </c>
      <c r="H89" s="150">
        <f t="shared" si="85"/>
        <v>-1.3504044942564838E-3</v>
      </c>
      <c r="I89" s="150">
        <f t="shared" si="86"/>
        <v>-3.0632083172097541E-4</v>
      </c>
      <c r="J89" s="150">
        <f t="shared" si="87"/>
        <v>-4.6441763160627527E-4</v>
      </c>
      <c r="K89" s="150">
        <f t="shared" si="88"/>
        <v>6.4014457623206504E-4</v>
      </c>
      <c r="L89" s="150">
        <f t="shared" si="89"/>
        <v>4.2496634114730023E-4</v>
      </c>
      <c r="M89" s="150">
        <f t="shared" si="90"/>
        <v>1.4864860819370565E-3</v>
      </c>
      <c r="N89" s="150">
        <f t="shared" si="91"/>
        <v>7.8710229442573089E-4</v>
      </c>
      <c r="O89" s="150">
        <f t="shared" si="92"/>
        <v>1.2298947431646085E-3</v>
      </c>
      <c r="P89" s="150">
        <f t="shared" si="92"/>
        <v>9.8269624157647142E-4</v>
      </c>
      <c r="Q89" s="150">
        <f t="shared" si="92"/>
        <v>2.2730845600913221E-3</v>
      </c>
      <c r="R89" s="150">
        <f t="shared" si="92"/>
        <v>1.5166158263627896E-3</v>
      </c>
      <c r="S89" s="150">
        <f t="shared" si="92"/>
        <v>1.9848436407701991E-3</v>
      </c>
    </row>
    <row r="90" spans="1:19">
      <c r="A90" s="851">
        <v>9</v>
      </c>
      <c r="B90" s="1372">
        <f t="shared" si="79"/>
        <v>-3.2307093964126787E-3</v>
      </c>
      <c r="C90" s="150">
        <f t="shared" si="80"/>
        <v>-1.6813414132662366E-3</v>
      </c>
      <c r="D90" s="150">
        <f t="shared" si="81"/>
        <v>-2.6870942022851059E-3</v>
      </c>
      <c r="E90" s="150">
        <f t="shared" si="82"/>
        <v>-1.6069532309929968E-3</v>
      </c>
      <c r="F90" s="150">
        <f t="shared" si="83"/>
        <v>-7.8774199162499198E-4</v>
      </c>
      <c r="G90" s="150">
        <f t="shared" si="84"/>
        <v>-1.0870571803305723E-4</v>
      </c>
      <c r="H90" s="150">
        <f t="shared" si="85"/>
        <v>-1.7520224712824078E-4</v>
      </c>
      <c r="I90" s="150">
        <f t="shared" si="86"/>
        <v>3.4683958413951209E-4</v>
      </c>
      <c r="J90" s="150">
        <f t="shared" si="87"/>
        <v>2.6779118419686162E-4</v>
      </c>
      <c r="K90" s="150">
        <f t="shared" si="88"/>
        <v>8.2007228811603258E-4</v>
      </c>
      <c r="L90" s="150">
        <f t="shared" si="89"/>
        <v>7.1248317057365012E-4</v>
      </c>
      <c r="M90" s="150">
        <f t="shared" si="90"/>
        <v>1.2432430409685278E-3</v>
      </c>
      <c r="N90" s="150">
        <f t="shared" si="91"/>
        <v>8.935511472128654E-4</v>
      </c>
      <c r="O90" s="150">
        <f t="shared" si="92"/>
        <v>1.1149473715823047E-3</v>
      </c>
      <c r="P90" s="150">
        <f t="shared" si="92"/>
        <v>9.9134812078823572E-4</v>
      </c>
      <c r="Q90" s="150">
        <f t="shared" si="92"/>
        <v>1.6365422800456622E-3</v>
      </c>
      <c r="R90" s="150">
        <f t="shared" si="92"/>
        <v>1.2583079131813944E-3</v>
      </c>
      <c r="S90" s="150">
        <f t="shared" si="92"/>
        <v>1.4924218203851004E-3</v>
      </c>
    </row>
    <row r="91" spans="1:19">
      <c r="A91" s="851">
        <v>10</v>
      </c>
      <c r="B91" s="1372">
        <f t="shared" si="79"/>
        <v>1.0000000000000009E-3</v>
      </c>
      <c r="C91" s="150">
        <f t="shared" si="80"/>
        <v>1.0000000000000009E-3</v>
      </c>
      <c r="D91" s="150">
        <f t="shared" si="81"/>
        <v>1.000000000000007E-3</v>
      </c>
      <c r="E91" s="150">
        <f t="shared" si="82"/>
        <v>1.0000000000000009E-3</v>
      </c>
      <c r="F91" s="150">
        <f t="shared" si="83"/>
        <v>1.0000000000000009E-3</v>
      </c>
      <c r="G91" s="150">
        <f t="shared" si="84"/>
        <v>1.0000000000000009E-3</v>
      </c>
      <c r="H91" s="150">
        <f t="shared" si="85"/>
        <v>1.0000000000000022E-3</v>
      </c>
      <c r="I91" s="150">
        <f t="shared" si="86"/>
        <v>9.9999999999999959E-4</v>
      </c>
      <c r="J91" s="150">
        <f t="shared" si="87"/>
        <v>9.999999999999985E-4</v>
      </c>
      <c r="K91" s="150">
        <f t="shared" si="88"/>
        <v>1E-3</v>
      </c>
      <c r="L91" s="150">
        <f t="shared" si="89"/>
        <v>1E-3</v>
      </c>
      <c r="M91" s="150">
        <f t="shared" si="90"/>
        <v>9.9999999999999915E-4</v>
      </c>
      <c r="N91" s="150">
        <f t="shared" si="91"/>
        <v>1E-3</v>
      </c>
      <c r="O91" s="150">
        <f t="shared" si="92"/>
        <v>1.0000000000000009E-3</v>
      </c>
      <c r="P91" s="150">
        <f t="shared" si="92"/>
        <v>1E-3</v>
      </c>
      <c r="Q91" s="150">
        <f t="shared" si="92"/>
        <v>1.0000000000000022E-3</v>
      </c>
      <c r="R91" s="150">
        <f t="shared" si="92"/>
        <v>9.9999999999999915E-4</v>
      </c>
      <c r="S91" s="150">
        <f t="shared" si="92"/>
        <v>1.0000000000000018E-3</v>
      </c>
    </row>
    <row r="92" spans="1:19" s="851" customFormat="1">
      <c r="A92" s="851">
        <v>11</v>
      </c>
      <c r="B92" s="1372">
        <f t="shared" si="79"/>
        <v>5.2307093964126805E-3</v>
      </c>
      <c r="C92" s="150">
        <f t="shared" si="80"/>
        <v>3.6813414132662384E-3</v>
      </c>
      <c r="D92" s="150">
        <f t="shared" si="81"/>
        <v>4.6870942022851202E-3</v>
      </c>
      <c r="E92" s="150">
        <f t="shared" si="82"/>
        <v>3.6069532309929986E-3</v>
      </c>
      <c r="F92" s="150">
        <f t="shared" si="83"/>
        <v>2.7877419916249938E-3</v>
      </c>
      <c r="G92" s="150">
        <f t="shared" si="84"/>
        <v>2.108705718033059E-3</v>
      </c>
      <c r="H92" s="150">
        <f t="shared" si="85"/>
        <v>2.1752022471282452E-3</v>
      </c>
      <c r="I92" s="150">
        <f t="shared" si="86"/>
        <v>1.653160415860487E-3</v>
      </c>
      <c r="J92" s="150">
        <f t="shared" si="87"/>
        <v>1.7322088158031354E-3</v>
      </c>
      <c r="K92" s="150">
        <f t="shared" si="88"/>
        <v>1.1799277118839675E-3</v>
      </c>
      <c r="L92" s="150">
        <f t="shared" si="89"/>
        <v>1.2875168294263499E-3</v>
      </c>
      <c r="M92" s="150">
        <f t="shared" si="90"/>
        <v>7.5675695903147059E-4</v>
      </c>
      <c r="N92" s="150">
        <f t="shared" si="91"/>
        <v>1.1064488527871346E-3</v>
      </c>
      <c r="O92" s="150">
        <f t="shared" si="91"/>
        <v>8.85052628417697E-4</v>
      </c>
      <c r="P92" s="150">
        <f t="shared" si="91"/>
        <v>1.0086518792117643E-3</v>
      </c>
      <c r="Q92" s="150">
        <f t="shared" si="91"/>
        <v>3.6345771995434221E-4</v>
      </c>
      <c r="R92" s="150">
        <f t="shared" si="91"/>
        <v>7.4169208681860402E-4</v>
      </c>
      <c r="S92" s="150">
        <f t="shared" si="91"/>
        <v>5.0757817961490309E-4</v>
      </c>
    </row>
    <row r="93" spans="1:19" s="851" customFormat="1">
      <c r="A93" s="851">
        <v>12</v>
      </c>
      <c r="B93" s="1372">
        <f t="shared" si="79"/>
        <v>9.4614187928253601E-3</v>
      </c>
      <c r="C93" s="150">
        <f t="shared" si="80"/>
        <v>6.3626828265324759E-3</v>
      </c>
      <c r="D93" s="150">
        <f t="shared" si="81"/>
        <v>8.3741884045702326E-3</v>
      </c>
      <c r="E93" s="150">
        <f t="shared" si="82"/>
        <v>6.2139064619859963E-3</v>
      </c>
      <c r="F93" s="150">
        <f t="shared" si="83"/>
        <v>4.5754839832499866E-3</v>
      </c>
      <c r="G93" s="150">
        <f t="shared" si="84"/>
        <v>3.2174114360661171E-3</v>
      </c>
      <c r="H93" s="150">
        <f t="shared" si="85"/>
        <v>3.3504044942564881E-3</v>
      </c>
      <c r="I93" s="150">
        <f t="shared" si="86"/>
        <v>2.3063208317209744E-3</v>
      </c>
      <c r="J93" s="150">
        <f t="shared" si="87"/>
        <v>2.4644176316062725E-3</v>
      </c>
      <c r="K93" s="150">
        <f t="shared" si="88"/>
        <v>1.3598554237679349E-3</v>
      </c>
      <c r="L93" s="150">
        <f t="shared" si="89"/>
        <v>1.5750336588526998E-3</v>
      </c>
      <c r="M93" s="150">
        <f t="shared" si="90"/>
        <v>5.1351391806294202E-4</v>
      </c>
      <c r="N93" s="150">
        <f t="shared" si="91"/>
        <v>1.2128977055742693E-3</v>
      </c>
      <c r="O93" s="150">
        <f t="shared" si="91"/>
        <v>7.7010525683539311E-4</v>
      </c>
      <c r="P93" s="150">
        <f t="shared" si="91"/>
        <v>1.0173037584235286E-3</v>
      </c>
      <c r="Q93" s="150">
        <f t="shared" si="91"/>
        <v>-2.7308456009131777E-4</v>
      </c>
      <c r="R93" s="150">
        <f t="shared" si="91"/>
        <v>4.8338417363720889E-4</v>
      </c>
      <c r="S93" s="150">
        <f t="shared" si="91"/>
        <v>1.5156359229804434E-5</v>
      </c>
    </row>
    <row r="94" spans="1:19" s="851" customFormat="1">
      <c r="A94" s="851">
        <v>13</v>
      </c>
      <c r="B94" s="1372">
        <f t="shared" si="79"/>
        <v>1.369212818923804E-2</v>
      </c>
      <c r="C94" s="150">
        <f t="shared" si="80"/>
        <v>9.0440242397987133E-3</v>
      </c>
      <c r="D94" s="150">
        <f t="shared" si="81"/>
        <v>1.2061282606855345E-2</v>
      </c>
      <c r="E94" s="150">
        <f t="shared" si="82"/>
        <v>8.820859692978994E-3</v>
      </c>
      <c r="F94" s="150">
        <f t="shared" si="83"/>
        <v>6.3632259748749795E-3</v>
      </c>
      <c r="G94" s="150">
        <f t="shared" si="84"/>
        <v>4.3261171540991752E-3</v>
      </c>
      <c r="H94" s="150">
        <f t="shared" si="85"/>
        <v>4.5256067413847311E-3</v>
      </c>
      <c r="I94" s="150">
        <f t="shared" si="86"/>
        <v>2.9594812475814618E-3</v>
      </c>
      <c r="J94" s="150">
        <f t="shared" si="87"/>
        <v>3.1966264474094092E-3</v>
      </c>
      <c r="K94" s="150">
        <f t="shared" si="88"/>
        <v>1.5397831356519023E-3</v>
      </c>
      <c r="L94" s="150">
        <f t="shared" si="89"/>
        <v>1.8625504882790497E-3</v>
      </c>
      <c r="M94" s="150">
        <f t="shared" si="90"/>
        <v>2.7027087709441345E-4</v>
      </c>
      <c r="N94" s="150">
        <f t="shared" si="91"/>
        <v>1.3193465583614039E-3</v>
      </c>
      <c r="O94" s="150">
        <f t="shared" si="91"/>
        <v>6.5515788525308922E-4</v>
      </c>
      <c r="P94" s="150">
        <f t="shared" si="91"/>
        <v>1.0259556376352929E-3</v>
      </c>
      <c r="Q94" s="150">
        <f t="shared" si="91"/>
        <v>-9.0962684013697775E-4</v>
      </c>
      <c r="R94" s="150">
        <f t="shared" si="91"/>
        <v>2.2507626045581376E-4</v>
      </c>
      <c r="S94" s="150">
        <f t="shared" si="91"/>
        <v>-4.7726546115529423E-4</v>
      </c>
    </row>
    <row r="95" spans="1:19" s="851" customFormat="1">
      <c r="A95" s="851">
        <v>14</v>
      </c>
      <c r="B95" s="1372">
        <f t="shared" si="79"/>
        <v>1.7922837585650719E-2</v>
      </c>
      <c r="C95" s="150">
        <f t="shared" si="80"/>
        <v>1.1725365653064951E-2</v>
      </c>
      <c r="D95" s="150">
        <f t="shared" si="81"/>
        <v>1.5748376809140457E-2</v>
      </c>
      <c r="E95" s="150">
        <f t="shared" si="82"/>
        <v>1.1427812923971992E-2</v>
      </c>
      <c r="F95" s="150">
        <f t="shared" si="83"/>
        <v>8.1509679664999724E-3</v>
      </c>
      <c r="G95" s="150">
        <f t="shared" si="84"/>
        <v>5.4348228721322334E-3</v>
      </c>
      <c r="H95" s="150">
        <f t="shared" si="85"/>
        <v>5.7008089885129745E-3</v>
      </c>
      <c r="I95" s="150">
        <f t="shared" si="86"/>
        <v>3.6126416634419492E-3</v>
      </c>
      <c r="J95" s="150">
        <f t="shared" si="87"/>
        <v>3.9288352632125458E-3</v>
      </c>
      <c r="K95" s="150">
        <f t="shared" si="88"/>
        <v>1.7197108475358698E-3</v>
      </c>
      <c r="L95" s="150">
        <f t="shared" si="89"/>
        <v>2.1500673177053996E-3</v>
      </c>
      <c r="M95" s="150">
        <f t="shared" si="90"/>
        <v>2.7027836125884862E-5</v>
      </c>
      <c r="N95" s="150">
        <f t="shared" si="91"/>
        <v>1.4257954111485385E-3</v>
      </c>
      <c r="O95" s="150">
        <f t="shared" si="91"/>
        <v>5.4021051367078533E-4</v>
      </c>
      <c r="P95" s="150">
        <f t="shared" si="91"/>
        <v>1.0346075168470572E-3</v>
      </c>
      <c r="Q95" s="150">
        <f t="shared" si="91"/>
        <v>-1.5461691201826377E-3</v>
      </c>
      <c r="R95" s="150">
        <f t="shared" si="91"/>
        <v>-3.323165272558137E-5</v>
      </c>
      <c r="S95" s="150">
        <f t="shared" si="91"/>
        <v>-9.6968728154039289E-4</v>
      </c>
    </row>
    <row r="96" spans="1:19" s="851" customFormat="1">
      <c r="A96" s="851">
        <v>15</v>
      </c>
      <c r="B96" s="1372">
        <f t="shared" si="79"/>
        <v>2.2153546982063399E-2</v>
      </c>
      <c r="C96" s="150">
        <f t="shared" si="80"/>
        <v>1.4406707066331188E-2</v>
      </c>
      <c r="D96" s="150">
        <f t="shared" si="81"/>
        <v>1.9435471011425572E-2</v>
      </c>
      <c r="E96" s="150">
        <f t="shared" si="82"/>
        <v>1.4034766154964989E-2</v>
      </c>
      <c r="F96" s="150">
        <f t="shared" si="83"/>
        <v>9.9387099581249652E-3</v>
      </c>
      <c r="G96" s="150">
        <f t="shared" si="84"/>
        <v>6.5435285901652915E-3</v>
      </c>
      <c r="H96" s="150">
        <f t="shared" si="85"/>
        <v>6.8760112356412179E-3</v>
      </c>
      <c r="I96" s="150">
        <f t="shared" si="86"/>
        <v>4.265802079302437E-3</v>
      </c>
      <c r="J96" s="150">
        <f t="shared" si="87"/>
        <v>4.6610440790156825E-3</v>
      </c>
      <c r="K96" s="150">
        <f t="shared" si="88"/>
        <v>1.8996385594198372E-3</v>
      </c>
      <c r="L96" s="150">
        <f t="shared" si="89"/>
        <v>2.4375841471317495E-3</v>
      </c>
      <c r="M96" s="150">
        <f t="shared" si="90"/>
        <v>-2.1621520484264373E-4</v>
      </c>
      <c r="N96" s="150">
        <f t="shared" si="91"/>
        <v>1.5322442639356731E-3</v>
      </c>
      <c r="O96" s="150">
        <f t="shared" si="91"/>
        <v>4.2526314208848144E-4</v>
      </c>
      <c r="P96" s="150">
        <f t="shared" si="91"/>
        <v>1.0432593960588215E-3</v>
      </c>
      <c r="Q96" s="150">
        <f t="shared" si="91"/>
        <v>-2.1827114002282979E-3</v>
      </c>
      <c r="R96" s="150">
        <f t="shared" si="91"/>
        <v>-2.915395659069765E-4</v>
      </c>
      <c r="S96" s="150">
        <f t="shared" si="91"/>
        <v>-1.4621091019254915E-3</v>
      </c>
    </row>
    <row r="97" spans="1:19" s="851" customFormat="1">
      <c r="A97" s="851">
        <v>16</v>
      </c>
      <c r="B97" s="1372">
        <f t="shared" si="79"/>
        <v>2.6384256378476079E-2</v>
      </c>
      <c r="C97" s="150">
        <f t="shared" si="80"/>
        <v>1.7088048479597426E-2</v>
      </c>
      <c r="D97" s="150">
        <f t="shared" si="81"/>
        <v>2.3122565213710686E-2</v>
      </c>
      <c r="E97" s="150">
        <f t="shared" si="82"/>
        <v>1.6641719385957987E-2</v>
      </c>
      <c r="F97" s="150">
        <f t="shared" si="83"/>
        <v>1.1726451949749958E-2</v>
      </c>
      <c r="G97" s="150">
        <f t="shared" si="84"/>
        <v>7.6522343081983496E-3</v>
      </c>
      <c r="H97" s="150">
        <f t="shared" si="85"/>
        <v>8.0512134827694613E-3</v>
      </c>
      <c r="I97" s="150">
        <f t="shared" si="86"/>
        <v>4.9189624951629244E-3</v>
      </c>
      <c r="J97" s="150">
        <f t="shared" si="87"/>
        <v>5.3932528948188192E-3</v>
      </c>
      <c r="K97" s="150">
        <f t="shared" si="88"/>
        <v>2.0795662713038046E-3</v>
      </c>
      <c r="L97" s="150">
        <f t="shared" si="89"/>
        <v>2.7251009765580994E-3</v>
      </c>
      <c r="M97" s="150">
        <f t="shared" si="90"/>
        <v>-4.5945824581117235E-4</v>
      </c>
      <c r="N97" s="150">
        <f t="shared" si="91"/>
        <v>1.6386931167228077E-3</v>
      </c>
      <c r="O97" s="150">
        <f t="shared" si="91"/>
        <v>3.1031577050617755E-4</v>
      </c>
      <c r="P97" s="150">
        <f t="shared" si="91"/>
        <v>1.0519112752705858E-3</v>
      </c>
      <c r="Q97" s="150">
        <f t="shared" si="91"/>
        <v>-2.8192536802739577E-3</v>
      </c>
      <c r="R97" s="150">
        <f t="shared" si="91"/>
        <v>-5.4984747908837163E-4</v>
      </c>
      <c r="S97" s="150">
        <f t="shared" si="91"/>
        <v>-1.9545309223105902E-3</v>
      </c>
    </row>
    <row r="98" spans="1:19" s="851" customFormat="1">
      <c r="B98" s="1372"/>
      <c r="C98" s="150"/>
      <c r="D98" s="150"/>
      <c r="E98" s="150"/>
      <c r="F98" s="150"/>
      <c r="G98" s="150"/>
      <c r="H98" s="150"/>
      <c r="I98" s="150"/>
      <c r="J98" s="150"/>
      <c r="K98" s="150"/>
      <c r="L98" s="150"/>
      <c r="M98" s="150"/>
      <c r="N98" s="150"/>
      <c r="O98" s="150"/>
      <c r="P98" s="150"/>
      <c r="Q98" s="150"/>
      <c r="R98" s="150"/>
      <c r="S98" s="150"/>
    </row>
    <row r="99" spans="1:19">
      <c r="B99" s="1380"/>
      <c r="C99" s="933"/>
      <c r="D99" s="933"/>
      <c r="E99" s="933"/>
      <c r="F99" s="933"/>
      <c r="G99" s="933"/>
      <c r="H99" s="933"/>
      <c r="I99" s="933"/>
      <c r="J99" s="933"/>
      <c r="K99" s="933"/>
      <c r="L99" s="933"/>
      <c r="M99" s="933"/>
      <c r="N99" s="933"/>
      <c r="O99" s="933"/>
      <c r="P99" s="933"/>
      <c r="Q99" s="933"/>
      <c r="R99" s="933"/>
      <c r="S99" s="933"/>
    </row>
    <row r="100" spans="1:19">
      <c r="A100" s="1399" t="s">
        <v>531</v>
      </c>
      <c r="B100" s="1391" t="s">
        <v>551</v>
      </c>
      <c r="C100" s="1392" t="s">
        <v>552</v>
      </c>
      <c r="D100" s="1392" t="s">
        <v>553</v>
      </c>
      <c r="E100" s="1392" t="s">
        <v>554</v>
      </c>
      <c r="F100" s="1392" t="s">
        <v>555</v>
      </c>
      <c r="G100" s="1392" t="s">
        <v>556</v>
      </c>
      <c r="H100" s="1392" t="s">
        <v>557</v>
      </c>
      <c r="I100" s="1392" t="s">
        <v>558</v>
      </c>
      <c r="J100" s="1392" t="s">
        <v>559</v>
      </c>
      <c r="K100" s="1392" t="s">
        <v>560</v>
      </c>
      <c r="L100" s="1392" t="s">
        <v>561</v>
      </c>
      <c r="M100" s="1392" t="s">
        <v>562</v>
      </c>
      <c r="N100" s="1392" t="s">
        <v>563</v>
      </c>
      <c r="O100" s="1392" t="s">
        <v>564</v>
      </c>
      <c r="P100" s="1392" t="s">
        <v>828</v>
      </c>
      <c r="Q100" s="1392" t="s">
        <v>829</v>
      </c>
      <c r="R100" s="1392" t="s">
        <v>830</v>
      </c>
      <c r="S100" s="1392" t="s">
        <v>831</v>
      </c>
    </row>
    <row r="101" spans="1:19">
      <c r="A101" s="851">
        <v>1</v>
      </c>
      <c r="B101" s="1393">
        <f t="shared" ref="B101:S101" si="93">B12*(1+B$64)</f>
        <v>72379.199999999997</v>
      </c>
      <c r="C101" s="1394">
        <f t="shared" si="93"/>
        <v>70463.74555270205</v>
      </c>
      <c r="D101" s="1394">
        <f t="shared" si="93"/>
        <v>70907.957558442387</v>
      </c>
      <c r="E101" s="1394">
        <f t="shared" si="93"/>
        <v>69692.535008586274</v>
      </c>
      <c r="F101" s="1394">
        <f t="shared" si="93"/>
        <v>70452.292019820961</v>
      </c>
      <c r="G101" s="1394">
        <f t="shared" si="93"/>
        <v>71343.957131138828</v>
      </c>
      <c r="H101" s="1394">
        <f t="shared" si="93"/>
        <v>72242.208215854349</v>
      </c>
      <c r="I101" s="1394">
        <f t="shared" si="93"/>
        <v>70588.874358421788</v>
      </c>
      <c r="J101" s="1394">
        <f t="shared" si="93"/>
        <v>71548.604677250027</v>
      </c>
      <c r="K101" s="1394">
        <f t="shared" si="93"/>
        <v>72625.802502841048</v>
      </c>
      <c r="L101" s="1394">
        <f t="shared" si="93"/>
        <v>73708.329302177357</v>
      </c>
      <c r="M101" s="1394">
        <f t="shared" si="93"/>
        <v>72242.916326452061</v>
      </c>
      <c r="N101" s="1394">
        <f t="shared" si="93"/>
        <v>73348.913467639795</v>
      </c>
      <c r="O101" s="1394">
        <f t="shared" si="93"/>
        <v>74520.053458600392</v>
      </c>
      <c r="P101" s="1394">
        <f t="shared" si="93"/>
        <v>75695.309229787817</v>
      </c>
      <c r="Q101" s="1394">
        <f t="shared" si="93"/>
        <v>73544.748567559232</v>
      </c>
      <c r="R101" s="1394">
        <f t="shared" si="93"/>
        <v>74743.962545239861</v>
      </c>
      <c r="S101" s="1394">
        <f t="shared" si="93"/>
        <v>76013.791201659362</v>
      </c>
    </row>
    <row r="102" spans="1:19">
      <c r="A102" s="851">
        <v>2</v>
      </c>
      <c r="B102" s="1393">
        <f t="shared" ref="B102:B116" si="94">B101*(1+B$64)</f>
        <v>73826.784</v>
      </c>
      <c r="C102" s="1394">
        <f t="shared" ref="C102:C116" si="95">C101*(1+C$64)</f>
        <v>71873.020463756096</v>
      </c>
      <c r="D102" s="1394">
        <f t="shared" ref="D102:D116" si="96">D101*(1+D$64)</f>
        <v>72326.116709611233</v>
      </c>
      <c r="E102" s="1394">
        <f t="shared" ref="E102:E116" si="97">E101*(1+E$64)</f>
        <v>71086.385708757996</v>
      </c>
      <c r="F102" s="1394">
        <f t="shared" ref="F102:F116" si="98">F101*(1+F$64)</f>
        <v>71861.337860217376</v>
      </c>
      <c r="G102" s="1394">
        <f t="shared" ref="G102:G116" si="99">G101*(1+G$64)</f>
        <v>72770.836273761612</v>
      </c>
      <c r="H102" s="1394">
        <f t="shared" ref="H102:H116" si="100">H101*(1+H$64)</f>
        <v>73687.052380171444</v>
      </c>
      <c r="I102" s="1394">
        <f>I101*(1+I$64)</f>
        <v>72000.651845590226</v>
      </c>
      <c r="J102" s="1394">
        <f t="shared" ref="J102:J116" si="101">J101*(1+J$64)</f>
        <v>72979.576770795029</v>
      </c>
      <c r="K102" s="1394">
        <f t="shared" ref="K102:K116" si="102">K101*(1+K$64)</f>
        <v>74078.318552897865</v>
      </c>
      <c r="L102" s="1394">
        <f t="shared" ref="L102:L116" si="103">L101*(1+L$64)</f>
        <v>75182.495888220903</v>
      </c>
      <c r="M102" s="1394">
        <f>M101*(1+M$64)</f>
        <v>73687.774652981097</v>
      </c>
      <c r="N102" s="1394">
        <f t="shared" ref="N102:O110" si="104">N101*(1+N$64)</f>
        <v>74815.891736992591</v>
      </c>
      <c r="O102" s="1394">
        <f>O101*(1+O$64)</f>
        <v>76010.454527772396</v>
      </c>
      <c r="P102" s="1394">
        <f t="shared" ref="P102:S102" si="105">P101*(1+P$64)</f>
        <v>77209.21541438358</v>
      </c>
      <c r="Q102" s="1394">
        <f t="shared" si="105"/>
        <v>75015.643538910415</v>
      </c>
      <c r="R102" s="1394">
        <f t="shared" si="105"/>
        <v>76238.841796144654</v>
      </c>
      <c r="S102" s="1394">
        <f t="shared" si="105"/>
        <v>77534.067025692551</v>
      </c>
    </row>
    <row r="103" spans="1:19">
      <c r="A103" s="851">
        <v>3</v>
      </c>
      <c r="B103" s="1393">
        <f t="shared" si="94"/>
        <v>75303.319680000001</v>
      </c>
      <c r="C103" s="1394">
        <f t="shared" si="95"/>
        <v>73310.480873031222</v>
      </c>
      <c r="D103" s="1394">
        <f t="shared" si="96"/>
        <v>73772.639043803458</v>
      </c>
      <c r="E103" s="1394">
        <f t="shared" si="97"/>
        <v>72508.113422933151</v>
      </c>
      <c r="F103" s="1394">
        <f t="shared" si="98"/>
        <v>73298.564617421725</v>
      </c>
      <c r="G103" s="1394">
        <f t="shared" si="99"/>
        <v>74226.252999236851</v>
      </c>
      <c r="H103" s="1394">
        <f t="shared" si="100"/>
        <v>75160.793427774872</v>
      </c>
      <c r="I103" s="1394">
        <f t="shared" ref="I103:I116" si="106">I102*(1+I$64)</f>
        <v>73440.664882502038</v>
      </c>
      <c r="J103" s="1394">
        <f t="shared" si="101"/>
        <v>74439.168306210937</v>
      </c>
      <c r="K103" s="1394">
        <f t="shared" si="102"/>
        <v>75559.884923955819</v>
      </c>
      <c r="L103" s="1394">
        <f t="shared" si="103"/>
        <v>76686.145805985318</v>
      </c>
      <c r="M103" s="1394">
        <f t="shared" ref="M103:S116" si="107">M102*(1+M$64)</f>
        <v>75161.530146040721</v>
      </c>
      <c r="N103" s="1394">
        <f t="shared" si="104"/>
        <v>76312.209571732441</v>
      </c>
      <c r="O103" s="1394">
        <f t="shared" si="104"/>
        <v>77530.663618327846</v>
      </c>
      <c r="P103" s="1394">
        <f t="shared" ref="P103:S103" si="108">P102*(1+P$64)</f>
        <v>78753.399722671253</v>
      </c>
      <c r="Q103" s="1394">
        <f t="shared" si="108"/>
        <v>76515.956409688632</v>
      </c>
      <c r="R103" s="1394">
        <f t="shared" si="108"/>
        <v>77763.618632067548</v>
      </c>
      <c r="S103" s="1394">
        <f t="shared" si="108"/>
        <v>79084.748366206404</v>
      </c>
    </row>
    <row r="104" spans="1:19">
      <c r="A104" s="851">
        <v>4</v>
      </c>
      <c r="B104" s="1393">
        <f t="shared" si="94"/>
        <v>76809.386073600006</v>
      </c>
      <c r="C104" s="1394">
        <f t="shared" si="95"/>
        <v>74776.690490491848</v>
      </c>
      <c r="D104" s="1394">
        <f t="shared" si="96"/>
        <v>75248.091824679534</v>
      </c>
      <c r="E104" s="1394">
        <f t="shared" si="97"/>
        <v>73958.275691391813</v>
      </c>
      <c r="F104" s="1394">
        <f t="shared" si="98"/>
        <v>74764.535909770158</v>
      </c>
      <c r="G104" s="1394">
        <f t="shared" si="99"/>
        <v>75710.778059221586</v>
      </c>
      <c r="H104" s="1394">
        <f t="shared" si="100"/>
        <v>76664.009296330376</v>
      </c>
      <c r="I104" s="1394">
        <f t="shared" si="106"/>
        <v>74909.478180152088</v>
      </c>
      <c r="J104" s="1394">
        <f t="shared" si="101"/>
        <v>75927.951672335155</v>
      </c>
      <c r="K104" s="1394">
        <f t="shared" si="102"/>
        <v>77071.082622434929</v>
      </c>
      <c r="L104" s="1394">
        <f t="shared" si="103"/>
        <v>78219.86872210502</v>
      </c>
      <c r="M104" s="1394">
        <f t="shared" si="107"/>
        <v>76664.760748961533</v>
      </c>
      <c r="N104" s="1394">
        <f t="shared" si="104"/>
        <v>77838.453763167097</v>
      </c>
      <c r="O104" s="1394">
        <f t="shared" si="104"/>
        <v>79081.276890694411</v>
      </c>
      <c r="P104" s="1394">
        <f t="shared" ref="P104:S104" si="109">P103*(1+P$64)</f>
        <v>80328.467717124673</v>
      </c>
      <c r="Q104" s="1394">
        <f t="shared" si="109"/>
        <v>78046.275537882408</v>
      </c>
      <c r="R104" s="1394">
        <f t="shared" si="109"/>
        <v>79318.891004708901</v>
      </c>
      <c r="S104" s="1394">
        <f t="shared" si="109"/>
        <v>80666.443333530537</v>
      </c>
    </row>
    <row r="105" spans="1:19">
      <c r="A105" s="851">
        <v>5</v>
      </c>
      <c r="B105" s="1393">
        <f t="shared" si="94"/>
        <v>78345.573795072007</v>
      </c>
      <c r="C105" s="1394">
        <f t="shared" si="95"/>
        <v>76272.224300301692</v>
      </c>
      <c r="D105" s="1394">
        <f t="shared" si="96"/>
        <v>76753.053661173122</v>
      </c>
      <c r="E105" s="1394">
        <f t="shared" si="97"/>
        <v>75437.441205219657</v>
      </c>
      <c r="F105" s="1394">
        <f t="shared" si="98"/>
        <v>76259.826627965565</v>
      </c>
      <c r="G105" s="1394">
        <f t="shared" si="99"/>
        <v>77224.993620406021</v>
      </c>
      <c r="H105" s="1394">
        <f t="shared" si="100"/>
        <v>78197.28948225698</v>
      </c>
      <c r="I105" s="1394">
        <f t="shared" si="106"/>
        <v>76407.667743755126</v>
      </c>
      <c r="J105" s="1394">
        <f t="shared" si="101"/>
        <v>77446.510705781853</v>
      </c>
      <c r="K105" s="1394">
        <f t="shared" si="102"/>
        <v>78612.504274883628</v>
      </c>
      <c r="L105" s="1394">
        <f t="shared" si="103"/>
        <v>79784.266096547115</v>
      </c>
      <c r="M105" s="1394">
        <f t="shared" si="107"/>
        <v>78198.055963940758</v>
      </c>
      <c r="N105" s="1394">
        <f t="shared" si="104"/>
        <v>79395.222838430447</v>
      </c>
      <c r="O105" s="1394">
        <f t="shared" si="104"/>
        <v>80662.9024285083</v>
      </c>
      <c r="P105" s="1394">
        <f t="shared" ref="P105:S105" si="110">P104*(1+P$64)</f>
        <v>81935.037071467174</v>
      </c>
      <c r="Q105" s="1394">
        <f t="shared" si="110"/>
        <v>79607.201048640054</v>
      </c>
      <c r="R105" s="1394">
        <f t="shared" si="110"/>
        <v>80905.268824803075</v>
      </c>
      <c r="S105" s="1394">
        <f t="shared" si="110"/>
        <v>82279.772200201143</v>
      </c>
    </row>
    <row r="106" spans="1:19">
      <c r="A106" s="851">
        <v>6</v>
      </c>
      <c r="B106" s="1393">
        <f t="shared" si="94"/>
        <v>79912.485270973455</v>
      </c>
      <c r="C106" s="1394">
        <f t="shared" si="95"/>
        <v>77797.668786307724</v>
      </c>
      <c r="D106" s="1394">
        <f t="shared" si="96"/>
        <v>78288.114734396586</v>
      </c>
      <c r="E106" s="1394">
        <f t="shared" si="97"/>
        <v>76946.190029324047</v>
      </c>
      <c r="F106" s="1394">
        <f t="shared" si="98"/>
        <v>77785.023160524885</v>
      </c>
      <c r="G106" s="1394">
        <f t="shared" si="99"/>
        <v>78769.493492814145</v>
      </c>
      <c r="H106" s="1394">
        <f t="shared" si="100"/>
        <v>79761.235271902115</v>
      </c>
      <c r="I106" s="1394">
        <f t="shared" si="106"/>
        <v>77935.821098630229</v>
      </c>
      <c r="J106" s="1394">
        <f t="shared" si="101"/>
        <v>78995.44091989749</v>
      </c>
      <c r="K106" s="1394">
        <f t="shared" si="102"/>
        <v>80184.754360381296</v>
      </c>
      <c r="L106" s="1394">
        <f t="shared" si="103"/>
        <v>81379.951418478056</v>
      </c>
      <c r="M106" s="1394">
        <f t="shared" si="107"/>
        <v>79762.017083219573</v>
      </c>
      <c r="N106" s="1394">
        <f t="shared" si="104"/>
        <v>80983.127295199054</v>
      </c>
      <c r="O106" s="1394">
        <f t="shared" si="104"/>
        <v>82276.160477078462</v>
      </c>
      <c r="P106" s="1394">
        <f t="shared" ref="P106:S106" si="111">P105*(1+P$64)</f>
        <v>83573.737812896521</v>
      </c>
      <c r="Q106" s="1394">
        <f t="shared" si="111"/>
        <v>81199.345069612857</v>
      </c>
      <c r="R106" s="1394">
        <f t="shared" si="111"/>
        <v>82523.374201299142</v>
      </c>
      <c r="S106" s="1394">
        <f t="shared" si="111"/>
        <v>83925.367644205166</v>
      </c>
    </row>
    <row r="107" spans="1:19">
      <c r="A107" s="851">
        <v>7</v>
      </c>
      <c r="B107" s="1393">
        <f t="shared" si="94"/>
        <v>81510.734976392923</v>
      </c>
      <c r="C107" s="1394">
        <f t="shared" si="95"/>
        <v>79353.622162033877</v>
      </c>
      <c r="D107" s="1394">
        <f t="shared" si="96"/>
        <v>79853.877029084513</v>
      </c>
      <c r="E107" s="1394">
        <f t="shared" si="97"/>
        <v>78485.113829910522</v>
      </c>
      <c r="F107" s="1394">
        <f t="shared" si="98"/>
        <v>79340.723623735379</v>
      </c>
      <c r="G107" s="1394">
        <f t="shared" si="99"/>
        <v>80344.883362670429</v>
      </c>
      <c r="H107" s="1394">
        <f t="shared" si="100"/>
        <v>81356.459977340157</v>
      </c>
      <c r="I107" s="1394">
        <f t="shared" si="106"/>
        <v>79494.53752060284</v>
      </c>
      <c r="J107" s="1394">
        <f t="shared" si="101"/>
        <v>80575.349738295437</v>
      </c>
      <c r="K107" s="1394">
        <f t="shared" si="102"/>
        <v>81788.449447588922</v>
      </c>
      <c r="L107" s="1394">
        <f t="shared" si="103"/>
        <v>83007.550446847614</v>
      </c>
      <c r="M107" s="1394">
        <f t="shared" si="107"/>
        <v>81357.257424883966</v>
      </c>
      <c r="N107" s="1394">
        <f t="shared" si="104"/>
        <v>82602.789841103033</v>
      </c>
      <c r="O107" s="1394">
        <f t="shared" si="104"/>
        <v>83921.683686620032</v>
      </c>
      <c r="P107" s="1394">
        <f t="shared" ref="P107:S107" si="112">P106*(1+P$64)</f>
        <v>85245.21256915445</v>
      </c>
      <c r="Q107" s="1394">
        <f t="shared" si="112"/>
        <v>82823.331971005115</v>
      </c>
      <c r="R107" s="1394">
        <f t="shared" si="112"/>
        <v>84173.841685325126</v>
      </c>
      <c r="S107" s="1394">
        <f t="shared" si="112"/>
        <v>85603.874997089268</v>
      </c>
    </row>
    <row r="108" spans="1:19">
      <c r="A108" s="851">
        <v>8</v>
      </c>
      <c r="B108" s="1393">
        <f t="shared" si="94"/>
        <v>83140.949675920783</v>
      </c>
      <c r="C108" s="1394">
        <f t="shared" si="95"/>
        <v>80940.694605274562</v>
      </c>
      <c r="D108" s="1394">
        <f t="shared" si="96"/>
        <v>81450.95456966621</v>
      </c>
      <c r="E108" s="1394">
        <f t="shared" si="97"/>
        <v>80054.816106508733</v>
      </c>
      <c r="F108" s="1394">
        <f t="shared" si="98"/>
        <v>80927.53809621009</v>
      </c>
      <c r="G108" s="1394">
        <f t="shared" si="99"/>
        <v>81951.781029923834</v>
      </c>
      <c r="H108" s="1394">
        <f t="shared" si="100"/>
        <v>82983.589176886962</v>
      </c>
      <c r="I108" s="1394">
        <f t="shared" si="106"/>
        <v>81084.428271014898</v>
      </c>
      <c r="J108" s="1394">
        <f t="shared" si="101"/>
        <v>82186.856733061344</v>
      </c>
      <c r="K108" s="1394">
        <f t="shared" si="102"/>
        <v>83424.218436540701</v>
      </c>
      <c r="L108" s="1394">
        <f t="shared" si="103"/>
        <v>84667.701455784569</v>
      </c>
      <c r="M108" s="1394">
        <f t="shared" si="107"/>
        <v>82984.402573381652</v>
      </c>
      <c r="N108" s="1394">
        <f t="shared" si="104"/>
        <v>84254.8456379251</v>
      </c>
      <c r="O108" s="1394">
        <f t="shared" si="104"/>
        <v>85600.117360352437</v>
      </c>
      <c r="P108" s="1394">
        <f t="shared" ref="P108:S108" si="113">P107*(1+P$64)</f>
        <v>86950.116820537543</v>
      </c>
      <c r="Q108" s="1394">
        <f t="shared" si="113"/>
        <v>84479.79861042522</v>
      </c>
      <c r="R108" s="1394">
        <f t="shared" si="113"/>
        <v>85857.318519031629</v>
      </c>
      <c r="S108" s="1394">
        <f t="shared" si="113"/>
        <v>87315.952497031059</v>
      </c>
    </row>
    <row r="109" spans="1:19">
      <c r="A109" s="851">
        <v>9</v>
      </c>
      <c r="B109" s="1393">
        <f t="shared" si="94"/>
        <v>84803.768669439203</v>
      </c>
      <c r="C109" s="1394">
        <f t="shared" si="95"/>
        <v>82559.508497380055</v>
      </c>
      <c r="D109" s="1394">
        <f t="shared" si="96"/>
        <v>83079.973661059528</v>
      </c>
      <c r="E109" s="1394">
        <f t="shared" si="97"/>
        <v>81655.912428638912</v>
      </c>
      <c r="F109" s="1394">
        <f t="shared" si="98"/>
        <v>82546.088858134288</v>
      </c>
      <c r="G109" s="1394">
        <f t="shared" si="99"/>
        <v>83590.816650522305</v>
      </c>
      <c r="H109" s="1394">
        <f t="shared" si="100"/>
        <v>84643.260960424697</v>
      </c>
      <c r="I109" s="1394">
        <f t="shared" si="106"/>
        <v>82706.116836435191</v>
      </c>
      <c r="J109" s="1394">
        <f t="shared" si="101"/>
        <v>83830.593867722579</v>
      </c>
      <c r="K109" s="1394">
        <f t="shared" si="102"/>
        <v>85092.702805271518</v>
      </c>
      <c r="L109" s="1394">
        <f t="shared" si="103"/>
        <v>86361.055484900266</v>
      </c>
      <c r="M109" s="1394">
        <f t="shared" si="107"/>
        <v>84644.090624849283</v>
      </c>
      <c r="N109" s="1394">
        <f t="shared" si="104"/>
        <v>85939.942550683598</v>
      </c>
      <c r="O109" s="1394">
        <f t="shared" si="104"/>
        <v>87312.119707559483</v>
      </c>
      <c r="P109" s="1394">
        <f t="shared" ref="P109:S109" si="114">P108*(1+P$64)</f>
        <v>88689.119156948291</v>
      </c>
      <c r="Q109" s="1394">
        <f t="shared" si="114"/>
        <v>86169.394582633729</v>
      </c>
      <c r="R109" s="1394">
        <f t="shared" si="114"/>
        <v>87574.464889412266</v>
      </c>
      <c r="S109" s="1394">
        <f t="shared" si="114"/>
        <v>89062.271546971679</v>
      </c>
    </row>
    <row r="110" spans="1:19">
      <c r="A110" s="851">
        <v>10</v>
      </c>
      <c r="B110" s="1393">
        <f t="shared" si="94"/>
        <v>86499.844042827986</v>
      </c>
      <c r="C110" s="1394">
        <f t="shared" si="95"/>
        <v>84210.698667327655</v>
      </c>
      <c r="D110" s="1394">
        <f t="shared" si="96"/>
        <v>84741.573134280727</v>
      </c>
      <c r="E110" s="1394">
        <f t="shared" si="97"/>
        <v>83289.030677211689</v>
      </c>
      <c r="F110" s="1394">
        <f t="shared" si="98"/>
        <v>84197.010635296974</v>
      </c>
      <c r="G110" s="1394">
        <f t="shared" si="99"/>
        <v>85262.632983532749</v>
      </c>
      <c r="H110" s="1394">
        <f t="shared" si="100"/>
        <v>86336.126179633196</v>
      </c>
      <c r="I110" s="1394">
        <f t="shared" si="106"/>
        <v>84360.239173163893</v>
      </c>
      <c r="J110" s="1394">
        <f t="shared" si="101"/>
        <v>85507.205745077037</v>
      </c>
      <c r="K110" s="1394">
        <f t="shared" si="102"/>
        <v>86794.556861376943</v>
      </c>
      <c r="L110" s="1394">
        <f t="shared" si="103"/>
        <v>88088.276594598268</v>
      </c>
      <c r="M110" s="1394">
        <f t="shared" si="107"/>
        <v>86336.972437346267</v>
      </c>
      <c r="N110" s="1394">
        <f t="shared" si="104"/>
        <v>87658.741401697276</v>
      </c>
      <c r="O110" s="1394">
        <f t="shared" si="104"/>
        <v>89058.362101710678</v>
      </c>
      <c r="P110" s="1394">
        <f t="shared" ref="P110:S110" si="115">P109*(1+P$64)</f>
        <v>90462.901540087259</v>
      </c>
      <c r="Q110" s="1394">
        <f t="shared" si="115"/>
        <v>87892.782474286403</v>
      </c>
      <c r="R110" s="1394">
        <f t="shared" si="115"/>
        <v>89325.954187200507</v>
      </c>
      <c r="S110" s="1394">
        <f t="shared" si="115"/>
        <v>90843.516977911117</v>
      </c>
    </row>
    <row r="111" spans="1:19" s="851" customFormat="1">
      <c r="A111" s="851">
        <v>11</v>
      </c>
      <c r="B111" s="1393">
        <f t="shared" si="94"/>
        <v>88229.840923684547</v>
      </c>
      <c r="C111" s="1394">
        <f t="shared" si="95"/>
        <v>85894.912640674214</v>
      </c>
      <c r="D111" s="1394">
        <f t="shared" si="96"/>
        <v>86436.404596966342</v>
      </c>
      <c r="E111" s="1394">
        <f t="shared" si="97"/>
        <v>84954.811290755926</v>
      </c>
      <c r="F111" s="1394">
        <f t="shared" si="98"/>
        <v>85880.950848002918</v>
      </c>
      <c r="G111" s="1394">
        <f t="shared" si="99"/>
        <v>86967.885643203408</v>
      </c>
      <c r="H111" s="1394">
        <f t="shared" si="100"/>
        <v>88062.848703225856</v>
      </c>
      <c r="I111" s="1394">
        <f t="shared" si="106"/>
        <v>86047.443956627176</v>
      </c>
      <c r="J111" s="1394">
        <f t="shared" si="101"/>
        <v>87217.349859978582</v>
      </c>
      <c r="K111" s="1394">
        <f t="shared" si="102"/>
        <v>88530.44799860449</v>
      </c>
      <c r="L111" s="1394">
        <f t="shared" si="103"/>
        <v>89850.04212649024</v>
      </c>
      <c r="M111" s="1394">
        <f t="shared" si="107"/>
        <v>88063.711886093195</v>
      </c>
      <c r="N111" s="1394">
        <f t="shared" si="107"/>
        <v>89411.916229731229</v>
      </c>
      <c r="O111" s="1394">
        <f t="shared" si="107"/>
        <v>90839.5293437449</v>
      </c>
      <c r="P111" s="1394">
        <f t="shared" si="107"/>
        <v>92272.159570889009</v>
      </c>
      <c r="Q111" s="1394">
        <f t="shared" si="107"/>
        <v>89650.638123772136</v>
      </c>
      <c r="R111" s="1394">
        <f t="shared" si="107"/>
        <v>91112.473270944523</v>
      </c>
      <c r="S111" s="1394">
        <f t="shared" si="107"/>
        <v>92660.387317469344</v>
      </c>
    </row>
    <row r="112" spans="1:19" s="851" customFormat="1">
      <c r="A112" s="851">
        <v>12</v>
      </c>
      <c r="B112" s="1393">
        <f t="shared" si="94"/>
        <v>89994.437742158247</v>
      </c>
      <c r="C112" s="1394">
        <f t="shared" si="95"/>
        <v>87612.810893487695</v>
      </c>
      <c r="D112" s="1394">
        <f t="shared" si="96"/>
        <v>88165.132688905665</v>
      </c>
      <c r="E112" s="1394">
        <f t="shared" si="97"/>
        <v>86653.907516571053</v>
      </c>
      <c r="F112" s="1394">
        <f t="shared" si="98"/>
        <v>87598.569864962978</v>
      </c>
      <c r="G112" s="1394">
        <f t="shared" si="99"/>
        <v>88707.243356067484</v>
      </c>
      <c r="H112" s="1394">
        <f t="shared" si="100"/>
        <v>89824.105677290368</v>
      </c>
      <c r="I112" s="1394">
        <f t="shared" si="106"/>
        <v>87768.392835759718</v>
      </c>
      <c r="J112" s="1394">
        <f t="shared" si="101"/>
        <v>88961.696857178162</v>
      </c>
      <c r="K112" s="1394">
        <f t="shared" si="102"/>
        <v>90301.056958576577</v>
      </c>
      <c r="L112" s="1394">
        <f t="shared" si="103"/>
        <v>91647.04296902004</v>
      </c>
      <c r="M112" s="1394">
        <f t="shared" si="107"/>
        <v>89824.986123815062</v>
      </c>
      <c r="N112" s="1394">
        <f t="shared" si="107"/>
        <v>91200.154554325854</v>
      </c>
      <c r="O112" s="1394">
        <f t="shared" si="107"/>
        <v>92656.319930619793</v>
      </c>
      <c r="P112" s="1394">
        <f t="shared" si="107"/>
        <v>94117.602762306793</v>
      </c>
      <c r="Q112" s="1394">
        <f t="shared" si="107"/>
        <v>91443.650886247575</v>
      </c>
      <c r="R112" s="1394">
        <f t="shared" si="107"/>
        <v>92934.722736363416</v>
      </c>
      <c r="S112" s="1394">
        <f t="shared" si="107"/>
        <v>94513.595063818735</v>
      </c>
    </row>
    <row r="113" spans="1:19" s="851" customFormat="1">
      <c r="A113" s="851">
        <v>13</v>
      </c>
      <c r="B113" s="1393">
        <f t="shared" si="94"/>
        <v>91794.326497001413</v>
      </c>
      <c r="C113" s="1394">
        <f t="shared" si="95"/>
        <v>89365.06711135745</v>
      </c>
      <c r="D113" s="1394">
        <f t="shared" si="96"/>
        <v>89928.435342683777</v>
      </c>
      <c r="E113" s="1394">
        <f t="shared" si="97"/>
        <v>88386.985666902474</v>
      </c>
      <c r="F113" s="1394">
        <f t="shared" si="98"/>
        <v>89350.541262262239</v>
      </c>
      <c r="G113" s="1394">
        <f t="shared" si="99"/>
        <v>90481.388223188842</v>
      </c>
      <c r="H113" s="1394">
        <f t="shared" si="100"/>
        <v>91620.587790836173</v>
      </c>
      <c r="I113" s="1394">
        <f t="shared" si="106"/>
        <v>89523.760692474913</v>
      </c>
      <c r="J113" s="1394">
        <f t="shared" si="101"/>
        <v>90740.930794321728</v>
      </c>
      <c r="K113" s="1394">
        <f t="shared" si="102"/>
        <v>92107.078097748104</v>
      </c>
      <c r="L113" s="1394">
        <f t="shared" si="103"/>
        <v>93479.983828400436</v>
      </c>
      <c r="M113" s="1394">
        <f t="shared" si="107"/>
        <v>91621.485846291369</v>
      </c>
      <c r="N113" s="1394">
        <f t="shared" si="107"/>
        <v>93024.157645412371</v>
      </c>
      <c r="O113" s="1394">
        <f t="shared" si="107"/>
        <v>94509.446329232189</v>
      </c>
      <c r="P113" s="1394">
        <f t="shared" si="107"/>
        <v>95999.954817552934</v>
      </c>
      <c r="Q113" s="1394">
        <f t="shared" si="107"/>
        <v>93272.523903972527</v>
      </c>
      <c r="R113" s="1394">
        <f t="shared" si="107"/>
        <v>94793.417191090688</v>
      </c>
      <c r="S113" s="1394">
        <f t="shared" si="107"/>
        <v>96403.866965095105</v>
      </c>
    </row>
    <row r="114" spans="1:19" s="851" customFormat="1">
      <c r="A114" s="851">
        <v>14</v>
      </c>
      <c r="B114" s="1393">
        <f t="shared" si="94"/>
        <v>93630.213026941448</v>
      </c>
      <c r="C114" s="1394">
        <f t="shared" si="95"/>
        <v>91152.368453584597</v>
      </c>
      <c r="D114" s="1394">
        <f t="shared" si="96"/>
        <v>91727.004049537456</v>
      </c>
      <c r="E114" s="1394">
        <f t="shared" si="97"/>
        <v>90154.725380240532</v>
      </c>
      <c r="F114" s="1394">
        <f t="shared" si="98"/>
        <v>91137.552087507487</v>
      </c>
      <c r="G114" s="1394">
        <f t="shared" si="99"/>
        <v>92291.015987652616</v>
      </c>
      <c r="H114" s="1394">
        <f t="shared" si="100"/>
        <v>93452.999546652893</v>
      </c>
      <c r="I114" s="1394">
        <f t="shared" si="106"/>
        <v>91314.235906324408</v>
      </c>
      <c r="J114" s="1394">
        <f t="shared" si="101"/>
        <v>92555.749410208169</v>
      </c>
      <c r="K114" s="1394">
        <f t="shared" si="102"/>
        <v>93949.219659703071</v>
      </c>
      <c r="L114" s="1394">
        <f t="shared" si="103"/>
        <v>95349.583504968454</v>
      </c>
      <c r="M114" s="1394">
        <f t="shared" si="107"/>
        <v>93453.915563217204</v>
      </c>
      <c r="N114" s="1394">
        <f t="shared" si="107"/>
        <v>94884.640798320615</v>
      </c>
      <c r="O114" s="1394">
        <f t="shared" si="107"/>
        <v>96399.635255816829</v>
      </c>
      <c r="P114" s="1394">
        <f t="shared" si="107"/>
        <v>97919.953913903999</v>
      </c>
      <c r="Q114" s="1394">
        <f t="shared" si="107"/>
        <v>95137.97438205198</v>
      </c>
      <c r="R114" s="1394">
        <f t="shared" si="107"/>
        <v>96689.285534912502</v>
      </c>
      <c r="S114" s="1394">
        <f t="shared" si="107"/>
        <v>98331.94430439701</v>
      </c>
    </row>
    <row r="115" spans="1:19" s="851" customFormat="1">
      <c r="A115" s="851">
        <v>15</v>
      </c>
      <c r="B115" s="1393">
        <f t="shared" si="94"/>
        <v>95502.817287480284</v>
      </c>
      <c r="C115" s="1394">
        <f t="shared" si="95"/>
        <v>92975.415822656287</v>
      </c>
      <c r="D115" s="1394">
        <f t="shared" si="96"/>
        <v>93561.5441305282</v>
      </c>
      <c r="E115" s="1394">
        <f t="shared" si="97"/>
        <v>91957.81988784534</v>
      </c>
      <c r="F115" s="1394">
        <f t="shared" si="98"/>
        <v>92960.303129257634</v>
      </c>
      <c r="G115" s="1394">
        <f t="shared" si="99"/>
        <v>94136.836307405669</v>
      </c>
      <c r="H115" s="1394">
        <f t="shared" si="100"/>
        <v>95322.059537585956</v>
      </c>
      <c r="I115" s="1394">
        <f t="shared" si="106"/>
        <v>93140.520624450903</v>
      </c>
      <c r="J115" s="1394">
        <f t="shared" si="101"/>
        <v>94406.864398412334</v>
      </c>
      <c r="K115" s="1394">
        <f t="shared" si="102"/>
        <v>95828.204052897127</v>
      </c>
      <c r="L115" s="1394">
        <f t="shared" si="103"/>
        <v>97256.575175067817</v>
      </c>
      <c r="M115" s="1394">
        <f t="shared" si="107"/>
        <v>95322.993874481544</v>
      </c>
      <c r="N115" s="1394">
        <f t="shared" si="107"/>
        <v>96782.333614287025</v>
      </c>
      <c r="O115" s="1394">
        <f t="shared" si="107"/>
        <v>98327.627960933169</v>
      </c>
      <c r="P115" s="1394">
        <f t="shared" si="107"/>
        <v>99878.352992182074</v>
      </c>
      <c r="Q115" s="1394">
        <f t="shared" si="107"/>
        <v>97040.733869693024</v>
      </c>
      <c r="R115" s="1394">
        <f t="shared" si="107"/>
        <v>98623.071245610758</v>
      </c>
      <c r="S115" s="1394">
        <f t="shared" si="107"/>
        <v>100298.58319048495</v>
      </c>
    </row>
    <row r="116" spans="1:19" s="851" customFormat="1">
      <c r="A116" s="851">
        <v>16</v>
      </c>
      <c r="B116" s="1393">
        <f t="shared" si="94"/>
        <v>97412.873633229887</v>
      </c>
      <c r="C116" s="1394">
        <f t="shared" si="95"/>
        <v>94834.924139109411</v>
      </c>
      <c r="D116" s="1394">
        <f t="shared" si="96"/>
        <v>95432.775013138773</v>
      </c>
      <c r="E116" s="1394">
        <f t="shared" si="97"/>
        <v>93796.976285602243</v>
      </c>
      <c r="F116" s="1394">
        <f t="shared" si="98"/>
        <v>94819.509191842793</v>
      </c>
      <c r="G116" s="1394">
        <f t="shared" si="99"/>
        <v>96019.573033553781</v>
      </c>
      <c r="H116" s="1394">
        <f t="shared" si="100"/>
        <v>97228.500728337676</v>
      </c>
      <c r="I116" s="1394">
        <f t="shared" si="106"/>
        <v>95003.331036939926</v>
      </c>
      <c r="J116" s="1394">
        <f t="shared" si="101"/>
        <v>96295.001686380579</v>
      </c>
      <c r="K116" s="1394">
        <f t="shared" si="102"/>
        <v>97744.768133955076</v>
      </c>
      <c r="L116" s="1394">
        <f t="shared" si="103"/>
        <v>99201.706678569171</v>
      </c>
      <c r="M116" s="1394">
        <f t="shared" si="107"/>
        <v>97229.453751971174</v>
      </c>
      <c r="N116" s="1394">
        <f t="shared" si="107"/>
        <v>98717.980286572769</v>
      </c>
      <c r="O116" s="1394">
        <f t="shared" si="107"/>
        <v>100294.18052015183</v>
      </c>
      <c r="P116" s="1394">
        <f t="shared" si="107"/>
        <v>101875.92005202571</v>
      </c>
      <c r="Q116" s="1394">
        <f t="shared" si="107"/>
        <v>98981.548547086888</v>
      </c>
      <c r="R116" s="1394">
        <f t="shared" si="107"/>
        <v>100595.53267052298</v>
      </c>
      <c r="S116" s="1394">
        <f t="shared" si="107"/>
        <v>102304.55485429465</v>
      </c>
    </row>
    <row r="117" spans="1:19" s="851" customFormat="1">
      <c r="B117" s="1393"/>
      <c r="C117" s="1394"/>
      <c r="D117" s="1394"/>
      <c r="E117" s="1394"/>
      <c r="F117" s="1394"/>
      <c r="G117" s="1394"/>
      <c r="H117" s="1394"/>
      <c r="I117" s="1394"/>
      <c r="J117" s="1394"/>
      <c r="K117" s="1394"/>
      <c r="L117" s="1394"/>
      <c r="M117" s="1394"/>
      <c r="N117" s="1394"/>
      <c r="O117" s="1394"/>
      <c r="P117" s="1394"/>
      <c r="Q117" s="1394"/>
      <c r="R117" s="1394"/>
      <c r="S117" s="1394"/>
    </row>
    <row r="118" spans="1:19">
      <c r="B118" s="1395"/>
      <c r="C118" s="1396"/>
      <c r="D118" s="1396"/>
      <c r="E118" s="1396"/>
      <c r="F118" s="1396"/>
      <c r="G118" s="1396"/>
      <c r="H118" s="1396"/>
      <c r="I118" s="1396"/>
      <c r="J118" s="1396"/>
      <c r="K118" s="1396"/>
      <c r="L118" s="1396"/>
      <c r="M118" s="1396"/>
      <c r="N118" s="1396"/>
      <c r="O118" s="1396"/>
      <c r="P118" s="1396"/>
      <c r="Q118" s="1396"/>
      <c r="R118" s="1396"/>
      <c r="S118" s="1396"/>
    </row>
    <row r="119" spans="1:19">
      <c r="A119" t="s">
        <v>532</v>
      </c>
      <c r="B119" s="1397" t="s">
        <v>551</v>
      </c>
      <c r="C119" s="1398" t="s">
        <v>552</v>
      </c>
      <c r="D119" s="1398" t="s">
        <v>553</v>
      </c>
      <c r="E119" s="1398" t="s">
        <v>554</v>
      </c>
      <c r="F119" s="1398" t="s">
        <v>555</v>
      </c>
      <c r="G119" s="1398" t="s">
        <v>556</v>
      </c>
      <c r="H119" s="1398" t="s">
        <v>557</v>
      </c>
      <c r="I119" s="1398" t="s">
        <v>558</v>
      </c>
      <c r="J119" s="1398" t="s">
        <v>559</v>
      </c>
      <c r="K119" s="1398" t="s">
        <v>560</v>
      </c>
      <c r="L119" s="1398" t="s">
        <v>561</v>
      </c>
      <c r="M119" s="1398" t="s">
        <v>562</v>
      </c>
      <c r="N119" s="1398" t="s">
        <v>563</v>
      </c>
      <c r="O119" s="1398" t="s">
        <v>564</v>
      </c>
      <c r="P119" s="1398" t="s">
        <v>828</v>
      </c>
      <c r="Q119" s="1398" t="s">
        <v>829</v>
      </c>
      <c r="R119" s="1398" t="s">
        <v>830</v>
      </c>
      <c r="S119" s="1398" t="s">
        <v>831</v>
      </c>
    </row>
    <row r="120" spans="1:19">
      <c r="A120" s="851">
        <v>1</v>
      </c>
      <c r="B120" s="1393">
        <f t="shared" ref="B120:S120" si="116">B101*B82</f>
        <v>-2683.5590539034933</v>
      </c>
      <c r="C120" s="1394">
        <f t="shared" si="116"/>
        <v>-1629.97248620613</v>
      </c>
      <c r="D120" s="1394">
        <f t="shared" si="116"/>
        <v>-2282.0909153280631</v>
      </c>
      <c r="E120" s="1394">
        <f t="shared" si="116"/>
        <v>-1565.4740788419531</v>
      </c>
      <c r="F120" s="1394">
        <f t="shared" si="116"/>
        <v>-1063.1023956307217</v>
      </c>
      <c r="G120" s="1394">
        <f t="shared" si="116"/>
        <v>-640.55112183445203</v>
      </c>
      <c r="H120" s="1394">
        <f t="shared" si="116"/>
        <v>-691.85064067915164</v>
      </c>
      <c r="I120" s="1394">
        <f t="shared" si="116"/>
        <v>-344.36385242121253</v>
      </c>
      <c r="J120" s="1394">
        <f t="shared" si="116"/>
        <v>-399.9480672506142</v>
      </c>
      <c r="K120" s="1394">
        <f t="shared" si="116"/>
        <v>-44.980747709816953</v>
      </c>
      <c r="L120" s="1394">
        <f t="shared" si="116"/>
        <v>-117.02313698730084</v>
      </c>
      <c r="M120" s="1394">
        <f t="shared" si="116"/>
        <v>230.39619622758252</v>
      </c>
      <c r="N120" s="1394">
        <f t="shared" si="116"/>
        <v>3.0777442413222755</v>
      </c>
      <c r="O120" s="1394">
        <f t="shared" si="116"/>
        <v>151.61301193575039</v>
      </c>
      <c r="P120" s="1394">
        <f t="shared" si="116"/>
        <v>69.801149178608426</v>
      </c>
      <c r="Q120" s="1394">
        <f t="shared" si="116"/>
        <v>494.87382601476975</v>
      </c>
      <c r="R120" s="1394">
        <f t="shared" si="116"/>
        <v>248.50657543696329</v>
      </c>
      <c r="S120" s="1394">
        <f t="shared" si="116"/>
        <v>412.89143614270449</v>
      </c>
    </row>
    <row r="121" spans="1:19">
      <c r="A121" s="851">
        <v>2</v>
      </c>
      <c r="B121" s="1393">
        <f t="shared" ref="B121:S121" si="117">B102*B83</f>
        <v>-2424.8905662058341</v>
      </c>
      <c r="C121" s="1394">
        <f t="shared" si="117"/>
        <v>-1469.8558296642516</v>
      </c>
      <c r="D121" s="1394">
        <f t="shared" si="117"/>
        <v>-2061.0595280408206</v>
      </c>
      <c r="E121" s="1394">
        <f t="shared" si="117"/>
        <v>-1411.464677515731</v>
      </c>
      <c r="F121" s="1394">
        <f t="shared" si="117"/>
        <v>-955.89491227627468</v>
      </c>
      <c r="G121" s="1394">
        <f t="shared" si="117"/>
        <v>-572.68070198837415</v>
      </c>
      <c r="H121" s="1394">
        <f t="shared" si="117"/>
        <v>-619.09046395130065</v>
      </c>
      <c r="I121" s="1394">
        <f t="shared" si="117"/>
        <v>-304.22315376794489</v>
      </c>
      <c r="J121" s="1394">
        <f t="shared" si="117"/>
        <v>-354.51073911046859</v>
      </c>
      <c r="K121" s="1394">
        <f t="shared" si="117"/>
        <v>-32.551620306578712</v>
      </c>
      <c r="L121" s="1394">
        <f t="shared" si="117"/>
        <v>-97.747366880905986</v>
      </c>
      <c r="M121" s="1394">
        <f t="shared" si="117"/>
        <v>217.08008176333936</v>
      </c>
      <c r="N121" s="1394">
        <f t="shared" si="117"/>
        <v>11.10336497179804</v>
      </c>
      <c r="O121" s="1394">
        <f t="shared" si="117"/>
        <v>145.90807021372174</v>
      </c>
      <c r="P121" s="1394">
        <f t="shared" si="117"/>
        <v>71.865176967980929</v>
      </c>
      <c r="Q121" s="1394">
        <f t="shared" si="117"/>
        <v>457.02067375771463</v>
      </c>
      <c r="R121" s="1394">
        <f t="shared" si="117"/>
        <v>233.78361081797388</v>
      </c>
      <c r="S121" s="1394">
        <f t="shared" si="117"/>
        <v>382.96979843890682</v>
      </c>
    </row>
    <row r="122" spans="1:19">
      <c r="A122" s="851">
        <v>3</v>
      </c>
      <c r="B122" s="1393">
        <f t="shared" ref="B122:S122" si="118">B103*B84</f>
        <v>-2154.8019153787068</v>
      </c>
      <c r="C122" s="1394">
        <f t="shared" si="118"/>
        <v>-1302.6825178662157</v>
      </c>
      <c r="D122" s="1394">
        <f t="shared" si="118"/>
        <v>-1830.2740488959566</v>
      </c>
      <c r="E122" s="1394">
        <f t="shared" si="118"/>
        <v>-1250.668710504923</v>
      </c>
      <c r="F122" s="1394">
        <f t="shared" si="118"/>
        <v>-843.97388862939749</v>
      </c>
      <c r="G122" s="1394">
        <f t="shared" si="118"/>
        <v>-501.83924489971935</v>
      </c>
      <c r="H122" s="1394">
        <f t="shared" si="118"/>
        <v>-543.14313989806396</v>
      </c>
      <c r="I122" s="1394">
        <f t="shared" si="118"/>
        <v>-262.33908162757808</v>
      </c>
      <c r="J122" s="1394">
        <f t="shared" si="118"/>
        <v>-307.0959386178169</v>
      </c>
      <c r="K122" s="1394">
        <f t="shared" si="118"/>
        <v>-19.607335508127022</v>
      </c>
      <c r="L122" s="1394">
        <f t="shared" si="118"/>
        <v>-77.653756715460432</v>
      </c>
      <c r="M122" s="1394">
        <f t="shared" si="118"/>
        <v>203.13916424203546</v>
      </c>
      <c r="N122" s="1394">
        <f t="shared" si="118"/>
        <v>19.448779433796307</v>
      </c>
      <c r="O122" s="1394">
        <f t="shared" si="118"/>
        <v>139.91428561803764</v>
      </c>
      <c r="P122" s="1394">
        <f t="shared" si="118"/>
        <v>73.983845409256887</v>
      </c>
      <c r="Q122" s="1394">
        <f t="shared" si="118"/>
        <v>417.45544587997142</v>
      </c>
      <c r="R122" s="1394">
        <f t="shared" si="118"/>
        <v>218.37232498405012</v>
      </c>
      <c r="S122" s="1394">
        <f t="shared" si="118"/>
        <v>351.68613865250023</v>
      </c>
    </row>
    <row r="123" spans="1:19">
      <c r="A123" s="851">
        <v>4</v>
      </c>
      <c r="B123" s="1393">
        <f t="shared" ref="B123:S123" si="119">B104*B85</f>
        <v>-1872.9397622920126</v>
      </c>
      <c r="C123" s="1394">
        <f t="shared" si="119"/>
        <v>-1128.2343312643927</v>
      </c>
      <c r="D123" s="1394">
        <f t="shared" si="119"/>
        <v>-1589.4327267740821</v>
      </c>
      <c r="E123" s="1394">
        <f t="shared" si="119"/>
        <v>-1082.8763189426768</v>
      </c>
      <c r="F123" s="1394">
        <f t="shared" si="119"/>
        <v>-727.19366607173458</v>
      </c>
      <c r="G123" s="1394">
        <f t="shared" si="119"/>
        <v>-427.93505724672298</v>
      </c>
      <c r="H123" s="1394">
        <f t="shared" si="119"/>
        <v>-463.91028669711727</v>
      </c>
      <c r="I123" s="1394">
        <f t="shared" si="119"/>
        <v>-218.65795734008944</v>
      </c>
      <c r="J123" s="1394">
        <f t="shared" si="119"/>
        <v>-257.64274180981494</v>
      </c>
      <c r="K123" s="1394">
        <f t="shared" si="119"/>
        <v>-6.1322586696146342</v>
      </c>
      <c r="L123" s="1394">
        <f t="shared" si="119"/>
        <v>-56.717303196644686</v>
      </c>
      <c r="M123" s="1394">
        <f t="shared" si="119"/>
        <v>188.55377798717407</v>
      </c>
      <c r="N123" s="1394">
        <f t="shared" si="119"/>
        <v>28.123569128285787</v>
      </c>
      <c r="O123" s="1394">
        <f t="shared" si="119"/>
        <v>133.6223864104407</v>
      </c>
      <c r="P123" s="1394">
        <f t="shared" si="119"/>
        <v>76.158514517396682</v>
      </c>
      <c r="Q123" s="1394">
        <f t="shared" si="119"/>
        <v>376.12480061761545</v>
      </c>
      <c r="R123" s="1394">
        <f t="shared" si="119"/>
        <v>202.25107427244222</v>
      </c>
      <c r="S123" s="1394">
        <f t="shared" si="119"/>
        <v>318.99794455526177</v>
      </c>
    </row>
    <row r="124" spans="1:19">
      <c r="A124" s="851">
        <v>5</v>
      </c>
      <c r="B124" s="1393">
        <f t="shared" ref="B124:S124" si="120">B105*B86</f>
        <v>-1578.9412023156985</v>
      </c>
      <c r="C124" s="1394">
        <f t="shared" si="120"/>
        <v>-946.28714419135019</v>
      </c>
      <c r="D124" s="1394">
        <f t="shared" si="120"/>
        <v>-1338.2256421477741</v>
      </c>
      <c r="E124" s="1394">
        <f t="shared" si="120"/>
        <v>-907.87196423373871</v>
      </c>
      <c r="F124" s="1394">
        <f t="shared" si="120"/>
        <v>-605.40464505631348</v>
      </c>
      <c r="G124" s="1394">
        <f t="shared" si="120"/>
        <v>-350.87396638964685</v>
      </c>
      <c r="H124" s="1394">
        <f t="shared" si="120"/>
        <v>-381.29086211217344</v>
      </c>
      <c r="I124" s="1394">
        <f t="shared" si="120"/>
        <v>-173.12465244845018</v>
      </c>
      <c r="J124" s="1394">
        <f t="shared" si="120"/>
        <v>-206.08857875404573</v>
      </c>
      <c r="K124" s="1394">
        <f t="shared" si="120"/>
        <v>7.8896641766414994</v>
      </c>
      <c r="L124" s="1394">
        <f t="shared" si="120"/>
        <v>-34.912330034390124</v>
      </c>
      <c r="M124" s="1394">
        <f t="shared" si="120"/>
        <v>173.3037206164214</v>
      </c>
      <c r="N124" s="1394">
        <f t="shared" si="120"/>
        <v>37.137570898781327</v>
      </c>
      <c r="O124" s="1394">
        <f t="shared" si="120"/>
        <v>127.02284552029266</v>
      </c>
      <c r="P124" s="1394">
        <f t="shared" si="120"/>
        <v>78.390576851698384</v>
      </c>
      <c r="Q124" s="1394">
        <f t="shared" si="120"/>
        <v>332.97394736641314</v>
      </c>
      <c r="R124" s="1394">
        <f t="shared" si="120"/>
        <v>185.3976246023764</v>
      </c>
      <c r="S124" s="1394">
        <f t="shared" si="120"/>
        <v>284.8615482386727</v>
      </c>
    </row>
    <row r="125" spans="1:19">
      <c r="A125" s="851">
        <v>6</v>
      </c>
      <c r="B125" s="1393">
        <f t="shared" ref="B125:S125" si="121">B106*B87</f>
        <v>-1272.4335240354155</v>
      </c>
      <c r="C125" s="1394">
        <f t="shared" si="121"/>
        <v>-756.61077590288028</v>
      </c>
      <c r="D125" s="1394">
        <f t="shared" si="121"/>
        <v>-1076.3345010457042</v>
      </c>
      <c r="E125" s="1394">
        <f t="shared" si="121"/>
        <v>-725.43428480886587</v>
      </c>
      <c r="F125" s="1394">
        <f t="shared" si="121"/>
        <v>-478.45318573384685</v>
      </c>
      <c r="G125" s="1394">
        <f t="shared" si="121"/>
        <v>-270.55925787538899</v>
      </c>
      <c r="H125" s="1394">
        <f t="shared" si="121"/>
        <v>-295.18109642915306</v>
      </c>
      <c r="I125" s="1394">
        <f t="shared" si="121"/>
        <v>-125.68255217820931</v>
      </c>
      <c r="J125" s="1394">
        <f t="shared" si="121"/>
        <v>-152.36919207932183</v>
      </c>
      <c r="K125" s="1394">
        <f t="shared" si="121"/>
        <v>22.47491684021572</v>
      </c>
      <c r="L125" s="1394">
        <f t="shared" si="121"/>
        <v>-12.21247102436673</v>
      </c>
      <c r="M125" s="1394">
        <f t="shared" si="121"/>
        <v>157.36823943964376</v>
      </c>
      <c r="N125" s="1394">
        <f t="shared" si="121"/>
        <v>46.500883312445374</v>
      </c>
      <c r="O125" s="1394">
        <f t="shared" si="121"/>
        <v>120.10587403997451</v>
      </c>
      <c r="P125" s="1394">
        <f t="shared" si="121"/>
        <v>80.681458273565184</v>
      </c>
      <c r="Q125" s="1394">
        <f t="shared" si="121"/>
        <v>287.94661006491577</v>
      </c>
      <c r="R125" s="1394">
        <f t="shared" si="121"/>
        <v>167.78913651579896</v>
      </c>
      <c r="S125" s="1394">
        <f t="shared" si="121"/>
        <v>249.23209689159799</v>
      </c>
    </row>
    <row r="126" spans="1:19">
      <c r="A126" s="851">
        <v>7</v>
      </c>
      <c r="B126" s="1393">
        <f t="shared" ref="B126:S126" si="122">B107*B88</f>
        <v>-953.0339621429946</v>
      </c>
      <c r="C126" s="1394">
        <f t="shared" si="122"/>
        <v>-558.96883802519483</v>
      </c>
      <c r="D126" s="1394">
        <f t="shared" si="122"/>
        <v>-803.43242404269245</v>
      </c>
      <c r="E126" s="1394">
        <f t="shared" si="122"/>
        <v>-535.33594942130469</v>
      </c>
      <c r="F126" s="1394">
        <f t="shared" si="122"/>
        <v>-346.181506180459</v>
      </c>
      <c r="G126" s="1394">
        <f t="shared" si="122"/>
        <v>-186.89161143400497</v>
      </c>
      <c r="H126" s="1394">
        <f t="shared" si="122"/>
        <v>-205.474423773967</v>
      </c>
      <c r="I126" s="1394">
        <f t="shared" si="122"/>
        <v>-76.273518036179425</v>
      </c>
      <c r="J126" s="1394">
        <f t="shared" si="122"/>
        <v>-96.418594506107382</v>
      </c>
      <c r="K126" s="1394">
        <f t="shared" si="122"/>
        <v>37.640423744662257</v>
      </c>
      <c r="L126" s="1394">
        <f t="shared" si="122"/>
        <v>11.409347278071357</v>
      </c>
      <c r="M126" s="1394">
        <f t="shared" si="122"/>
        <v>140.72601752754846</v>
      </c>
      <c r="N126" s="1394">
        <f t="shared" si="122"/>
        <v>56.223873194296466</v>
      </c>
      <c r="O126" s="1394">
        <f t="shared" si="122"/>
        <v>112.86141456223552</v>
      </c>
      <c r="P126" s="1394">
        <f t="shared" si="122"/>
        <v>83.032618721565967</v>
      </c>
      <c r="Q126" s="1394">
        <f t="shared" si="122"/>
        <v>240.98498969241189</v>
      </c>
      <c r="R126" s="1394">
        <f t="shared" si="122"/>
        <v>149.40214985591746</v>
      </c>
      <c r="S126" s="1394">
        <f t="shared" si="122"/>
        <v>212.06352287134482</v>
      </c>
    </row>
    <row r="127" spans="1:19">
      <c r="A127" s="851">
        <v>8</v>
      </c>
      <c r="B127" s="1393">
        <f t="shared" ref="B127:S127" si="123">B108*B89</f>
        <v>-620.34944436526268</v>
      </c>
      <c r="C127" s="1394">
        <f t="shared" si="123"/>
        <v>-353.118578322041</v>
      </c>
      <c r="D127" s="1394">
        <f t="shared" si="123"/>
        <v>-519.18373015914199</v>
      </c>
      <c r="E127" s="1394">
        <f t="shared" si="123"/>
        <v>-337.34350690431762</v>
      </c>
      <c r="F127" s="1394">
        <f t="shared" si="123"/>
        <v>-208.42757817064205</v>
      </c>
      <c r="G127" s="1394">
        <f t="shared" si="123"/>
        <v>-99.769035431815411</v>
      </c>
      <c r="H127" s="1394">
        <f t="shared" si="123"/>
        <v>-112.06141177400185</v>
      </c>
      <c r="I127" s="1394">
        <f t="shared" si="123"/>
        <v>-24.837849507597056</v>
      </c>
      <c r="J127" s="1394">
        <f t="shared" si="123"/>
        <v>-38.169025353132611</v>
      </c>
      <c r="K127" s="1394">
        <f t="shared" si="123"/>
        <v>53.403560958550571</v>
      </c>
      <c r="L127" s="1394">
        <f t="shared" si="123"/>
        <v>35.980923301016716</v>
      </c>
      <c r="M127" s="1394">
        <f t="shared" si="123"/>
        <v>123.35515944319349</v>
      </c>
      <c r="N127" s="1394">
        <f t="shared" si="123"/>
        <v>66.317182318096627</v>
      </c>
      <c r="O127" s="1394">
        <f t="shared" si="123"/>
        <v>105.27913435577101</v>
      </c>
      <c r="P127" s="1394">
        <f t="shared" si="123"/>
        <v>85.44555300417737</v>
      </c>
      <c r="Q127" s="1394">
        <f t="shared" si="123"/>
        <v>192.0297258609819</v>
      </c>
      <c r="R127" s="1394">
        <f t="shared" si="123"/>
        <v>130.2125680750344</v>
      </c>
      <c r="S127" s="1394">
        <f t="shared" si="123"/>
        <v>173.30851305152487</v>
      </c>
    </row>
    <row r="128" spans="1:19">
      <c r="A128" s="851">
        <v>9</v>
      </c>
      <c r="B128" s="1393">
        <f t="shared" ref="B128:S128" si="124">B109*B90</f>
        <v>-273.97633229156435</v>
      </c>
      <c r="C128" s="1394">
        <f t="shared" si="124"/>
        <v>-138.81072069555086</v>
      </c>
      <c r="D128" s="1394">
        <f t="shared" si="124"/>
        <v>-223.24371555063237</v>
      </c>
      <c r="E128" s="1394">
        <f t="shared" si="124"/>
        <v>-131.21723230688249</v>
      </c>
      <c r="F128" s="1394">
        <f t="shared" si="124"/>
        <v>-65.025020437960265</v>
      </c>
      <c r="G128" s="1394">
        <f t="shared" si="124"/>
        <v>-9.0867997449646634</v>
      </c>
      <c r="H128" s="1394">
        <f t="shared" si="124"/>
        <v>-14.829689524528503</v>
      </c>
      <c r="I128" s="1394">
        <f t="shared" si="124"/>
        <v>28.685755169343082</v>
      </c>
      <c r="J128" s="1394">
        <f t="shared" si="124"/>
        <v>22.449094003763594</v>
      </c>
      <c r="K128" s="1394">
        <f t="shared" si="124"/>
        <v>69.782167491496551</v>
      </c>
      <c r="L128" s="1394">
        <f t="shared" si="124"/>
        <v>61.530798625968657</v>
      </c>
      <c r="M128" s="1394">
        <f t="shared" si="124"/>
        <v>105.23317662845328</v>
      </c>
      <c r="N128" s="1394">
        <f t="shared" si="124"/>
        <v>76.791734257571079</v>
      </c>
      <c r="O128" s="1394">
        <f t="shared" si="124"/>
        <v>97.348418375222991</v>
      </c>
      <c r="P128" s="1394">
        <f t="shared" si="124"/>
        <v>87.9217916106046</v>
      </c>
      <c r="Q128" s="1394">
        <f t="shared" si="124"/>
        <v>141.01985748041773</v>
      </c>
      <c r="R128" s="1394">
        <f t="shared" si="124"/>
        <v>110.19564216297364</v>
      </c>
      <c r="S128" s="1394">
        <f t="shared" si="124"/>
        <v>132.91847742976361</v>
      </c>
    </row>
    <row r="129" spans="1:19">
      <c r="A129" s="851">
        <v>10</v>
      </c>
      <c r="B129" s="1393">
        <f t="shared" ref="B129:S129" si="125">B110*B91</f>
        <v>86.499844042828059</v>
      </c>
      <c r="C129" s="1394">
        <f t="shared" si="125"/>
        <v>84.210698667327733</v>
      </c>
      <c r="D129" s="1394">
        <f t="shared" si="125"/>
        <v>84.74157313428131</v>
      </c>
      <c r="E129" s="1394">
        <f t="shared" si="125"/>
        <v>83.28903067721177</v>
      </c>
      <c r="F129" s="1394">
        <f t="shared" si="125"/>
        <v>84.197010635297048</v>
      </c>
      <c r="G129" s="1394">
        <f t="shared" si="125"/>
        <v>85.262632983532825</v>
      </c>
      <c r="H129" s="1394">
        <f t="shared" si="125"/>
        <v>86.336126179633382</v>
      </c>
      <c r="I129" s="1394">
        <f t="shared" si="125"/>
        <v>84.360239173163862</v>
      </c>
      <c r="J129" s="1394">
        <f t="shared" si="125"/>
        <v>85.507205745076902</v>
      </c>
      <c r="K129" s="1394">
        <f t="shared" si="125"/>
        <v>86.794556861376947</v>
      </c>
      <c r="L129" s="1394">
        <f t="shared" si="125"/>
        <v>88.08827659459827</v>
      </c>
      <c r="M129" s="1394">
        <f t="shared" si="125"/>
        <v>86.336972437346191</v>
      </c>
      <c r="N129" s="1394">
        <f t="shared" si="125"/>
        <v>87.658741401697284</v>
      </c>
      <c r="O129" s="1394">
        <f t="shared" si="125"/>
        <v>89.058362101710756</v>
      </c>
      <c r="P129" s="1394">
        <f t="shared" si="125"/>
        <v>90.462901540087259</v>
      </c>
      <c r="Q129" s="1394">
        <f t="shared" si="125"/>
        <v>87.892782474286591</v>
      </c>
      <c r="R129" s="1394">
        <f t="shared" si="125"/>
        <v>89.325954187200438</v>
      </c>
      <c r="S129" s="1394">
        <f t="shared" si="125"/>
        <v>90.843516977911278</v>
      </c>
    </row>
    <row r="130" spans="1:19" s="851" customFormat="1">
      <c r="A130" s="851">
        <v>11</v>
      </c>
      <c r="B130" s="1393">
        <f t="shared" ref="B130:S130" si="126">B111*B92</f>
        <v>461.50465796351284</v>
      </c>
      <c r="C130" s="1394">
        <f t="shared" si="126"/>
        <v>316.20849909299972</v>
      </c>
      <c r="D130" s="1394">
        <f t="shared" si="126"/>
        <v>405.13557085281184</v>
      </c>
      <c r="E130" s="1394">
        <f t="shared" si="126"/>
        <v>306.42803107359259</v>
      </c>
      <c r="F130" s="1394">
        <f t="shared" si="126"/>
        <v>239.41393295965986</v>
      </c>
      <c r="G130" s="1394">
        <f t="shared" si="126"/>
        <v>183.3896777410682</v>
      </c>
      <c r="H130" s="1394">
        <f t="shared" si="126"/>
        <v>191.55450638777154</v>
      </c>
      <c r="I130" s="1394">
        <f t="shared" si="126"/>
        <v>142.25022823506973</v>
      </c>
      <c r="J130" s="1394">
        <f t="shared" si="126"/>
        <v>151.07866231844125</v>
      </c>
      <c r="K130" s="1394">
        <f t="shared" si="126"/>
        <v>104.45952893905596</v>
      </c>
      <c r="L130" s="1394">
        <f t="shared" si="126"/>
        <v>115.68344136252269</v>
      </c>
      <c r="M130" s="1394">
        <f t="shared" si="126"/>
        <v>66.642826807943464</v>
      </c>
      <c r="N130" s="1394">
        <f t="shared" si="126"/>
        <v>98.929712137885502</v>
      </c>
      <c r="O130" s="1394">
        <f t="shared" si="126"/>
        <v>80.397764209907933</v>
      </c>
      <c r="P130" s="1394">
        <f t="shared" si="126"/>
        <v>93.070487150104981</v>
      </c>
      <c r="Q130" s="1394">
        <f t="shared" si="126"/>
        <v>32.584216524918048</v>
      </c>
      <c r="R130" s="1394">
        <f t="shared" si="126"/>
        <v>67.577400435531118</v>
      </c>
      <c r="S130" s="1394">
        <f t="shared" si="126"/>
        <v>47.032390717012944</v>
      </c>
    </row>
    <row r="131" spans="1:19" s="851" customFormat="1">
      <c r="A131" s="851">
        <v>12</v>
      </c>
      <c r="B131" s="1393">
        <f t="shared" ref="B131:S131" si="127">B112*B93</f>
        <v>851.47506450340791</v>
      </c>
      <c r="C131" s="1394">
        <f t="shared" si="127"/>
        <v>557.45252725623152</v>
      </c>
      <c r="D131" s="1394">
        <f t="shared" si="127"/>
        <v>738.31143185082976</v>
      </c>
      <c r="E131" s="1394">
        <f t="shared" si="127"/>
        <v>538.45927587355777</v>
      </c>
      <c r="F131" s="1394">
        <f t="shared" si="127"/>
        <v>400.80585337274306</v>
      </c>
      <c r="G131" s="1394">
        <f t="shared" si="127"/>
        <v>285.40769923571162</v>
      </c>
      <c r="H131" s="1394">
        <f t="shared" si="127"/>
        <v>300.94708735376338</v>
      </c>
      <c r="I131" s="1394">
        <f t="shared" si="127"/>
        <v>202.42207276378255</v>
      </c>
      <c r="J131" s="1394">
        <f t="shared" si="127"/>
        <v>219.23877427244219</v>
      </c>
      <c r="K131" s="1394">
        <f t="shared" si="127"/>
        <v>122.79638207709758</v>
      </c>
      <c r="L131" s="1394">
        <f t="shared" si="127"/>
        <v>144.34717741052623</v>
      </c>
      <c r="M131" s="1394">
        <f t="shared" si="127"/>
        <v>46.12638056438967</v>
      </c>
      <c r="N131" s="1394">
        <f t="shared" si="127"/>
        <v>110.61645820696057</v>
      </c>
      <c r="O131" s="1394">
        <f t="shared" si="127"/>
        <v>71.355119057592304</v>
      </c>
      <c r="P131" s="1394">
        <f t="shared" si="127"/>
        <v>95.746191023907386</v>
      </c>
      <c r="Q131" s="1394">
        <f t="shared" si="127"/>
        <v>-24.97184917541496</v>
      </c>
      <c r="R131" s="1394">
        <f t="shared" si="127"/>
        <v>44.923174152120161</v>
      </c>
      <c r="S131" s="1394">
        <f t="shared" si="127"/>
        <v>1.4324819988875079</v>
      </c>
    </row>
    <row r="132" spans="1:19" s="851" customFormat="1">
      <c r="A132" s="851">
        <v>13</v>
      </c>
      <c r="B132" s="1393">
        <f t="shared" ref="B132:S132" si="128">B113*B94</f>
        <v>1256.8596854417133</v>
      </c>
      <c r="C132" s="1394">
        <f t="shared" si="128"/>
        <v>808.21983314635554</v>
      </c>
      <c r="D132" s="1394">
        <f t="shared" si="128"/>
        <v>1084.6522730604274</v>
      </c>
      <c r="E132" s="1394">
        <f t="shared" si="128"/>
        <v>779.64919925309209</v>
      </c>
      <c r="F132" s="1394">
        <f t="shared" si="128"/>
        <v>568.55768502916567</v>
      </c>
      <c r="G132" s="1394">
        <f t="shared" si="128"/>
        <v>391.43308571904436</v>
      </c>
      <c r="H132" s="1394">
        <f t="shared" si="128"/>
        <v>414.6387497558398</v>
      </c>
      <c r="I132" s="1394">
        <f t="shared" si="128"/>
        <v>264.9438909823499</v>
      </c>
      <c r="J132" s="1394">
        <f t="shared" si="128"/>
        <v>290.06485923967574</v>
      </c>
      <c r="K132" s="1394">
        <f t="shared" si="128"/>
        <v>141.82492552908522</v>
      </c>
      <c r="L132" s="1394">
        <f t="shared" si="128"/>
        <v>174.1111895239049</v>
      </c>
      <c r="M132" s="1394">
        <f t="shared" si="128"/>
        <v>24.762619340370556</v>
      </c>
      <c r="N132" s="1394">
        <f t="shared" si="128"/>
        <v>122.73110223394349</v>
      </c>
      <c r="O132" s="1394">
        <f t="shared" si="128"/>
        <v>61.918608993500094</v>
      </c>
      <c r="P132" s="1394">
        <f t="shared" si="128"/>
        <v>98.491694857801832</v>
      </c>
      <c r="Q132" s="1394">
        <f t="shared" si="128"/>
        <v>-84.843191190371257</v>
      </c>
      <c r="R132" s="1394">
        <f t="shared" si="128"/>
        <v>21.335747857198541</v>
      </c>
      <c r="S132" s="1394">
        <f t="shared" si="128"/>
        <v>-46.01023602424975</v>
      </c>
    </row>
    <row r="133" spans="1:19" s="851" customFormat="1">
      <c r="A133" s="851">
        <v>14</v>
      </c>
      <c r="B133" s="1393">
        <f t="shared" ref="B133:S133" si="129">B114*B95</f>
        <v>1678.1191011917499</v>
      </c>
      <c r="C133" s="1394">
        <f t="shared" si="129"/>
        <v>1068.7948502611821</v>
      </c>
      <c r="D133" s="1394">
        <f t="shared" si="129"/>
        <v>1444.5514233456686</v>
      </c>
      <c r="E133" s="1394">
        <f t="shared" si="129"/>
        <v>1030.2713358574586</v>
      </c>
      <c r="F133" s="1394">
        <f t="shared" si="129"/>
        <v>742.8592676104962</v>
      </c>
      <c r="G133" s="1394">
        <f t="shared" si="129"/>
        <v>501.58532458201609</v>
      </c>
      <c r="H133" s="1394">
        <f t="shared" si="129"/>
        <v>532.75769981905773</v>
      </c>
      <c r="I133" s="1394">
        <f t="shared" si="129"/>
        <v>329.88561310055439</v>
      </c>
      <c r="J133" s="1394">
        <f t="shared" si="129"/>
        <v>363.63629209588964</v>
      </c>
      <c r="K133" s="1394">
        <f t="shared" si="129"/>
        <v>161.56549216632158</v>
      </c>
      <c r="L133" s="1394">
        <f t="shared" si="129"/>
        <v>205.00802325085454</v>
      </c>
      <c r="M133" s="1394">
        <f t="shared" si="129"/>
        <v>2.5258571151649156</v>
      </c>
      <c r="N133" s="1394">
        <f t="shared" si="129"/>
        <v>135.28608543872292</v>
      </c>
      <c r="O133" s="1394">
        <f t="shared" si="129"/>
        <v>52.076096479221157</v>
      </c>
      <c r="P133" s="1394">
        <f t="shared" si="129"/>
        <v>101.3087203686425</v>
      </c>
      <c r="Q133" s="1394">
        <f t="shared" si="129"/>
        <v>-147.09939814625562</v>
      </c>
      <c r="R133" s="1394">
        <f t="shared" si="129"/>
        <v>-3.2131447591807905</v>
      </c>
      <c r="S133" s="1394">
        <f t="shared" si="129"/>
        <v>-95.351235761112051</v>
      </c>
    </row>
    <row r="134" spans="1:19" s="851" customFormat="1">
      <c r="A134" s="851">
        <v>15</v>
      </c>
      <c r="B134" s="1393">
        <f t="shared" ref="B134:S134" si="130">B115*B96</f>
        <v>2115.7261496976112</v>
      </c>
      <c r="C134" s="1394">
        <f t="shared" si="130"/>
        <v>1339.4695801273429</v>
      </c>
      <c r="D134" s="1394">
        <f t="shared" si="130"/>
        <v>1818.4126787330952</v>
      </c>
      <c r="E134" s="1394">
        <f t="shared" si="130"/>
        <v>1290.6064982462981</v>
      </c>
      <c r="F134" s="1394">
        <f t="shared" si="130"/>
        <v>923.90549042106818</v>
      </c>
      <c r="G134" s="1394">
        <f t="shared" si="130"/>
        <v>615.98707976521905</v>
      </c>
      <c r="H134" s="1394">
        <f t="shared" si="130"/>
        <v>655.43555238490217</v>
      </c>
      <c r="I134" s="1394">
        <f t="shared" si="130"/>
        <v>397.31902654709415</v>
      </c>
      <c r="J134" s="1394">
        <f t="shared" si="130"/>
        <v>440.03455632265621</v>
      </c>
      <c r="K134" s="1394">
        <f t="shared" si="130"/>
        <v>182.0389514988357</v>
      </c>
      <c r="L134" s="1394">
        <f t="shared" si="130"/>
        <v>237.07108585107258</v>
      </c>
      <c r="M134" s="1394">
        <f t="shared" si="130"/>
        <v>-20.6102806467851</v>
      </c>
      <c r="N134" s="1394">
        <f t="shared" si="130"/>
        <v>148.29417553079998</v>
      </c>
      <c r="O134" s="1394">
        <f t="shared" si="130"/>
        <v>41.815116020773665</v>
      </c>
      <c r="P134" s="1394">
        <f t="shared" si="130"/>
        <v>104.19903022197366</v>
      </c>
      <c r="Q134" s="1394">
        <f t="shared" si="130"/>
        <v>-211.81191610389928</v>
      </c>
      <c r="R134" s="1394">
        <f t="shared" si="130"/>
        <v>-28.752527379358177</v>
      </c>
      <c r="S134" s="1394">
        <f t="shared" si="130"/>
        <v>-146.64747139303915</v>
      </c>
    </row>
    <row r="135" spans="1:19" s="851" customFormat="1">
      <c r="A135" s="851">
        <v>16</v>
      </c>
      <c r="B135" s="1393">
        <f t="shared" ref="B135:S135" si="131">B116*B97</f>
        <v>2570.1662325032298</v>
      </c>
      <c r="C135" s="1394">
        <f t="shared" si="131"/>
        <v>1620.5437812480459</v>
      </c>
      <c r="D135" s="1394">
        <f t="shared" si="131"/>
        <v>2206.650563766681</v>
      </c>
      <c r="E135" s="1394">
        <f t="shared" si="131"/>
        <v>1560.9429585963485</v>
      </c>
      <c r="F135" s="1394">
        <f t="shared" si="131"/>
        <v>1111.8964184370191</v>
      </c>
      <c r="G135" s="1394">
        <f t="shared" si="131"/>
        <v>734.76427102591731</v>
      </c>
      <c r="H135" s="1394">
        <f t="shared" si="131"/>
        <v>782.80741597345263</v>
      </c>
      <c r="I135" s="1394">
        <f t="shared" si="131"/>
        <v>467.31782228625531</v>
      </c>
      <c r="J135" s="1394">
        <f t="shared" si="131"/>
        <v>519.34329660165508</v>
      </c>
      <c r="K135" s="1394">
        <f t="shared" si="131"/>
        <v>203.2667230077839</v>
      </c>
      <c r="L135" s="1394">
        <f t="shared" si="131"/>
        <v>270.33466774599896</v>
      </c>
      <c r="M135" s="1394">
        <f t="shared" si="131"/>
        <v>-44.672874262059189</v>
      </c>
      <c r="N135" s="1394">
        <f t="shared" si="131"/>
        <v>161.76847479238461</v>
      </c>
      <c r="O135" s="1394">
        <f t="shared" si="131"/>
        <v>31.122865905396576</v>
      </c>
      <c r="P135" s="1394">
        <f t="shared" si="131"/>
        <v>107.16442898129061</v>
      </c>
      <c r="Q135" s="1394">
        <f t="shared" si="131"/>
        <v>-279.05409502059013</v>
      </c>
      <c r="R135" s="1394">
        <f t="shared" si="131"/>
        <v>-55.312200046438988</v>
      </c>
      <c r="S135" s="1394">
        <f t="shared" si="131"/>
        <v>-199.9574159559389</v>
      </c>
    </row>
    <row r="136" spans="1:19" s="851" customFormat="1">
      <c r="B136" s="1393"/>
      <c r="C136" s="1394"/>
      <c r="D136" s="1394"/>
      <c r="E136" s="1394"/>
      <c r="F136" s="1394"/>
      <c r="G136" s="1394"/>
      <c r="H136" s="1394"/>
      <c r="I136" s="1394"/>
      <c r="J136" s="1394"/>
      <c r="K136" s="1394"/>
      <c r="L136" s="1394"/>
      <c r="M136" s="1394"/>
      <c r="N136" s="1394"/>
      <c r="O136" s="1394"/>
      <c r="P136" s="1394"/>
      <c r="Q136" s="1394"/>
      <c r="R136" s="1394"/>
      <c r="S136" s="1394"/>
    </row>
    <row r="137" spans="1:19">
      <c r="B137" s="1395"/>
      <c r="C137" s="1396"/>
      <c r="D137" s="1396"/>
      <c r="E137" s="1396"/>
      <c r="F137" s="1396"/>
      <c r="G137" s="1396"/>
      <c r="H137" s="1396"/>
      <c r="I137" s="1396"/>
      <c r="J137" s="1396"/>
      <c r="K137" s="1396"/>
      <c r="L137" s="1396"/>
      <c r="M137" s="1396"/>
      <c r="N137" s="1396"/>
      <c r="O137" s="1396"/>
      <c r="P137" s="1396"/>
      <c r="Q137" s="1396"/>
      <c r="R137" s="1396"/>
      <c r="S137" s="1396"/>
    </row>
    <row r="138" spans="1:19">
      <c r="A138" t="s">
        <v>533</v>
      </c>
      <c r="B138" s="1397"/>
      <c r="C138" s="1398"/>
      <c r="D138" s="1398"/>
      <c r="E138" s="1398"/>
      <c r="F138" s="1398"/>
      <c r="G138" s="1398"/>
      <c r="H138" s="1398"/>
      <c r="I138" s="1398"/>
      <c r="J138" s="1398"/>
      <c r="K138" s="1398"/>
      <c r="L138" s="1398"/>
      <c r="M138" s="1398"/>
      <c r="N138" s="1398"/>
      <c r="O138" s="1398"/>
      <c r="P138" s="1398"/>
      <c r="Q138" s="1398"/>
      <c r="R138" s="1398"/>
      <c r="S138" s="1398"/>
    </row>
    <row r="139" spans="1:19">
      <c r="A139">
        <v>1</v>
      </c>
      <c r="B139" s="1393">
        <f t="shared" ref="B139:S139" si="132">B120/((1+B$53)^$A139)</f>
        <v>-2485.9716157208209</v>
      </c>
      <c r="C139" s="1394">
        <f t="shared" si="132"/>
        <v>-1510.4609373687811</v>
      </c>
      <c r="D139" s="1394">
        <f t="shared" si="132"/>
        <v>-2114.5990050639821</v>
      </c>
      <c r="E139" s="1394">
        <f t="shared" si="132"/>
        <v>-1450.8931261767202</v>
      </c>
      <c r="F139" s="1394">
        <f t="shared" si="132"/>
        <v>-985.15645560073222</v>
      </c>
      <c r="G139" s="1394">
        <f t="shared" si="132"/>
        <v>-593.49324671351496</v>
      </c>
      <c r="H139" s="1394">
        <f t="shared" si="132"/>
        <v>-640.92529964204232</v>
      </c>
      <c r="I139" s="1394">
        <f t="shared" si="132"/>
        <v>-319.10758031757729</v>
      </c>
      <c r="J139" s="1394">
        <f t="shared" si="132"/>
        <v>-370.5528802315589</v>
      </c>
      <c r="K139" s="1394">
        <f t="shared" si="132"/>
        <v>-41.667137764942915</v>
      </c>
      <c r="L139" s="1394">
        <f t="shared" si="132"/>
        <v>-108.38298436085847</v>
      </c>
      <c r="M139" s="1394">
        <f t="shared" si="132"/>
        <v>213.4373009273136</v>
      </c>
      <c r="N139" s="1394">
        <f t="shared" si="132"/>
        <v>2.8506730838965133</v>
      </c>
      <c r="O139" s="1394">
        <f t="shared" si="132"/>
        <v>140.40065181397622</v>
      </c>
      <c r="P139" s="1394">
        <f t="shared" si="132"/>
        <v>64.627188959323618</v>
      </c>
      <c r="Q139" s="1394">
        <f t="shared" si="132"/>
        <v>458.3481016190924</v>
      </c>
      <c r="R139" s="1394">
        <f t="shared" si="132"/>
        <v>230.12039194784842</v>
      </c>
      <c r="S139" s="1394">
        <f t="shared" si="132"/>
        <v>382.26745911458994</v>
      </c>
    </row>
    <row r="140" spans="1:19">
      <c r="A140">
        <v>2</v>
      </c>
      <c r="B140" s="1393">
        <f t="shared" ref="B140:S140" si="133">B121/((1+B$53)^$A140)</f>
        <v>-2080.952474631832</v>
      </c>
      <c r="C140" s="1394">
        <f t="shared" si="133"/>
        <v>-1262.214568675181</v>
      </c>
      <c r="D140" s="1394">
        <f t="shared" si="133"/>
        <v>-1769.6227716475762</v>
      </c>
      <c r="E140" s="1394">
        <f t="shared" si="133"/>
        <v>-1212.4088522737404</v>
      </c>
      <c r="F140" s="1394">
        <f t="shared" si="133"/>
        <v>-820.86241616755456</v>
      </c>
      <c r="G140" s="1394">
        <f t="shared" si="133"/>
        <v>-491.62789798341407</v>
      </c>
      <c r="H140" s="1394">
        <f t="shared" si="133"/>
        <v>-531.30542427179</v>
      </c>
      <c r="I140" s="1394">
        <f t="shared" si="133"/>
        <v>-261.23501671304876</v>
      </c>
      <c r="J140" s="1394">
        <f t="shared" si="133"/>
        <v>-304.31445189304543</v>
      </c>
      <c r="K140" s="1394">
        <f t="shared" si="133"/>
        <v>-27.932294186513914</v>
      </c>
      <c r="L140" s="1394">
        <f t="shared" si="133"/>
        <v>-83.846281342472224</v>
      </c>
      <c r="M140" s="1394">
        <f t="shared" si="133"/>
        <v>186.29877859492603</v>
      </c>
      <c r="N140" s="1394">
        <f t="shared" si="133"/>
        <v>9.5254256378922122</v>
      </c>
      <c r="O140" s="1394">
        <f t="shared" si="133"/>
        <v>125.12514983422415</v>
      </c>
      <c r="P140" s="1394">
        <f t="shared" si="133"/>
        <v>61.606124076145427</v>
      </c>
      <c r="Q140" s="1394">
        <f t="shared" si="133"/>
        <v>392.04665353720759</v>
      </c>
      <c r="R140" s="1394">
        <f t="shared" si="133"/>
        <v>200.46959041382445</v>
      </c>
      <c r="S140" s="1394">
        <f t="shared" si="133"/>
        <v>328.26715824570084</v>
      </c>
    </row>
    <row r="141" spans="1:19">
      <c r="A141">
        <v>3</v>
      </c>
      <c r="B141" s="1393">
        <f t="shared" ref="B141:S141" si="134">B122/((1+B$53)^$A141)</f>
        <v>-1713.0197876876284</v>
      </c>
      <c r="C141" s="1394">
        <f t="shared" si="134"/>
        <v>-1036.6359334641527</v>
      </c>
      <c r="D141" s="1394">
        <f t="shared" si="134"/>
        <v>-1456.1340793980721</v>
      </c>
      <c r="E141" s="1394">
        <f t="shared" si="134"/>
        <v>-995.65965930887933</v>
      </c>
      <c r="F141" s="1394">
        <f t="shared" si="134"/>
        <v>-671.61338463429263</v>
      </c>
      <c r="G141" s="1394">
        <f t="shared" si="134"/>
        <v>-399.16327505521195</v>
      </c>
      <c r="H141" s="1394">
        <f t="shared" si="134"/>
        <v>-431.81676702217965</v>
      </c>
      <c r="I141" s="1394">
        <f t="shared" si="134"/>
        <v>-208.74769251483738</v>
      </c>
      <c r="J141" s="1394">
        <f t="shared" si="134"/>
        <v>-244.2383433826769</v>
      </c>
      <c r="K141" s="1394">
        <f t="shared" si="134"/>
        <v>-15.585458201686659</v>
      </c>
      <c r="L141" s="1394">
        <f t="shared" si="134"/>
        <v>-61.692245619524748</v>
      </c>
      <c r="M141" s="1394">
        <f t="shared" si="134"/>
        <v>161.50229865784178</v>
      </c>
      <c r="N141" s="1394">
        <f t="shared" si="134"/>
        <v>15.453861450311596</v>
      </c>
      <c r="O141" s="1394">
        <f t="shared" si="134"/>
        <v>111.11175439781798</v>
      </c>
      <c r="P141" s="1394">
        <f t="shared" si="134"/>
        <v>58.721207950604388</v>
      </c>
      <c r="Q141" s="1394">
        <f t="shared" si="134"/>
        <v>331.67519131365208</v>
      </c>
      <c r="R141" s="1394">
        <f t="shared" si="134"/>
        <v>173.4000664078207</v>
      </c>
      <c r="S141" s="1394">
        <f t="shared" si="134"/>
        <v>279.09343147612805</v>
      </c>
    </row>
    <row r="142" spans="1:19">
      <c r="A142">
        <v>4</v>
      </c>
      <c r="B142" s="1393">
        <f t="shared" ref="B142:S142" si="135">B123/((1+B$53)^$A142)</f>
        <v>-1379.316226852844</v>
      </c>
      <c r="C142" s="1394">
        <f t="shared" si="135"/>
        <v>-831.9863661915125</v>
      </c>
      <c r="D142" s="1394">
        <f t="shared" si="135"/>
        <v>-1171.716313844272</v>
      </c>
      <c r="E142" s="1394">
        <f t="shared" si="135"/>
        <v>-798.98205502957001</v>
      </c>
      <c r="F142" s="1394">
        <f t="shared" si="135"/>
        <v>-536.25398251059494</v>
      </c>
      <c r="G142" s="1394">
        <f t="shared" si="135"/>
        <v>-315.37394286637181</v>
      </c>
      <c r="H142" s="1394">
        <f t="shared" si="135"/>
        <v>-341.67584191367064</v>
      </c>
      <c r="I142" s="1394">
        <f t="shared" si="135"/>
        <v>-161.22914077871039</v>
      </c>
      <c r="J142" s="1394">
        <f t="shared" si="135"/>
        <v>-189.84723478483744</v>
      </c>
      <c r="K142" s="1394">
        <f t="shared" si="135"/>
        <v>-4.5153192141598542</v>
      </c>
      <c r="L142" s="1394">
        <f t="shared" si="135"/>
        <v>-41.732370116955494</v>
      </c>
      <c r="M142" s="1394">
        <f t="shared" si="135"/>
        <v>138.8721952869505</v>
      </c>
      <c r="N142" s="1394">
        <f t="shared" si="135"/>
        <v>20.698076445729388</v>
      </c>
      <c r="O142" s="1394">
        <f t="shared" si="135"/>
        <v>98.267479723530229</v>
      </c>
      <c r="P142" s="1394">
        <f t="shared" si="135"/>
        <v>55.966640470995628</v>
      </c>
      <c r="Q142" s="1394">
        <f t="shared" si="135"/>
        <v>276.78068531344917</v>
      </c>
      <c r="R142" s="1394">
        <f t="shared" si="135"/>
        <v>148.71669283593656</v>
      </c>
      <c r="S142" s="1394">
        <f t="shared" si="135"/>
        <v>234.37630509695188</v>
      </c>
    </row>
    <row r="143" spans="1:19">
      <c r="A143">
        <v>5</v>
      </c>
      <c r="B143" s="1393">
        <f t="shared" ref="B143:S143" si="136">B124/((1+B$53)^$A143)</f>
        <v>-1077.1867491626631</v>
      </c>
      <c r="C143" s="1394">
        <f t="shared" si="136"/>
        <v>-646.649674660502</v>
      </c>
      <c r="D143" s="1394">
        <f t="shared" si="136"/>
        <v>-914.12324860487047</v>
      </c>
      <c r="E143" s="1394">
        <f t="shared" si="136"/>
        <v>-620.82945843932998</v>
      </c>
      <c r="F143" s="1394">
        <f t="shared" si="136"/>
        <v>-413.71027056221482</v>
      </c>
      <c r="G143" s="1394">
        <f t="shared" si="136"/>
        <v>-239.58579945017001</v>
      </c>
      <c r="H143" s="1394">
        <f t="shared" si="136"/>
        <v>-260.15473543347014</v>
      </c>
      <c r="I143" s="1394">
        <f t="shared" si="136"/>
        <v>-118.29236934908695</v>
      </c>
      <c r="J143" s="1394">
        <f t="shared" si="136"/>
        <v>-140.69766134406908</v>
      </c>
      <c r="K143" s="1394">
        <f t="shared" si="136"/>
        <v>5.3813781208291616</v>
      </c>
      <c r="L143" s="1394">
        <f t="shared" si="136"/>
        <v>-23.791711310817671</v>
      </c>
      <c r="M143" s="1394">
        <f t="shared" si="136"/>
        <v>118.24504866801297</v>
      </c>
      <c r="N143" s="1394">
        <f t="shared" si="136"/>
        <v>25.315582960460556</v>
      </c>
      <c r="O143" s="1394">
        <f t="shared" si="136"/>
        <v>86.505770763530819</v>
      </c>
      <c r="P143" s="1394">
        <f t="shared" si="136"/>
        <v>53.336845589244099</v>
      </c>
      <c r="Q143" s="1394">
        <f t="shared" si="136"/>
        <v>226.942072623858</v>
      </c>
      <c r="R143" s="1394">
        <f t="shared" si="136"/>
        <v>126.23804724767108</v>
      </c>
      <c r="S143" s="1394">
        <f t="shared" si="136"/>
        <v>193.77203654588425</v>
      </c>
    </row>
    <row r="144" spans="1:19">
      <c r="A144">
        <v>6</v>
      </c>
      <c r="B144" s="1393">
        <f t="shared" ref="B144:S144" si="137">B125/((1+B$53)^$A144)</f>
        <v>-804.16497965412611</v>
      </c>
      <c r="C144" s="1394">
        <f t="shared" si="137"/>
        <v>-479.12393889812273</v>
      </c>
      <c r="D144" s="1394">
        <f t="shared" si="137"/>
        <v>-681.26762335096225</v>
      </c>
      <c r="E144" s="1394">
        <f t="shared" si="137"/>
        <v>-459.76438929101215</v>
      </c>
      <c r="F144" s="1394">
        <f t="shared" si="137"/>
        <v>-302.98429323489131</v>
      </c>
      <c r="G144" s="1394">
        <f t="shared" si="137"/>
        <v>-171.17262524959199</v>
      </c>
      <c r="H144" s="1394">
        <f t="shared" si="137"/>
        <v>-186.57736162808212</v>
      </c>
      <c r="I144" s="1394">
        <f t="shared" si="137"/>
        <v>-79.577880973937198</v>
      </c>
      <c r="J144" s="1394">
        <f t="shared" si="137"/>
        <v>-96.377733785478583</v>
      </c>
      <c r="K144" s="1394">
        <f t="shared" si="137"/>
        <v>14.200383801177599</v>
      </c>
      <c r="L144" s="1394">
        <f t="shared" si="137"/>
        <v>-7.7079655114066794</v>
      </c>
      <c r="M144" s="1394">
        <f t="shared" si="137"/>
        <v>99.46886891841288</v>
      </c>
      <c r="N144" s="1394">
        <f t="shared" si="137"/>
        <v>29.359626686605129</v>
      </c>
      <c r="O144" s="1394">
        <f t="shared" si="137"/>
        <v>75.746075982319425</v>
      </c>
      <c r="P144" s="1394">
        <f t="shared" si="137"/>
        <v>50.82646433659508</v>
      </c>
      <c r="Q144" s="1394">
        <f t="shared" si="137"/>
        <v>181.76810715724818</v>
      </c>
      <c r="R144" s="1394">
        <f t="shared" si="137"/>
        <v>105.79549185391869</v>
      </c>
      <c r="S144" s="1394">
        <f t="shared" si="137"/>
        <v>156.96134062722805</v>
      </c>
    </row>
    <row r="145" spans="1:19">
      <c r="A145">
        <v>7</v>
      </c>
      <c r="B145" s="1393">
        <f t="shared" ref="B145:S145" si="138">B126/((1+B$53)^$A145)</f>
        <v>-557.9604807660894</v>
      </c>
      <c r="C145" s="1394">
        <f t="shared" si="138"/>
        <v>-328.0138410453942</v>
      </c>
      <c r="D145" s="1394">
        <f t="shared" si="138"/>
        <v>-471.210462199208</v>
      </c>
      <c r="E145" s="1394">
        <f t="shared" si="138"/>
        <v>-314.45116211668261</v>
      </c>
      <c r="F145" s="1394">
        <f t="shared" si="138"/>
        <v>-203.14897641562573</v>
      </c>
      <c r="G145" s="1394">
        <f t="shared" si="138"/>
        <v>-109.55285664099965</v>
      </c>
      <c r="H145" s="1394">
        <f t="shared" si="138"/>
        <v>-120.31596113816552</v>
      </c>
      <c r="I145" s="1394">
        <f t="shared" si="138"/>
        <v>-44.751821907430653</v>
      </c>
      <c r="J145" s="1394">
        <f t="shared" si="138"/>
        <v>-56.505006960823614</v>
      </c>
      <c r="K145" s="1394">
        <f t="shared" si="138"/>
        <v>22.030456230312488</v>
      </c>
      <c r="L145" s="1394">
        <f t="shared" si="138"/>
        <v>6.6693941657822267</v>
      </c>
      <c r="M145" s="1394">
        <f t="shared" si="138"/>
        <v>82.40233275151104</v>
      </c>
      <c r="N145" s="1394">
        <f t="shared" si="138"/>
        <v>32.879482584955518</v>
      </c>
      <c r="O145" s="1394">
        <f t="shared" si="138"/>
        <v>65.913447739462697</v>
      </c>
      <c r="P145" s="1394">
        <f t="shared" si="138"/>
        <v>48.430347923224573</v>
      </c>
      <c r="Q145" s="1394">
        <f t="shared" si="138"/>
        <v>140.89534976348884</v>
      </c>
      <c r="R145" s="1394">
        <f t="shared" si="138"/>
        <v>87.232313438527584</v>
      </c>
      <c r="S145" s="1394">
        <f t="shared" si="138"/>
        <v>123.64773191958272</v>
      </c>
    </row>
    <row r="146" spans="1:19">
      <c r="A146">
        <v>8</v>
      </c>
      <c r="B146" s="1393">
        <f t="shared" ref="B146:S146" si="139">B127/((1+B$53)^$A146)</f>
        <v>-336.44685186016386</v>
      </c>
      <c r="C146" s="1394">
        <f t="shared" si="139"/>
        <v>-192.02349269273023</v>
      </c>
      <c r="D146" s="1394">
        <f t="shared" si="139"/>
        <v>-282.15108567115453</v>
      </c>
      <c r="E146" s="1394">
        <f t="shared" si="139"/>
        <v>-183.64905297432426</v>
      </c>
      <c r="F146" s="1394">
        <f t="shared" si="139"/>
        <v>-113.34335619044357</v>
      </c>
      <c r="G146" s="1394">
        <f t="shared" si="139"/>
        <v>-54.186569447381821</v>
      </c>
      <c r="H146" s="1394">
        <f t="shared" si="139"/>
        <v>-60.787828664374494</v>
      </c>
      <c r="I146" s="1394">
        <f t="shared" si="139"/>
        <v>-13.504250863405588</v>
      </c>
      <c r="J146" s="1394">
        <f t="shared" si="139"/>
        <v>-20.724487401980355</v>
      </c>
      <c r="K146" s="1394">
        <f t="shared" si="139"/>
        <v>28.953842132247718</v>
      </c>
      <c r="L146" s="1394">
        <f t="shared" si="139"/>
        <v>19.479924028714166</v>
      </c>
      <c r="M146" s="1394">
        <f t="shared" si="139"/>
        <v>66.914069553769494</v>
      </c>
      <c r="N146" s="1394">
        <f t="shared" si="139"/>
        <v>35.920731123243762</v>
      </c>
      <c r="O146" s="1394">
        <f t="shared" si="139"/>
        <v>56.938168528586189</v>
      </c>
      <c r="P146" s="1394">
        <f t="shared" si="139"/>
        <v>46.143550934032582</v>
      </c>
      <c r="Q146" s="1394">
        <f t="shared" si="139"/>
        <v>103.98628944204418</v>
      </c>
      <c r="R146" s="1394">
        <f t="shared" si="139"/>
        <v>70.40291934960392</v>
      </c>
      <c r="S146" s="1394">
        <f t="shared" si="139"/>
        <v>93.555975932753597</v>
      </c>
    </row>
    <row r="147" spans="1:19">
      <c r="A147">
        <v>9</v>
      </c>
      <c r="B147" s="1393">
        <f t="shared" ref="B147:S147" si="140">B128/((1+B$53)^$A147)</f>
        <v>-137.65060603314797</v>
      </c>
      <c r="C147" s="1394">
        <f t="shared" si="140"/>
        <v>-69.949728176004243</v>
      </c>
      <c r="D147" s="1394">
        <f t="shared" si="140"/>
        <v>-112.41777226778588</v>
      </c>
      <c r="E147" s="1394">
        <f t="shared" si="140"/>
        <v>-66.205909062660439</v>
      </c>
      <c r="F147" s="1394">
        <f t="shared" si="140"/>
        <v>-32.768117645124647</v>
      </c>
      <c r="G147" s="1394">
        <f t="shared" si="140"/>
        <v>-4.5726591067360829</v>
      </c>
      <c r="H147" s="1394">
        <f t="shared" si="140"/>
        <v>-7.4522543215043768</v>
      </c>
      <c r="I147" s="1394">
        <f t="shared" si="140"/>
        <v>14.452479311297617</v>
      </c>
      <c r="J147" s="1394">
        <f t="shared" si="140"/>
        <v>11.293229049260841</v>
      </c>
      <c r="K147" s="1394">
        <f t="shared" si="140"/>
        <v>35.046724798868794</v>
      </c>
      <c r="L147" s="1394">
        <f t="shared" si="140"/>
        <v>30.852962880167297</v>
      </c>
      <c r="M147" s="1394">
        <f t="shared" si="140"/>
        <v>52.881993747152471</v>
      </c>
      <c r="N147" s="1394">
        <f t="shared" si="140"/>
        <v>38.525516110512562</v>
      </c>
      <c r="O147" s="1394">
        <f t="shared" si="140"/>
        <v>48.755401433993342</v>
      </c>
      <c r="P147" s="1394">
        <f t="shared" si="140"/>
        <v>43.961324631259345</v>
      </c>
      <c r="Q147" s="1394">
        <f t="shared" si="140"/>
        <v>70.727587301189843</v>
      </c>
      <c r="R147" s="1394">
        <f t="shared" si="140"/>
        <v>55.172085995558632</v>
      </c>
      <c r="S147" s="1394">
        <f t="shared" si="140"/>
        <v>66.430642043418203</v>
      </c>
    </row>
    <row r="148" spans="1:19">
      <c r="A148">
        <v>10</v>
      </c>
      <c r="B148" s="1393">
        <f t="shared" ref="B148:S148" si="141">B129/((1+B$53)^$A148)</f>
        <v>40.259225306944678</v>
      </c>
      <c r="C148" s="1394">
        <f t="shared" si="141"/>
        <v>39.324165694383616</v>
      </c>
      <c r="D148" s="1394">
        <f t="shared" si="141"/>
        <v>39.54097155666733</v>
      </c>
      <c r="E148" s="1394">
        <f t="shared" si="141"/>
        <v>38.947826793919489</v>
      </c>
      <c r="F148" s="1394">
        <f t="shared" si="141"/>
        <v>39.318575942186534</v>
      </c>
      <c r="G148" s="1394">
        <f t="shared" si="141"/>
        <v>39.753795007536347</v>
      </c>
      <c r="H148" s="1394">
        <f t="shared" si="141"/>
        <v>40.192334752727973</v>
      </c>
      <c r="I148" s="1394">
        <f t="shared" si="141"/>
        <v>39.385234399643394</v>
      </c>
      <c r="J148" s="1394">
        <f t="shared" si="141"/>
        <v>39.853697814981174</v>
      </c>
      <c r="K148" s="1394">
        <f t="shared" si="141"/>
        <v>40.379642702630633</v>
      </c>
      <c r="L148" s="1394">
        <f t="shared" si="141"/>
        <v>40.908335345619356</v>
      </c>
      <c r="M148" s="1394">
        <f t="shared" si="141"/>
        <v>40.192680503925629</v>
      </c>
      <c r="N148" s="1394">
        <f t="shared" si="141"/>
        <v>40.732785318029073</v>
      </c>
      <c r="O148" s="1394">
        <f t="shared" si="141"/>
        <v>41.304863268500227</v>
      </c>
      <c r="P148" s="1394">
        <f t="shared" si="141"/>
        <v>41.879110373083805</v>
      </c>
      <c r="Q148" s="1394">
        <f t="shared" si="141"/>
        <v>40.828435434613297</v>
      </c>
      <c r="R148" s="1394">
        <f t="shared" si="141"/>
        <v>41.414256494948049</v>
      </c>
      <c r="S148" s="1394">
        <f t="shared" si="141"/>
        <v>42.034751678126888</v>
      </c>
    </row>
    <row r="149" spans="1:19" s="851" customFormat="1">
      <c r="A149" s="851">
        <v>11</v>
      </c>
      <c r="B149" s="1393">
        <f t="shared" ref="B149:S149" si="142">B130/((1+B$53)^$A149)</f>
        <v>198.98080653103597</v>
      </c>
      <c r="C149" s="1394">
        <f t="shared" si="142"/>
        <v>136.83431116228994</v>
      </c>
      <c r="D149" s="1394">
        <f t="shared" si="142"/>
        <v>175.16457167049242</v>
      </c>
      <c r="E149" s="1394">
        <f t="shared" si="142"/>
        <v>132.8047030508003</v>
      </c>
      <c r="F149" s="1394">
        <f t="shared" si="142"/>
        <v>103.60498194496591</v>
      </c>
      <c r="G149" s="1394">
        <f t="shared" si="142"/>
        <v>79.223992837102259</v>
      </c>
      <c r="H149" s="1394">
        <f t="shared" si="142"/>
        <v>82.611045314953628</v>
      </c>
      <c r="I149" s="1394">
        <f t="shared" si="142"/>
        <v>61.541512723539554</v>
      </c>
      <c r="J149" s="1394">
        <f t="shared" si="142"/>
        <v>65.24025212117435</v>
      </c>
      <c r="K149" s="1394">
        <f t="shared" si="142"/>
        <v>45.017880379917209</v>
      </c>
      <c r="L149" s="1394">
        <f t="shared" si="142"/>
        <v>49.757008656489461</v>
      </c>
      <c r="M149" s="1394">
        <f t="shared" si="142"/>
        <v>28.740782063641451</v>
      </c>
      <c r="N149" s="1394">
        <f t="shared" si="142"/>
        <v>42.578515001796831</v>
      </c>
      <c r="O149" s="1394">
        <f t="shared" si="142"/>
        <v>34.530518951993976</v>
      </c>
      <c r="P149" s="1394">
        <f t="shared" si="142"/>
        <v>39.892533156014402</v>
      </c>
      <c r="Q149" s="1394">
        <f t="shared" si="142"/>
        <v>14.019023376225002</v>
      </c>
      <c r="R149" s="1394">
        <f t="shared" si="142"/>
        <v>29.012884339357708</v>
      </c>
      <c r="S149" s="1394">
        <f t="shared" si="142"/>
        <v>20.148515623969995</v>
      </c>
    </row>
    <row r="150" spans="1:19" s="851" customFormat="1">
      <c r="A150" s="851">
        <v>12</v>
      </c>
      <c r="B150" s="1393">
        <f t="shared" ref="B150:S150" si="143">B131/((1+B$53)^$A150)</f>
        <v>340.08857406800558</v>
      </c>
      <c r="C150" s="1394">
        <f t="shared" si="143"/>
        <v>223.54171827911424</v>
      </c>
      <c r="D150" s="1394">
        <f t="shared" si="143"/>
        <v>295.78801302914269</v>
      </c>
      <c r="E150" s="1394">
        <f t="shared" si="143"/>
        <v>216.28548236815783</v>
      </c>
      <c r="F150" s="1394">
        <f t="shared" si="143"/>
        <v>160.72942254973651</v>
      </c>
      <c r="G150" s="1394">
        <f t="shared" si="143"/>
        <v>114.2377154506695</v>
      </c>
      <c r="H150" s="1394">
        <f t="shared" si="143"/>
        <v>120.23501343976935</v>
      </c>
      <c r="I150" s="1394">
        <f t="shared" si="143"/>
        <v>81.150766491058505</v>
      </c>
      <c r="J150" s="1394">
        <f t="shared" si="143"/>
        <v>87.715522781326186</v>
      </c>
      <c r="K150" s="1394">
        <f t="shared" si="143"/>
        <v>49.021833370302041</v>
      </c>
      <c r="L150" s="1394">
        <f t="shared" si="143"/>
        <v>57.501705885878458</v>
      </c>
      <c r="M150" s="1394">
        <f t="shared" si="143"/>
        <v>18.428482073537811</v>
      </c>
      <c r="N150" s="1394">
        <f t="shared" si="143"/>
        <v>44.09591937105111</v>
      </c>
      <c r="O150" s="1394">
        <f t="shared" si="143"/>
        <v>28.380295780229432</v>
      </c>
      <c r="P150" s="1394">
        <f t="shared" si="143"/>
        <v>37.997395287655436</v>
      </c>
      <c r="Q150" s="1394">
        <f t="shared" si="143"/>
        <v>-9.9508947457383048</v>
      </c>
      <c r="R150" s="1394">
        <f t="shared" si="143"/>
        <v>17.859820125768593</v>
      </c>
      <c r="S150" s="1394">
        <f t="shared" si="143"/>
        <v>0.56815473339203593</v>
      </c>
    </row>
    <row r="151" spans="1:19" s="851" customFormat="1">
      <c r="A151" s="851">
        <v>13</v>
      </c>
      <c r="B151" s="1393">
        <f t="shared" ref="B151:S151" si="144">B132/((1+B$53)^$A151)</f>
        <v>465.04171566759373</v>
      </c>
      <c r="C151" s="1394">
        <f t="shared" si="144"/>
        <v>300.33740522985357</v>
      </c>
      <c r="D151" s="1394">
        <f t="shared" si="144"/>
        <v>402.64896690661658</v>
      </c>
      <c r="E151" s="1394">
        <f t="shared" si="144"/>
        <v>290.2440236533804</v>
      </c>
      <c r="F151" s="1394">
        <f t="shared" si="144"/>
        <v>211.28369043858683</v>
      </c>
      <c r="G151" s="1394">
        <f t="shared" si="144"/>
        <v>145.16547572092409</v>
      </c>
      <c r="H151" s="1394">
        <f t="shared" si="144"/>
        <v>153.46373567901418</v>
      </c>
      <c r="I151" s="1394">
        <f t="shared" si="144"/>
        <v>98.425636480762577</v>
      </c>
      <c r="J151" s="1394">
        <f t="shared" si="144"/>
        <v>107.52285804533234</v>
      </c>
      <c r="K151" s="1394">
        <f t="shared" si="144"/>
        <v>52.44734888438115</v>
      </c>
      <c r="L151" s="1394">
        <f t="shared" si="144"/>
        <v>64.237478444796736</v>
      </c>
      <c r="M151" s="1394">
        <f t="shared" si="144"/>
        <v>9.1649855344760116</v>
      </c>
      <c r="N151" s="1394">
        <f t="shared" si="144"/>
        <v>45.31564598085896</v>
      </c>
      <c r="O151" s="1394">
        <f t="shared" si="144"/>
        <v>22.805816317832473</v>
      </c>
      <c r="P151" s="1394">
        <f t="shared" si="144"/>
        <v>36.189670195316957</v>
      </c>
      <c r="Q151" s="1394">
        <f t="shared" si="144"/>
        <v>-31.313338802442182</v>
      </c>
      <c r="R151" s="1394">
        <f t="shared" si="144"/>
        <v>7.8547385998221149</v>
      </c>
      <c r="S151" s="1394">
        <f t="shared" si="144"/>
        <v>-16.895201348242018</v>
      </c>
    </row>
    <row r="152" spans="1:19" s="851" customFormat="1">
      <c r="A152" s="851">
        <v>14</v>
      </c>
      <c r="B152" s="1393">
        <f t="shared" ref="B152:S152" si="145">B133/((1+B$53)^$A152)</f>
        <v>575.19209088296861</v>
      </c>
      <c r="C152" s="1394">
        <f t="shared" si="145"/>
        <v>368.04718306119349</v>
      </c>
      <c r="D152" s="1394">
        <f t="shared" si="145"/>
        <v>496.89445044901117</v>
      </c>
      <c r="E152" s="1394">
        <f t="shared" si="145"/>
        <v>355.47184488115983</v>
      </c>
      <c r="F152" s="1394">
        <f t="shared" si="145"/>
        <v>255.81623118539642</v>
      </c>
      <c r="G152" s="1394">
        <f t="shared" si="145"/>
        <v>172.35052752505339</v>
      </c>
      <c r="H152" s="1394">
        <f t="shared" si="145"/>
        <v>182.66724648140917</v>
      </c>
      <c r="I152" s="1394">
        <f t="shared" si="145"/>
        <v>113.56310559357492</v>
      </c>
      <c r="J152" s="1394">
        <f t="shared" si="145"/>
        <v>124.88764990815662</v>
      </c>
      <c r="K152" s="1394">
        <f t="shared" si="145"/>
        <v>55.34604376726805</v>
      </c>
      <c r="L152" s="1394">
        <f t="shared" si="145"/>
        <v>70.052240469469297</v>
      </c>
      <c r="M152" s="1394">
        <f t="shared" si="145"/>
        <v>0.86604208554074358</v>
      </c>
      <c r="N152" s="1394">
        <f t="shared" si="145"/>
        <v>46.265957964814497</v>
      </c>
      <c r="O152" s="1394">
        <f t="shared" si="145"/>
        <v>17.76214872871903</v>
      </c>
      <c r="P152" s="1394">
        <f t="shared" si="145"/>
        <v>34.465496374925252</v>
      </c>
      <c r="Q152" s="1394">
        <f t="shared" si="145"/>
        <v>-50.283353048061564</v>
      </c>
      <c r="R152" s="1394">
        <f t="shared" si="145"/>
        <v>-1.0953965750864132</v>
      </c>
      <c r="S152" s="1394">
        <f t="shared" si="145"/>
        <v>-32.41654246414808</v>
      </c>
    </row>
    <row r="153" spans="1:19" s="851" customFormat="1">
      <c r="A153" s="851">
        <v>15</v>
      </c>
      <c r="B153" s="1393">
        <f t="shared" ref="B153:S153" si="146">B134/((1+B$53)^$A153)</f>
        <v>671.79162860769088</v>
      </c>
      <c r="C153" s="1394">
        <f t="shared" si="146"/>
        <v>427.43612621526773</v>
      </c>
      <c r="D153" s="1394">
        <f t="shared" si="146"/>
        <v>579.58704841390363</v>
      </c>
      <c r="E153" s="1394">
        <f t="shared" si="146"/>
        <v>412.70238700209984</v>
      </c>
      <c r="F153" s="1394">
        <f t="shared" si="146"/>
        <v>294.83511660949711</v>
      </c>
      <c r="G153" s="1394">
        <f t="shared" si="146"/>
        <v>196.11074252239135</v>
      </c>
      <c r="H153" s="1394">
        <f t="shared" si="146"/>
        <v>208.18815173621144</v>
      </c>
      <c r="I153" s="1394">
        <f t="shared" si="146"/>
        <v>126.74557645673991</v>
      </c>
      <c r="J153" s="1394">
        <f t="shared" si="146"/>
        <v>140.01857287160794</v>
      </c>
      <c r="K153" s="1394">
        <f t="shared" si="146"/>
        <v>57.765601225817321</v>
      </c>
      <c r="L153" s="1394">
        <f t="shared" si="146"/>
        <v>75.02726756394263</v>
      </c>
      <c r="M153" s="1394">
        <f t="shared" si="146"/>
        <v>-6.5464994978761331</v>
      </c>
      <c r="N153" s="1394">
        <f t="shared" si="146"/>
        <v>46.972903965570062</v>
      </c>
      <c r="O153" s="1394">
        <f t="shared" si="146"/>
        <v>13.207573431485073</v>
      </c>
      <c r="P153" s="1394">
        <f t="shared" si="146"/>
        <v>32.82117148377484</v>
      </c>
      <c r="Q153" s="1394">
        <f t="shared" si="146"/>
        <v>-67.060173955320536</v>
      </c>
      <c r="R153" s="1394">
        <f t="shared" si="146"/>
        <v>-9.0768327452044577</v>
      </c>
      <c r="S153" s="1394">
        <f t="shared" si="146"/>
        <v>-46.157937950096446</v>
      </c>
    </row>
    <row r="154" spans="1:19" s="851" customFormat="1">
      <c r="A154" s="851">
        <v>16</v>
      </c>
      <c r="B154" s="1393">
        <f t="shared" ref="B154:S154" si="147">B135/((1+B$53)^$A154)</f>
        <v>755.99923524926851</v>
      </c>
      <c r="C154" s="1394">
        <f t="shared" si="147"/>
        <v>479.21274893476823</v>
      </c>
      <c r="D154" s="1394">
        <f t="shared" si="147"/>
        <v>651.71072509008957</v>
      </c>
      <c r="E154" s="1394">
        <f t="shared" si="147"/>
        <v>462.61499798407561</v>
      </c>
      <c r="F154" s="1394">
        <f t="shared" si="147"/>
        <v>328.81082243998088</v>
      </c>
      <c r="G154" s="1394">
        <f t="shared" si="147"/>
        <v>216.7403629949666</v>
      </c>
      <c r="H154" s="1394">
        <f t="shared" si="147"/>
        <v>230.34352768436983</v>
      </c>
      <c r="I154" s="1394">
        <f t="shared" si="147"/>
        <v>138.14187793982174</v>
      </c>
      <c r="J154" s="1394">
        <f t="shared" si="147"/>
        <v>153.10874077635833</v>
      </c>
      <c r="K154" s="1394">
        <f t="shared" si="147"/>
        <v>59.750047694774942</v>
      </c>
      <c r="L154" s="1394">
        <f t="shared" si="147"/>
        <v>79.237662206208626</v>
      </c>
      <c r="M154" s="1394">
        <f t="shared" si="147"/>
        <v>-13.145107584720096</v>
      </c>
      <c r="N154" s="1394">
        <f t="shared" si="147"/>
        <v>47.460476566333107</v>
      </c>
      <c r="O154" s="1394">
        <f t="shared" si="147"/>
        <v>9.1033650370728392</v>
      </c>
      <c r="P154" s="1394">
        <f t="shared" si="147"/>
        <v>31.253146579835786</v>
      </c>
      <c r="Q154" s="1394">
        <f t="shared" si="147"/>
        <v>-81.828320808574531</v>
      </c>
      <c r="R154" s="1394">
        <f t="shared" si="147"/>
        <v>-16.169495159977291</v>
      </c>
      <c r="S154" s="1394">
        <f t="shared" si="147"/>
        <v>-58.269432775703358</v>
      </c>
    </row>
    <row r="155" spans="1:19">
      <c r="A155" t="s">
        <v>533</v>
      </c>
      <c r="B155" s="1393">
        <f>SUM(B139:B154)</f>
        <v>-7525.3164960558079</v>
      </c>
      <c r="C155" s="1394">
        <f t="shared" ref="C155:S155" si="148">SUM(C139:C154)</f>
        <v>-4382.3248225955094</v>
      </c>
      <c r="D155" s="1394">
        <f t="shared" si="148"/>
        <v>-6331.907614931959</v>
      </c>
      <c r="E155" s="1394">
        <f t="shared" si="148"/>
        <v>-4193.7723989393253</v>
      </c>
      <c r="F155" s="1394">
        <f t="shared" si="148"/>
        <v>-2685.4424118511238</v>
      </c>
      <c r="G155" s="1394">
        <f t="shared" si="148"/>
        <v>-1415.1462604547494</v>
      </c>
      <c r="H155" s="1394">
        <f t="shared" si="148"/>
        <v>-1563.3104189468238</v>
      </c>
      <c r="I155" s="1394">
        <f t="shared" si="148"/>
        <v>-533.03956402159599</v>
      </c>
      <c r="J155" s="1394">
        <f t="shared" si="148"/>
        <v>-693.61727641627272</v>
      </c>
      <c r="K155" s="1394">
        <f t="shared" si="148"/>
        <v>375.64097374122372</v>
      </c>
      <c r="L155" s="1394">
        <f t="shared" si="148"/>
        <v>166.57042138503297</v>
      </c>
      <c r="M155" s="1394">
        <f t="shared" si="148"/>
        <v>1197.7242522844163</v>
      </c>
      <c r="N155" s="1394">
        <f t="shared" si="148"/>
        <v>523.95118025206091</v>
      </c>
      <c r="O155" s="1394">
        <f t="shared" si="148"/>
        <v>975.85848173327417</v>
      </c>
      <c r="P155" s="1394">
        <f t="shared" si="148"/>
        <v>738.11821832203123</v>
      </c>
      <c r="Q155" s="1394">
        <f t="shared" si="148"/>
        <v>1997.5814155219318</v>
      </c>
      <c r="R155" s="1394">
        <f t="shared" si="148"/>
        <v>1267.3475745703386</v>
      </c>
      <c r="S155" s="1394">
        <f t="shared" si="148"/>
        <v>1767.3843884995367</v>
      </c>
    </row>
  </sheetData>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F51"/>
  <sheetViews>
    <sheetView workbookViewId="0">
      <selection activeCell="B19" sqref="B19"/>
    </sheetView>
  </sheetViews>
  <sheetFormatPr defaultColWidth="11" defaultRowHeight="15.75"/>
  <cols>
    <col min="1" max="1" width="22.625" bestFit="1" customWidth="1"/>
  </cols>
  <sheetData>
    <row r="1" spans="1:6" s="1236" customFormat="1">
      <c r="A1" s="1236" t="s">
        <v>859</v>
      </c>
    </row>
    <row r="2" spans="1:6" s="851" customFormat="1"/>
    <row r="3" spans="1:6" s="1221" customFormat="1">
      <c r="A3" s="1222" t="s">
        <v>550</v>
      </c>
    </row>
    <row r="4" spans="1:6">
      <c r="A4" t="s">
        <v>479</v>
      </c>
      <c r="B4" t="s">
        <v>480</v>
      </c>
    </row>
    <row r="6" spans="1:6">
      <c r="A6" t="s">
        <v>482</v>
      </c>
      <c r="B6" t="s">
        <v>481</v>
      </c>
    </row>
    <row r="8" spans="1:6" s="2" customFormat="1">
      <c r="A8" s="2" t="s">
        <v>549</v>
      </c>
    </row>
    <row r="9" spans="1:6">
      <c r="A9" t="s">
        <v>840</v>
      </c>
      <c r="B9" s="860">
        <f>DDM!B21</f>
        <v>9.2665517241379308E-2</v>
      </c>
    </row>
    <row r="11" spans="1:6">
      <c r="A11" t="s">
        <v>546</v>
      </c>
      <c r="B11" s="146">
        <f>LN(((EXP(B9)-1)*2)+1)</f>
        <v>0.17746765334789938</v>
      </c>
    </row>
    <row r="12" spans="1:6">
      <c r="B12" t="s">
        <v>3</v>
      </c>
      <c r="C12" s="851" t="s">
        <v>3</v>
      </c>
      <c r="D12" s="851" t="s">
        <v>3</v>
      </c>
      <c r="E12" s="851" t="s">
        <v>3</v>
      </c>
      <c r="F12" s="851" t="s">
        <v>3</v>
      </c>
    </row>
    <row r="13" spans="1:6" ht="16.5" thickBot="1">
      <c r="A13" s="886" t="s">
        <v>584</v>
      </c>
      <c r="B13" s="886">
        <v>2017</v>
      </c>
      <c r="C13" s="886">
        <v>2018</v>
      </c>
      <c r="D13" s="886">
        <v>2019</v>
      </c>
      <c r="E13" s="886">
        <v>2020</v>
      </c>
      <c r="F13" s="886">
        <v>2021</v>
      </c>
    </row>
    <row r="14" spans="1:6">
      <c r="A14" s="1065" t="s">
        <v>485</v>
      </c>
      <c r="B14" s="1096">
        <f>Annual!S91</f>
        <v>3.7366657120153912E-2</v>
      </c>
      <c r="C14" s="1096">
        <f>Annual!T91</f>
        <v>6.2518834330096973E-2</v>
      </c>
      <c r="D14" s="1096">
        <f>Annual!U91</f>
        <v>8.7685469823069087E-2</v>
      </c>
      <c r="E14" s="1096">
        <f>Annual!V91</f>
        <v>9.7987413883142069E-2</v>
      </c>
      <c r="F14" s="1096">
        <f>Annual!W91</f>
        <v>0.1025095522194041</v>
      </c>
    </row>
    <row r="15" spans="1:6">
      <c r="A15" s="873"/>
      <c r="B15" s="873"/>
      <c r="C15" s="873"/>
      <c r="D15" s="873"/>
      <c r="E15" s="873"/>
      <c r="F15" s="873"/>
    </row>
    <row r="16" spans="1:6">
      <c r="A16" s="1052" t="s">
        <v>547</v>
      </c>
      <c r="B16" s="1098">
        <f>($B$11-2*$B$9+B14)/($B$11-$B$9)</f>
        <v>0.34790722663206941</v>
      </c>
      <c r="C16" s="1098">
        <f>($B$11-2*$B$9+C14)/($B$11-$B$9)</f>
        <v>0.64450561866254108</v>
      </c>
      <c r="D16" s="1098">
        <f>($B$11-2*$B$9+D14)/($B$11-$B$9)</f>
        <v>0.94127450501889742</v>
      </c>
      <c r="E16" s="1098">
        <f>($B$11-2*$B$9+E14)/($B$11-$B$9)</f>
        <v>1.0627566342795649</v>
      </c>
      <c r="F16" s="1098">
        <f>($B$11-2*$B$9+F14)/($B$11-$B$9)</f>
        <v>1.1160823940290807</v>
      </c>
    </row>
    <row r="17" spans="1:6">
      <c r="A17" s="873"/>
      <c r="B17" s="873"/>
      <c r="C17" s="873"/>
      <c r="D17" s="873"/>
      <c r="E17" s="873"/>
      <c r="F17" s="873"/>
    </row>
    <row r="18" spans="1:6">
      <c r="A18" s="897" t="s">
        <v>548</v>
      </c>
      <c r="B18" s="1097">
        <f>SUMIFS(Model!131:131,Model!$2:$2,B13,Model!$3:$3,B12)*B16</f>
        <v>5.7160899285789801</v>
      </c>
      <c r="C18" s="1097">
        <f>SUMIFS(Model!131:131,Model!$2:$2,C13,Model!$3:$3,C12)*C16</f>
        <v>10.806853085872243</v>
      </c>
      <c r="D18" s="1097">
        <f>SUMIFS(Model!131:131,Model!$2:$2,D13,Model!$3:$3,D12)*D16</f>
        <v>16.24593421182982</v>
      </c>
      <c r="E18" s="1097">
        <f>SUMIFS(Model!131:131,Model!$2:$2,E13,Model!$3:$3,E12)*E16</f>
        <v>19.115093262803779</v>
      </c>
      <c r="F18" s="1097">
        <f>SUMIFS(Model!131:131,Model!$2:$2,F13,Model!$3:$3,F12)*F16</f>
        <v>20.713907716953248</v>
      </c>
    </row>
    <row r="21" spans="1:6" s="1221" customFormat="1">
      <c r="A21" s="1236" t="s">
        <v>858</v>
      </c>
    </row>
    <row r="23" spans="1:6">
      <c r="A23" t="s">
        <v>457</v>
      </c>
    </row>
    <row r="24" spans="1:6">
      <c r="A24" t="s">
        <v>580</v>
      </c>
    </row>
    <row r="26" spans="1:6">
      <c r="A26" t="s">
        <v>460</v>
      </c>
    </row>
    <row r="27" spans="1:6">
      <c r="A27" t="s">
        <v>453</v>
      </c>
    </row>
    <row r="28" spans="1:6">
      <c r="A28" t="s">
        <v>454</v>
      </c>
      <c r="B28" s="851"/>
    </row>
    <row r="29" spans="1:6">
      <c r="A29" t="s">
        <v>455</v>
      </c>
      <c r="B29" s="851"/>
    </row>
    <row r="30" spans="1:6">
      <c r="A30" t="s">
        <v>450</v>
      </c>
      <c r="B30" s="851"/>
    </row>
    <row r="31" spans="1:6">
      <c r="A31" t="s">
        <v>456</v>
      </c>
      <c r="B31" s="851"/>
    </row>
    <row r="32" spans="1:6">
      <c r="A32" s="851"/>
      <c r="B32" s="851"/>
      <c r="C32" s="851"/>
    </row>
    <row r="33" spans="1:3">
      <c r="A33" s="903" t="s">
        <v>467</v>
      </c>
      <c r="B33" s="903"/>
      <c r="C33" s="903"/>
    </row>
    <row r="34" spans="1:3">
      <c r="A34" s="903" t="s">
        <v>452</v>
      </c>
      <c r="B34" s="903" t="s">
        <v>468</v>
      </c>
      <c r="C34" s="903" t="s">
        <v>469</v>
      </c>
    </row>
    <row r="35" spans="1:3">
      <c r="A35" s="903" t="s">
        <v>458</v>
      </c>
      <c r="B35" s="903">
        <v>8</v>
      </c>
      <c r="C35" s="901" t="s">
        <v>834</v>
      </c>
    </row>
    <row r="36" spans="1:3">
      <c r="A36" s="912" t="s">
        <v>453</v>
      </c>
      <c r="B36" s="912">
        <v>1.5</v>
      </c>
      <c r="C36" s="913" t="s">
        <v>835</v>
      </c>
    </row>
    <row r="37" spans="1:3">
      <c r="A37" s="912" t="s">
        <v>461</v>
      </c>
      <c r="B37" s="912">
        <v>2</v>
      </c>
      <c r="C37" s="913" t="s">
        <v>476</v>
      </c>
    </row>
    <row r="38" spans="1:3">
      <c r="A38" s="912" t="s">
        <v>455</v>
      </c>
      <c r="B38" s="912">
        <v>1</v>
      </c>
      <c r="C38" s="913" t="s">
        <v>839</v>
      </c>
    </row>
    <row r="39" spans="1:3">
      <c r="A39" s="912" t="s">
        <v>450</v>
      </c>
      <c r="B39" s="912">
        <v>0</v>
      </c>
      <c r="C39" s="913" t="s">
        <v>477</v>
      </c>
    </row>
    <row r="40" spans="1:3">
      <c r="A40" s="912" t="s">
        <v>456</v>
      </c>
      <c r="B40" s="912">
        <v>3</v>
      </c>
      <c r="C40" s="913" t="s">
        <v>604</v>
      </c>
    </row>
    <row r="41" spans="1:3">
      <c r="A41" s="904" t="s">
        <v>459</v>
      </c>
      <c r="B41" s="904">
        <f>B35+B36+B37*B38+B39+B40</f>
        <v>14.5</v>
      </c>
      <c r="C41" s="902" t="s">
        <v>838</v>
      </c>
    </row>
    <row r="42" spans="1:3">
      <c r="A42" s="905" t="s">
        <v>478</v>
      </c>
      <c r="B42" s="906" t="str">
        <f>"CHF "&amp;ROUND(B41*SUM(Model!AG142:AJ142),1)</f>
        <v>CHF 12.5</v>
      </c>
      <c r="C42" s="904"/>
    </row>
    <row r="43" spans="1:3">
      <c r="A43" s="907"/>
      <c r="B43" s="907"/>
      <c r="C43" s="907"/>
    </row>
    <row r="44" spans="1:3">
      <c r="A44" s="1493" t="s">
        <v>462</v>
      </c>
      <c r="B44" s="1493"/>
      <c r="C44" s="1493"/>
    </row>
    <row r="45" spans="1:3">
      <c r="A45" s="908" t="s">
        <v>472</v>
      </c>
      <c r="B45" s="908" t="s">
        <v>462</v>
      </c>
      <c r="C45" s="908" t="s">
        <v>469</v>
      </c>
    </row>
    <row r="46" spans="1:3">
      <c r="A46" s="909" t="s">
        <v>475</v>
      </c>
      <c r="B46" s="909">
        <v>4</v>
      </c>
      <c r="C46" s="909" t="s">
        <v>836</v>
      </c>
    </row>
    <row r="47" spans="1:3">
      <c r="A47" s="912" t="s">
        <v>463</v>
      </c>
      <c r="B47" s="912">
        <v>4</v>
      </c>
      <c r="C47" s="913" t="s">
        <v>837</v>
      </c>
    </row>
    <row r="48" spans="1:3">
      <c r="A48" s="912" t="s">
        <v>464</v>
      </c>
      <c r="B48" s="912">
        <v>4</v>
      </c>
      <c r="C48" s="913" t="s">
        <v>470</v>
      </c>
    </row>
    <row r="49" spans="1:3">
      <c r="A49" s="912" t="s">
        <v>465</v>
      </c>
      <c r="B49" s="912">
        <v>3</v>
      </c>
      <c r="C49" s="913" t="s">
        <v>605</v>
      </c>
    </row>
    <row r="50" spans="1:3">
      <c r="A50" s="910" t="s">
        <v>466</v>
      </c>
      <c r="B50" s="910">
        <v>2</v>
      </c>
      <c r="C50" s="910" t="s">
        <v>471</v>
      </c>
    </row>
    <row r="51" spans="1:3">
      <c r="A51" s="911" t="s">
        <v>473</v>
      </c>
      <c r="B51" s="911">
        <f>SUM(B46:B50)</f>
        <v>17</v>
      </c>
      <c r="C51" s="911" t="s">
        <v>474</v>
      </c>
    </row>
  </sheetData>
  <mergeCells count="1">
    <mergeCell ref="A44:C44"/>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X67"/>
  <sheetViews>
    <sheetView topLeftCell="A34" workbookViewId="0">
      <selection activeCell="B56" sqref="B56:H60"/>
    </sheetView>
  </sheetViews>
  <sheetFormatPr defaultColWidth="11" defaultRowHeight="15.75"/>
  <cols>
    <col min="8" max="8" width="14.125" customWidth="1"/>
    <col min="9" max="9" width="13" customWidth="1"/>
    <col min="10" max="14" width="8" customWidth="1"/>
    <col min="18" max="18" width="11.125" bestFit="1" customWidth="1"/>
  </cols>
  <sheetData>
    <row r="1" spans="1:24">
      <c r="A1" s="131"/>
      <c r="B1" s="131"/>
      <c r="C1" s="131"/>
      <c r="D1" s="131"/>
      <c r="E1" s="131"/>
      <c r="F1" s="131"/>
    </row>
    <row r="2" spans="1:24">
      <c r="A2" s="131"/>
      <c r="B2" s="131"/>
      <c r="C2" s="131"/>
      <c r="D2" s="131"/>
      <c r="E2" s="131"/>
      <c r="F2" s="131"/>
    </row>
    <row r="3" spans="1:24">
      <c r="A3" s="131"/>
      <c r="B3" s="131"/>
      <c r="C3" s="131"/>
      <c r="D3" s="131"/>
      <c r="E3" s="131"/>
      <c r="F3" s="131"/>
      <c r="H3" s="1404" t="s">
        <v>756</v>
      </c>
      <c r="I3" s="1405"/>
      <c r="R3" s="1403" t="s">
        <v>812</v>
      </c>
      <c r="S3" s="1403"/>
      <c r="T3" s="1403"/>
      <c r="U3" s="1403"/>
      <c r="V3" s="1403"/>
      <c r="W3" s="1403"/>
    </row>
    <row r="4" spans="1:24">
      <c r="A4" s="131"/>
      <c r="B4" s="131"/>
      <c r="C4" s="131"/>
      <c r="D4" s="131"/>
      <c r="E4" s="131"/>
      <c r="F4" s="131"/>
      <c r="H4" t="s">
        <v>81</v>
      </c>
      <c r="I4" s="1104">
        <f>Model!AF197/Model!$AF$13</f>
        <v>0.26528559935639584</v>
      </c>
      <c r="R4" s="1358" t="s">
        <v>810</v>
      </c>
      <c r="S4" s="1358" t="s">
        <v>485</v>
      </c>
      <c r="T4" s="1358" t="s">
        <v>826</v>
      </c>
      <c r="U4" s="1358" t="s">
        <v>888</v>
      </c>
      <c r="V4" s="1358" t="s">
        <v>163</v>
      </c>
      <c r="W4" s="1358" t="s">
        <v>887</v>
      </c>
    </row>
    <row r="5" spans="1:24">
      <c r="A5" s="131"/>
      <c r="B5" s="131"/>
      <c r="C5" s="131"/>
      <c r="D5" s="131"/>
      <c r="E5" s="131"/>
      <c r="F5" s="131"/>
      <c r="H5" t="s">
        <v>101</v>
      </c>
      <c r="I5" s="1104">
        <f>Model!AF285/Model!$AF$13</f>
        <v>0.25382139983909896</v>
      </c>
      <c r="R5" s="851">
        <v>2005</v>
      </c>
      <c r="S5" s="133">
        <v>0.154</v>
      </c>
      <c r="T5">
        <v>3.98</v>
      </c>
      <c r="U5">
        <v>2</v>
      </c>
      <c r="V5" s="133">
        <f>U5/T5</f>
        <v>0.50251256281407031</v>
      </c>
      <c r="W5" s="159">
        <f>MEDIAN(V5:V7,V9:V15)</f>
        <v>0.52497890914426137</v>
      </c>
      <c r="X5" s="159"/>
    </row>
    <row r="6" spans="1:24">
      <c r="A6" s="131"/>
      <c r="B6" s="131"/>
      <c r="C6" s="131"/>
      <c r="D6" s="131"/>
      <c r="E6" s="131"/>
      <c r="F6" s="131"/>
      <c r="H6" t="s">
        <v>116</v>
      </c>
      <c r="I6" s="1104">
        <f>Model!AF393/Model!$AF$13</f>
        <v>0.17900241351568785</v>
      </c>
      <c r="R6" s="851">
        <v>2006</v>
      </c>
      <c r="S6" s="133">
        <v>0.27500000000000002</v>
      </c>
      <c r="T6">
        <v>7.53</v>
      </c>
      <c r="U6">
        <v>2.2400000000000002</v>
      </c>
      <c r="V6" s="133">
        <f t="shared" ref="V6:V21" si="0">U6/T6</f>
        <v>0.29747675962815406</v>
      </c>
      <c r="W6" s="159">
        <f>W5</f>
        <v>0.52497890914426137</v>
      </c>
    </row>
    <row r="7" spans="1:24">
      <c r="A7" s="131"/>
      <c r="B7" s="131"/>
      <c r="C7" s="131"/>
      <c r="D7" s="131"/>
      <c r="E7" s="131"/>
      <c r="F7" s="131"/>
      <c r="H7" t="s">
        <v>121</v>
      </c>
      <c r="I7" s="1104">
        <f>Model!AF473/Model!$AF$13</f>
        <v>0.25382139983909896</v>
      </c>
      <c r="R7" s="851">
        <v>2007</v>
      </c>
      <c r="S7" s="133">
        <v>0.18</v>
      </c>
      <c r="T7">
        <v>7.43</v>
      </c>
      <c r="U7">
        <v>2.5</v>
      </c>
      <c r="V7" s="133">
        <f t="shared" si="0"/>
        <v>0.33647375504710636</v>
      </c>
      <c r="W7" s="159">
        <f t="shared" ref="W7:W21" si="1">W6</f>
        <v>0.52497890914426137</v>
      </c>
    </row>
    <row r="8" spans="1:24">
      <c r="A8" s="131"/>
      <c r="B8" s="131"/>
      <c r="C8" s="131"/>
      <c r="D8" s="131"/>
      <c r="E8" s="131"/>
      <c r="F8" s="131"/>
      <c r="H8" t="s">
        <v>130</v>
      </c>
      <c r="I8" s="1104">
        <f>Model!AF513/Model!$AF$13</f>
        <v>9.1914722445695901E-2</v>
      </c>
      <c r="R8" s="851">
        <v>2008</v>
      </c>
      <c r="S8" s="133">
        <v>-0.20300000000000001</v>
      </c>
      <c r="T8">
        <v>-8.01</v>
      </c>
      <c r="U8">
        <v>0.1</v>
      </c>
      <c r="V8" s="133">
        <f t="shared" si="0"/>
        <v>-1.2484394506866418E-2</v>
      </c>
      <c r="W8" s="159">
        <f t="shared" si="1"/>
        <v>0.52497890914426137</v>
      </c>
    </row>
    <row r="9" spans="1:24">
      <c r="A9" s="131"/>
      <c r="B9" s="131"/>
      <c r="C9" s="131"/>
      <c r="D9" s="131"/>
      <c r="E9" s="131"/>
      <c r="F9" s="131"/>
      <c r="H9" t="s">
        <v>134</v>
      </c>
      <c r="I9" s="1104">
        <f>Model!AF544/Model!$AF$13</f>
        <v>-5.1287208366854388E-2</v>
      </c>
      <c r="R9" s="851">
        <v>2009</v>
      </c>
      <c r="S9" s="133">
        <v>0.183</v>
      </c>
      <c r="T9">
        <v>5.28</v>
      </c>
      <c r="U9">
        <v>2</v>
      </c>
      <c r="V9" s="133">
        <f t="shared" si="0"/>
        <v>0.37878787878787878</v>
      </c>
      <c r="W9" s="159">
        <f t="shared" si="1"/>
        <v>0.52497890914426137</v>
      </c>
    </row>
    <row r="10" spans="1:24">
      <c r="A10" s="131"/>
      <c r="B10" s="131"/>
      <c r="C10" s="131"/>
      <c r="D10" s="131"/>
      <c r="E10" s="131"/>
      <c r="F10" s="131"/>
      <c r="H10" s="9" t="s">
        <v>144</v>
      </c>
      <c r="I10" s="1143">
        <f>Model!AF587/Model!$AF$13</f>
        <v>7.441673370876911E-3</v>
      </c>
      <c r="R10">
        <v>2010</v>
      </c>
      <c r="S10" s="133">
        <v>0.14399999999999999</v>
      </c>
      <c r="T10">
        <v>3.91</v>
      </c>
      <c r="U10">
        <v>1.3</v>
      </c>
      <c r="V10" s="133">
        <f t="shared" si="0"/>
        <v>0.33248081841432225</v>
      </c>
      <c r="W10" s="159">
        <f t="shared" si="1"/>
        <v>0.52497890914426137</v>
      </c>
    </row>
    <row r="11" spans="1:24">
      <c r="A11" s="131"/>
      <c r="B11" s="131"/>
      <c r="C11" s="131"/>
      <c r="D11" s="131"/>
      <c r="E11" s="131"/>
      <c r="F11" s="131"/>
      <c r="R11">
        <v>2011</v>
      </c>
      <c r="S11" s="133">
        <v>0.06</v>
      </c>
      <c r="T11">
        <v>1.37</v>
      </c>
      <c r="U11">
        <v>0.75</v>
      </c>
      <c r="V11" s="133">
        <f t="shared" si="0"/>
        <v>0.54744525547445255</v>
      </c>
      <c r="W11" s="159">
        <f t="shared" si="1"/>
        <v>0.52497890914426137</v>
      </c>
    </row>
    <row r="12" spans="1:24">
      <c r="A12" s="131"/>
      <c r="B12" s="131"/>
      <c r="C12" s="131"/>
      <c r="D12" s="131"/>
      <c r="E12" s="131"/>
      <c r="F12" s="131"/>
      <c r="H12" s="1403" t="s">
        <v>757</v>
      </c>
      <c r="I12" s="1403"/>
      <c r="J12" s="1403"/>
      <c r="R12" s="851">
        <v>2012</v>
      </c>
      <c r="S12" s="133">
        <v>3.9E-2</v>
      </c>
      <c r="T12">
        <v>0.82</v>
      </c>
      <c r="U12">
        <v>0.75</v>
      </c>
      <c r="V12" s="133">
        <f t="shared" si="0"/>
        <v>0.91463414634146345</v>
      </c>
      <c r="W12" s="159">
        <f t="shared" si="1"/>
        <v>0.52497890914426137</v>
      </c>
    </row>
    <row r="13" spans="1:24">
      <c r="A13" s="131"/>
      <c r="B13" s="131"/>
      <c r="C13" s="131"/>
      <c r="D13" s="131"/>
      <c r="E13" s="131"/>
      <c r="F13" s="131"/>
      <c r="H13" s="1358"/>
      <c r="I13" s="1358" t="s">
        <v>885</v>
      </c>
      <c r="J13" s="1358" t="s">
        <v>758</v>
      </c>
      <c r="R13" s="851">
        <v>2013</v>
      </c>
      <c r="S13" s="133">
        <f>Model!Q148</f>
        <v>7.1624913536434992E-2</v>
      </c>
      <c r="T13">
        <v>1.1000000000000001</v>
      </c>
      <c r="U13">
        <v>0.7</v>
      </c>
      <c r="V13" s="133">
        <f t="shared" si="0"/>
        <v>0.63636363636363624</v>
      </c>
      <c r="W13" s="159">
        <f t="shared" si="1"/>
        <v>0.52497890914426137</v>
      </c>
    </row>
    <row r="14" spans="1:24">
      <c r="A14" s="131"/>
      <c r="B14" s="131"/>
      <c r="C14" s="131"/>
      <c r="D14" s="131"/>
      <c r="E14" s="131"/>
      <c r="F14" s="131"/>
      <c r="H14" t="s">
        <v>172</v>
      </c>
      <c r="I14" s="1180">
        <v>8426</v>
      </c>
      <c r="J14" s="132">
        <f>I14/$I$18</f>
        <v>0.41460414308911087</v>
      </c>
      <c r="R14" s="851">
        <v>2014</v>
      </c>
      <c r="S14" s="133">
        <f>Model!U148</f>
        <v>5.4047454316063649E-2</v>
      </c>
      <c r="T14">
        <v>0.46</v>
      </c>
      <c r="U14">
        <v>0.7</v>
      </c>
      <c r="V14" s="133">
        <f t="shared" si="0"/>
        <v>1.5217391304347825</v>
      </c>
      <c r="W14" s="159">
        <f t="shared" si="1"/>
        <v>0.52497890914426137</v>
      </c>
    </row>
    <row r="15" spans="1:24">
      <c r="A15" s="131"/>
      <c r="B15" s="131"/>
      <c r="C15" s="131"/>
      <c r="D15" s="131"/>
      <c r="E15" s="131"/>
      <c r="F15" s="131"/>
      <c r="H15" t="s">
        <v>173</v>
      </c>
      <c r="I15" s="1180">
        <v>2064</v>
      </c>
      <c r="J15" s="132">
        <f t="shared" ref="J15:J18" si="2">I15/$I$18</f>
        <v>0.10155980908330463</v>
      </c>
      <c r="R15" s="851">
        <v>2015</v>
      </c>
      <c r="S15" s="133">
        <f>Model!Y148</f>
        <v>2.7560695753437951E-2</v>
      </c>
      <c r="T15">
        <v>0.62</v>
      </c>
      <c r="U15">
        <v>0.7</v>
      </c>
      <c r="V15" s="133">
        <f t="shared" si="0"/>
        <v>1.129032258064516</v>
      </c>
      <c r="W15" s="159">
        <f t="shared" si="1"/>
        <v>0.52497890914426137</v>
      </c>
    </row>
    <row r="16" spans="1:24">
      <c r="A16" s="131"/>
      <c r="B16" s="131"/>
      <c r="C16" s="131"/>
      <c r="D16" s="131"/>
      <c r="E16" s="131"/>
      <c r="F16" s="131"/>
      <c r="H16" t="s">
        <v>174</v>
      </c>
      <c r="I16" s="1180">
        <v>7217</v>
      </c>
      <c r="J16" s="132">
        <f t="shared" si="2"/>
        <v>0.35511489445455885</v>
      </c>
      <c r="R16" s="851">
        <v>2016</v>
      </c>
      <c r="S16" s="133">
        <f>Model!AC148</f>
        <v>-7.7896123362023936E-3</v>
      </c>
      <c r="T16">
        <v>-1.3</v>
      </c>
      <c r="U16">
        <v>0.7</v>
      </c>
      <c r="V16" s="133">
        <f t="shared" si="0"/>
        <v>-0.53846153846153844</v>
      </c>
      <c r="W16" s="159">
        <f t="shared" si="1"/>
        <v>0.52497890914426137</v>
      </c>
    </row>
    <row r="17" spans="1:23">
      <c r="A17" s="131"/>
      <c r="B17" s="131"/>
      <c r="C17" s="131"/>
      <c r="D17" s="131"/>
      <c r="E17" s="131"/>
      <c r="F17" s="131"/>
      <c r="H17" t="s">
        <v>116</v>
      </c>
      <c r="I17" s="1180">
        <v>2616</v>
      </c>
      <c r="J17" s="132">
        <f t="shared" si="2"/>
        <v>0.12872115337302564</v>
      </c>
      <c r="R17" s="4" t="s">
        <v>813</v>
      </c>
      <c r="S17" s="133">
        <f>Model!AG148</f>
        <v>3.4215598505936334E-2</v>
      </c>
      <c r="T17">
        <v>0.64</v>
      </c>
      <c r="U17">
        <v>0.7</v>
      </c>
      <c r="V17" s="133">
        <f t="shared" si="0"/>
        <v>1.09375</v>
      </c>
      <c r="W17" s="159">
        <f t="shared" si="1"/>
        <v>0.52497890914426137</v>
      </c>
    </row>
    <row r="18" spans="1:23">
      <c r="A18" s="131"/>
      <c r="B18" s="131"/>
      <c r="C18" s="131"/>
      <c r="D18" s="131"/>
      <c r="E18" s="131"/>
      <c r="F18" s="131"/>
      <c r="H18" s="9" t="s">
        <v>473</v>
      </c>
      <c r="I18" s="1401">
        <f>SUM(I14:I17)</f>
        <v>20323</v>
      </c>
      <c r="J18" s="1402">
        <f t="shared" si="2"/>
        <v>1</v>
      </c>
      <c r="R18" s="4" t="s">
        <v>814</v>
      </c>
      <c r="S18" s="133">
        <f>Model!AK148</f>
        <v>6.2962258686233424E-2</v>
      </c>
      <c r="T18">
        <v>0.87</v>
      </c>
      <c r="U18">
        <f>DDM!C3</f>
        <v>1</v>
      </c>
      <c r="V18" s="133">
        <f t="shared" si="0"/>
        <v>1.1494252873563218</v>
      </c>
      <c r="W18" s="159">
        <f t="shared" si="1"/>
        <v>0.52497890914426137</v>
      </c>
    </row>
    <row r="19" spans="1:23">
      <c r="A19" s="131"/>
      <c r="B19" s="131"/>
      <c r="C19" s="131"/>
      <c r="D19" s="131"/>
      <c r="E19" s="131"/>
      <c r="F19" s="131"/>
      <c r="R19" s="4" t="s">
        <v>815</v>
      </c>
      <c r="S19" s="133">
        <f>Model!AO148</f>
        <v>8.8149682983329924E-2</v>
      </c>
      <c r="T19">
        <v>1.34</v>
      </c>
      <c r="U19">
        <f>DDM!D3</f>
        <v>1</v>
      </c>
      <c r="V19" s="133">
        <f t="shared" si="0"/>
        <v>0.74626865671641784</v>
      </c>
      <c r="W19" s="159">
        <f t="shared" si="1"/>
        <v>0.52497890914426137</v>
      </c>
    </row>
    <row r="20" spans="1:23">
      <c r="A20" s="131"/>
      <c r="B20" s="131"/>
      <c r="C20" s="131"/>
      <c r="D20" s="131"/>
      <c r="E20" s="131"/>
      <c r="F20" s="131"/>
      <c r="R20" s="1413" t="s">
        <v>816</v>
      </c>
      <c r="S20" s="1126">
        <f>Model!AS148</f>
        <v>9.8239542140921773E-2</v>
      </c>
      <c r="T20" s="868">
        <v>1.57</v>
      </c>
      <c r="U20" s="868">
        <f>DDM!E3</f>
        <v>1.3</v>
      </c>
      <c r="V20" s="1126">
        <f t="shared" si="0"/>
        <v>0.82802547770700641</v>
      </c>
      <c r="W20" s="1034">
        <f t="shared" si="1"/>
        <v>0.52497890914426137</v>
      </c>
    </row>
    <row r="21" spans="1:23">
      <c r="R21" s="1414" t="s">
        <v>817</v>
      </c>
      <c r="S21" s="953">
        <f>Model!AW148</f>
        <v>0.10308853931449675</v>
      </c>
      <c r="T21" s="9">
        <v>1.72</v>
      </c>
      <c r="U21" s="865">
        <f>DDM!F3</f>
        <v>1.4</v>
      </c>
      <c r="V21" s="953">
        <f t="shared" si="0"/>
        <v>0.81395348837209303</v>
      </c>
      <c r="W21" s="864">
        <f t="shared" si="1"/>
        <v>0.52497890914426137</v>
      </c>
    </row>
    <row r="23" spans="1:23">
      <c r="R23" s="1404"/>
      <c r="S23" s="1404" t="s">
        <v>819</v>
      </c>
      <c r="T23" s="1404" t="s">
        <v>820</v>
      </c>
    </row>
    <row r="24" spans="1:23">
      <c r="H24" s="1406" t="s">
        <v>178</v>
      </c>
      <c r="I24" s="1406"/>
      <c r="J24" s="1406"/>
      <c r="K24" s="1406"/>
      <c r="L24" s="1406"/>
      <c r="R24" s="1413" t="s">
        <v>818</v>
      </c>
      <c r="S24" s="1034">
        <f>MEDIAN(S5:S7)</f>
        <v>0.18</v>
      </c>
      <c r="T24" s="1034">
        <f>MEDIAN(S5:S7,S9:S16)</f>
        <v>7.1624913536434992E-2</v>
      </c>
    </row>
    <row r="25" spans="1:23">
      <c r="A25" s="134"/>
      <c r="B25" s="134"/>
      <c r="C25" s="134"/>
      <c r="D25" s="134"/>
      <c r="E25" s="134"/>
      <c r="F25" s="134"/>
      <c r="G25" s="134"/>
      <c r="H25" s="1407" t="s">
        <v>175</v>
      </c>
      <c r="I25" s="1407">
        <v>2016</v>
      </c>
      <c r="J25" s="1407">
        <v>2015</v>
      </c>
      <c r="K25" s="1407">
        <v>2014</v>
      </c>
      <c r="L25" s="1407">
        <v>2013</v>
      </c>
      <c r="R25" s="1414" t="s">
        <v>568</v>
      </c>
      <c r="S25" s="864">
        <f>AVERAGE(S5:S7)</f>
        <v>0.20299999999999999</v>
      </c>
      <c r="T25" s="864">
        <f>AVERAGE(S5:S7,S9:S16)</f>
        <v>0.10731304102452129</v>
      </c>
    </row>
    <row r="26" spans="1:23">
      <c r="A26" s="134"/>
      <c r="B26" s="134"/>
      <c r="C26" s="134"/>
      <c r="D26" s="134"/>
      <c r="E26" s="134"/>
      <c r="F26" s="134"/>
      <c r="G26" s="134"/>
      <c r="H26" s="1180" t="s">
        <v>172</v>
      </c>
      <c r="I26" s="1180">
        <v>8426</v>
      </c>
      <c r="J26" s="1180">
        <v>8548</v>
      </c>
      <c r="K26" s="1180">
        <v>8247</v>
      </c>
      <c r="L26" s="1180">
        <v>8035</v>
      </c>
    </row>
    <row r="27" spans="1:23">
      <c r="A27" s="134"/>
      <c r="B27" s="134"/>
      <c r="C27" s="134"/>
      <c r="D27" s="134"/>
      <c r="E27" s="134"/>
      <c r="F27" s="134"/>
      <c r="G27" s="134"/>
      <c r="H27" s="1180" t="s">
        <v>173</v>
      </c>
      <c r="I27" s="1180">
        <v>2064</v>
      </c>
      <c r="J27" s="1180">
        <v>3846</v>
      </c>
      <c r="K27" s="1180">
        <v>4358</v>
      </c>
      <c r="L27" s="1180">
        <v>4744</v>
      </c>
    </row>
    <row r="28" spans="1:23">
      <c r="A28" s="134"/>
      <c r="B28" s="134"/>
      <c r="C28" s="134"/>
      <c r="D28" s="134"/>
      <c r="E28" s="134"/>
      <c r="F28" s="134"/>
      <c r="G28" s="134"/>
      <c r="H28" s="1180" t="s">
        <v>174</v>
      </c>
      <c r="I28" s="1180">
        <v>7217</v>
      </c>
      <c r="J28" s="1180">
        <v>8470</v>
      </c>
      <c r="K28" s="1180">
        <v>11097</v>
      </c>
      <c r="L28" s="1180">
        <v>10810</v>
      </c>
    </row>
    <row r="29" spans="1:23">
      <c r="A29" s="134"/>
      <c r="B29" s="134"/>
      <c r="C29" s="134"/>
      <c r="D29" s="134"/>
      <c r="E29" s="134"/>
      <c r="F29" s="134"/>
      <c r="G29" s="134"/>
      <c r="H29" s="1180" t="s">
        <v>116</v>
      </c>
      <c r="I29" s="1180">
        <v>2616</v>
      </c>
      <c r="J29" s="1180">
        <v>2933</v>
      </c>
      <c r="K29" s="1180">
        <v>2540</v>
      </c>
      <c r="L29" s="1180">
        <v>2267</v>
      </c>
    </row>
    <row r="30" spans="1:23">
      <c r="A30" s="134"/>
      <c r="B30" s="134"/>
      <c r="C30" s="134"/>
      <c r="D30" s="134"/>
      <c r="E30" s="134"/>
      <c r="F30" s="134"/>
      <c r="G30" s="134"/>
      <c r="H30" s="1180" t="s">
        <v>5</v>
      </c>
      <c r="I30" s="1180">
        <f>SUM(I26:I29)</f>
        <v>20323</v>
      </c>
      <c r="J30" s="1180">
        <f>SUM(J26:J29)</f>
        <v>23797</v>
      </c>
      <c r="K30" s="1180">
        <f>SUM(K26:K29)</f>
        <v>26242</v>
      </c>
      <c r="L30" s="1180">
        <f>SUM(L26:L29)</f>
        <v>25856</v>
      </c>
    </row>
    <row r="31" spans="1:23">
      <c r="A31" s="134"/>
      <c r="B31" s="134"/>
      <c r="C31" s="134"/>
      <c r="D31" s="134"/>
      <c r="E31" s="134"/>
      <c r="F31" s="134"/>
      <c r="G31" s="134"/>
      <c r="H31" s="1408" t="s">
        <v>176</v>
      </c>
      <c r="I31" s="1408"/>
      <c r="J31" s="1408"/>
      <c r="K31" s="1408"/>
      <c r="L31" s="1408"/>
    </row>
    <row r="32" spans="1:23">
      <c r="A32" s="134"/>
      <c r="B32" s="134"/>
      <c r="C32" s="134"/>
      <c r="D32" s="134"/>
      <c r="E32" s="134"/>
      <c r="F32" s="134"/>
      <c r="G32" s="134"/>
      <c r="H32" s="1180" t="s">
        <v>172</v>
      </c>
      <c r="I32" s="1180">
        <v>2111</v>
      </c>
      <c r="J32" s="1180">
        <v>1746</v>
      </c>
      <c r="K32" s="1180">
        <v>401</v>
      </c>
      <c r="L32" s="1180">
        <v>642</v>
      </c>
    </row>
    <row r="33" spans="1:20">
      <c r="A33" s="134"/>
      <c r="B33" s="134"/>
      <c r="C33" s="134"/>
      <c r="D33" s="134"/>
      <c r="E33" s="134"/>
      <c r="F33" s="134"/>
      <c r="G33" s="134"/>
      <c r="H33" s="1180" t="s">
        <v>173</v>
      </c>
      <c r="I33" s="1180">
        <v>-2460</v>
      </c>
      <c r="J33" s="1180">
        <v>-1464</v>
      </c>
      <c r="K33" s="1180">
        <v>-562</v>
      </c>
      <c r="L33" s="1180">
        <v>157</v>
      </c>
    </row>
    <row r="34" spans="1:20">
      <c r="A34" s="134"/>
      <c r="B34" s="134"/>
      <c r="C34" s="134"/>
      <c r="D34" s="134"/>
      <c r="E34" s="134"/>
      <c r="F34" s="134"/>
      <c r="G34" s="134"/>
      <c r="H34" s="1180" t="s">
        <v>174</v>
      </c>
      <c r="I34" s="1180">
        <v>-1573</v>
      </c>
      <c r="J34" s="1180">
        <v>-2877</v>
      </c>
      <c r="K34" s="1180">
        <v>2738</v>
      </c>
      <c r="L34" s="1180">
        <v>2265</v>
      </c>
    </row>
    <row r="35" spans="1:20">
      <c r="A35" s="134"/>
      <c r="B35" s="134"/>
      <c r="C35" s="134"/>
      <c r="D35" s="134"/>
      <c r="E35" s="134"/>
      <c r="F35" s="134"/>
      <c r="G35" s="134"/>
      <c r="H35" s="1193" t="s">
        <v>116</v>
      </c>
      <c r="I35" s="1193">
        <v>-344</v>
      </c>
      <c r="J35" s="1193">
        <v>173</v>
      </c>
      <c r="K35" s="1193">
        <v>49</v>
      </c>
      <c r="L35" s="1193">
        <v>-68</v>
      </c>
    </row>
    <row r="36" spans="1:20">
      <c r="A36" s="134"/>
      <c r="B36" s="134"/>
      <c r="C36" s="134"/>
      <c r="D36" s="134"/>
      <c r="E36" s="134"/>
      <c r="F36" s="134"/>
      <c r="G36" s="134"/>
      <c r="H36" s="1401" t="s">
        <v>854</v>
      </c>
      <c r="I36" s="1401">
        <f>SUM(I32:I35)</f>
        <v>-2266</v>
      </c>
      <c r="J36" s="1401">
        <f>SUM(J32:J35)</f>
        <v>-2422</v>
      </c>
      <c r="K36" s="1401">
        <f>SUM(K32:K35)</f>
        <v>2626</v>
      </c>
      <c r="L36" s="1401">
        <f>SUM(L32:L35)</f>
        <v>2996</v>
      </c>
    </row>
    <row r="37" spans="1:20">
      <c r="A37" s="134"/>
      <c r="B37" s="134"/>
      <c r="C37" s="134"/>
      <c r="D37" s="134"/>
      <c r="E37" s="134"/>
      <c r="F37" s="134"/>
      <c r="G37" s="134"/>
      <c r="I37" s="851"/>
    </row>
    <row r="38" spans="1:20">
      <c r="A38" s="134"/>
      <c r="B38" s="134"/>
      <c r="C38" s="134"/>
      <c r="D38" s="134"/>
      <c r="E38" s="134"/>
      <c r="F38" s="134"/>
      <c r="G38" s="134"/>
      <c r="H38" s="1409" t="s">
        <v>179</v>
      </c>
      <c r="I38" s="1409"/>
      <c r="J38" s="1409"/>
      <c r="K38" s="1409"/>
      <c r="L38" s="1409"/>
    </row>
    <row r="39" spans="1:20">
      <c r="A39" s="134"/>
      <c r="B39" s="134"/>
      <c r="C39" s="134"/>
      <c r="D39" s="134"/>
      <c r="E39" s="134"/>
      <c r="F39" s="134"/>
      <c r="G39" s="134"/>
      <c r="H39" s="1410"/>
      <c r="I39" s="1412">
        <v>2016</v>
      </c>
      <c r="J39" s="1412">
        <v>2015</v>
      </c>
      <c r="K39" s="1412">
        <v>2014</v>
      </c>
      <c r="L39" s="1412">
        <v>2013</v>
      </c>
    </row>
    <row r="40" spans="1:20">
      <c r="A40" s="134"/>
      <c r="B40" s="134"/>
      <c r="C40" s="134"/>
      <c r="D40" s="134"/>
      <c r="E40" s="134"/>
      <c r="F40" s="134"/>
      <c r="G40" s="134"/>
      <c r="H40" s="132" t="s">
        <v>172</v>
      </c>
      <c r="I40" s="132">
        <f t="shared" ref="I40" si="3">I26/I$30</f>
        <v>0.41460414308911087</v>
      </c>
      <c r="J40" s="132">
        <f t="shared" ref="J40:L43" si="4">J26/J$30</f>
        <v>0.3592049417993865</v>
      </c>
      <c r="K40" s="132">
        <f t="shared" si="4"/>
        <v>0.31426720524350277</v>
      </c>
      <c r="L40" s="132">
        <f t="shared" si="4"/>
        <v>0.31075959158415839</v>
      </c>
    </row>
    <row r="41" spans="1:20">
      <c r="A41" s="134"/>
      <c r="B41" s="134"/>
      <c r="C41" s="134"/>
      <c r="D41" s="134"/>
      <c r="E41" s="134"/>
      <c r="F41" s="134"/>
      <c r="G41" s="134"/>
      <c r="H41" s="132" t="s">
        <v>173</v>
      </c>
      <c r="I41" s="132">
        <f t="shared" ref="I41" si="5">I27/I$30</f>
        <v>0.10155980908330463</v>
      </c>
      <c r="J41" s="132">
        <f t="shared" si="4"/>
        <v>0.16161701054754801</v>
      </c>
      <c r="K41" s="132">
        <f t="shared" si="4"/>
        <v>0.1660696593247466</v>
      </c>
      <c r="L41" s="132">
        <f t="shared" si="4"/>
        <v>0.18347772277227722</v>
      </c>
    </row>
    <row r="42" spans="1:20">
      <c r="A42" s="134"/>
      <c r="B42" s="134"/>
      <c r="C42" s="134"/>
      <c r="D42" s="134"/>
      <c r="E42" s="134"/>
      <c r="F42" s="134"/>
      <c r="G42" s="134"/>
      <c r="H42" s="132" t="s">
        <v>174</v>
      </c>
      <c r="I42" s="132">
        <f t="shared" ref="I42" si="6">I28/I$30</f>
        <v>0.35511489445455885</v>
      </c>
      <c r="J42" s="132">
        <f t="shared" si="4"/>
        <v>0.35592721771651886</v>
      </c>
      <c r="K42" s="132">
        <f t="shared" si="4"/>
        <v>0.42287173233747427</v>
      </c>
      <c r="L42" s="132">
        <f t="shared" si="4"/>
        <v>0.41808477722772275</v>
      </c>
    </row>
    <row r="43" spans="1:20">
      <c r="A43" s="134"/>
      <c r="B43" s="134"/>
      <c r="C43" s="134"/>
      <c r="D43" s="134"/>
      <c r="E43" s="134"/>
      <c r="F43" s="134"/>
      <c r="G43" s="134"/>
      <c r="H43" s="132" t="s">
        <v>116</v>
      </c>
      <c r="I43" s="132">
        <f t="shared" ref="I43" si="7">I29/I$30</f>
        <v>0.12872115337302564</v>
      </c>
      <c r="J43" s="132">
        <f t="shared" si="4"/>
        <v>0.12325082993654662</v>
      </c>
      <c r="K43" s="132">
        <f t="shared" si="4"/>
        <v>9.6791403094276349E-2</v>
      </c>
      <c r="L43" s="132">
        <f t="shared" si="4"/>
        <v>8.7677908415841582E-2</v>
      </c>
      <c r="Q43" s="1250" t="s">
        <v>585</v>
      </c>
      <c r="R43" s="1250"/>
      <c r="S43" s="1250"/>
      <c r="T43" s="1250"/>
    </row>
    <row r="44" spans="1:20">
      <c r="A44" s="134"/>
      <c r="B44" s="134"/>
      <c r="C44" s="134"/>
      <c r="D44" s="134"/>
      <c r="E44" s="134"/>
      <c r="F44" s="134"/>
      <c r="G44" s="134"/>
      <c r="H44" s="1402" t="s">
        <v>5</v>
      </c>
      <c r="I44" s="1402">
        <f>SUM(I40:I43)</f>
        <v>1</v>
      </c>
      <c r="J44" s="1402">
        <f>SUM(J40:J43)</f>
        <v>1</v>
      </c>
      <c r="K44" s="1402">
        <f>SUM(K40:K43)</f>
        <v>1</v>
      </c>
      <c r="L44" s="1402">
        <f>SUM(L40:L43)</f>
        <v>0.99999999999999989</v>
      </c>
      <c r="Q44" s="1235" t="s">
        <v>902</v>
      </c>
      <c r="R44" s="1235">
        <f>2017</f>
        <v>2017</v>
      </c>
      <c r="S44" s="1235">
        <v>2018</v>
      </c>
      <c r="T44" s="1235">
        <v>2019</v>
      </c>
    </row>
    <row r="45" spans="1:20">
      <c r="A45" s="134"/>
      <c r="B45" s="134"/>
      <c r="C45" s="134"/>
      <c r="D45" s="134"/>
      <c r="E45" s="134"/>
      <c r="F45" s="134"/>
      <c r="G45" s="134"/>
      <c r="Q45" s="9" t="s">
        <v>901</v>
      </c>
      <c r="R45" s="1318">
        <f>'ROIC val'!C77</f>
        <v>14.258109325558916</v>
      </c>
      <c r="S45" s="1318">
        <f>'ROIC val'!G77</f>
        <v>16.180819997807195</v>
      </c>
      <c r="T45" s="1318">
        <f>'ROIC val'!K77</f>
        <v>17.630183375072946</v>
      </c>
    </row>
    <row r="46" spans="1:20">
      <c r="A46" s="134"/>
      <c r="B46" s="134"/>
      <c r="C46" s="134"/>
      <c r="D46" s="134"/>
      <c r="E46" s="134"/>
      <c r="F46" s="134"/>
      <c r="G46" s="134"/>
      <c r="H46" s="1441" t="s">
        <v>911</v>
      </c>
      <c r="I46" s="1441"/>
      <c r="J46" s="1441"/>
      <c r="K46" s="1441"/>
      <c r="L46" s="1441"/>
    </row>
    <row r="47" spans="1:20">
      <c r="A47" s="134"/>
      <c r="B47" s="134"/>
      <c r="C47" s="134"/>
      <c r="D47" s="134"/>
      <c r="E47" s="134"/>
      <c r="F47" s="134"/>
      <c r="G47" s="134"/>
      <c r="H47" s="132" t="s">
        <v>172</v>
      </c>
      <c r="I47" s="132">
        <f>I32/I26</f>
        <v>0.25053406123902205</v>
      </c>
      <c r="J47" s="132">
        <f t="shared" ref="J47:L47" si="8">J32/J26</f>
        <v>0.20425830603649978</v>
      </c>
      <c r="K47" s="132">
        <f t="shared" si="8"/>
        <v>4.8623741966775796E-2</v>
      </c>
      <c r="L47" s="132">
        <f t="shared" si="8"/>
        <v>7.9900435594275052E-2</v>
      </c>
    </row>
    <row r="48" spans="1:20">
      <c r="A48" s="134"/>
      <c r="B48" s="134"/>
      <c r="C48" s="134"/>
      <c r="D48" s="134"/>
      <c r="E48" s="134"/>
      <c r="F48" s="134"/>
      <c r="G48" s="134"/>
      <c r="H48" s="132" t="s">
        <v>173</v>
      </c>
      <c r="I48" s="132">
        <f t="shared" ref="I48:L48" si="9">I33/I27</f>
        <v>-1.191860465116279</v>
      </c>
      <c r="J48" s="132">
        <f t="shared" si="9"/>
        <v>-0.38065522620904835</v>
      </c>
      <c r="K48" s="132">
        <f t="shared" si="9"/>
        <v>-0.12895823772372647</v>
      </c>
      <c r="L48" s="132">
        <f t="shared" si="9"/>
        <v>3.3094435075885331E-2</v>
      </c>
    </row>
    <row r="49" spans="1:12">
      <c r="A49" s="134"/>
      <c r="B49" s="134"/>
      <c r="C49" s="134"/>
      <c r="D49" s="134"/>
      <c r="E49" s="134"/>
      <c r="F49" s="134"/>
      <c r="G49" s="134"/>
      <c r="H49" s="132" t="s">
        <v>174</v>
      </c>
      <c r="I49" s="132">
        <f t="shared" ref="I49:L49" si="10">I34/I28</f>
        <v>-0.21795760011084939</v>
      </c>
      <c r="J49" s="132">
        <f t="shared" si="10"/>
        <v>-0.33966942148760332</v>
      </c>
      <c r="K49" s="132">
        <f t="shared" si="10"/>
        <v>0.2467333513562224</v>
      </c>
      <c r="L49" s="132">
        <f t="shared" si="10"/>
        <v>0.20952821461609622</v>
      </c>
    </row>
    <row r="50" spans="1:12">
      <c r="A50" s="134"/>
      <c r="B50" s="134"/>
      <c r="C50" s="134"/>
      <c r="D50" s="134"/>
      <c r="E50" s="134"/>
      <c r="F50" s="134"/>
      <c r="G50" s="134"/>
      <c r="H50" s="1411" t="s">
        <v>116</v>
      </c>
      <c r="I50" s="1411">
        <f t="shared" ref="I50:L50" si="11">I35/I29</f>
        <v>-0.13149847094801223</v>
      </c>
      <c r="J50" s="1411">
        <f t="shared" si="11"/>
        <v>5.8983975451755884E-2</v>
      </c>
      <c r="K50" s="1411">
        <f t="shared" si="11"/>
        <v>1.9291338582677165E-2</v>
      </c>
      <c r="L50" s="1411">
        <f t="shared" si="11"/>
        <v>-2.9995588883987651E-2</v>
      </c>
    </row>
    <row r="51" spans="1:12">
      <c r="A51" s="134"/>
      <c r="B51" s="134"/>
      <c r="C51" s="134"/>
      <c r="D51" s="134"/>
      <c r="E51" s="134"/>
      <c r="F51" s="134"/>
      <c r="G51" s="134"/>
      <c r="H51" s="1402" t="s">
        <v>177</v>
      </c>
      <c r="I51" s="1402">
        <f t="shared" ref="I51:L51" si="12">I36/I30</f>
        <v>-0.11149928652265906</v>
      </c>
      <c r="J51" s="1402">
        <f t="shared" si="12"/>
        <v>-0.10177753498340127</v>
      </c>
      <c r="K51" s="1402">
        <f t="shared" si="12"/>
        <v>0.10006859233290145</v>
      </c>
      <c r="L51" s="1402">
        <f t="shared" si="12"/>
        <v>0.11587252475247525</v>
      </c>
    </row>
    <row r="52" spans="1:12">
      <c r="A52" s="134"/>
      <c r="B52" s="134"/>
      <c r="C52" s="134"/>
      <c r="D52" s="134"/>
      <c r="E52" s="134"/>
      <c r="F52" s="134"/>
      <c r="G52" s="134"/>
    </row>
    <row r="53" spans="1:12">
      <c r="A53" s="134"/>
      <c r="B53" s="134"/>
      <c r="C53" s="134"/>
      <c r="D53" s="134"/>
      <c r="E53" s="134"/>
      <c r="F53" s="134"/>
      <c r="G53" s="134"/>
    </row>
    <row r="54" spans="1:12">
      <c r="A54" s="134"/>
      <c r="B54" s="134"/>
      <c r="C54" s="134"/>
      <c r="D54" s="134"/>
      <c r="E54" s="134"/>
      <c r="F54" s="134"/>
      <c r="G54" s="134"/>
    </row>
    <row r="55" spans="1:12">
      <c r="A55" s="134"/>
      <c r="B55" s="134"/>
      <c r="C55" s="134"/>
      <c r="D55" s="134"/>
      <c r="E55" s="134"/>
      <c r="F55" s="134"/>
      <c r="G55" s="134"/>
      <c r="H55" s="134"/>
      <c r="I55" s="134"/>
    </row>
    <row r="56" spans="1:12">
      <c r="A56" s="134"/>
      <c r="B56" s="1498" t="s">
        <v>434</v>
      </c>
      <c r="C56" s="1496" t="s">
        <v>435</v>
      </c>
      <c r="D56" s="1494" t="s">
        <v>436</v>
      </c>
      <c r="E56" s="1495"/>
      <c r="F56" s="1495"/>
      <c r="G56" s="1495"/>
      <c r="H56" s="1495"/>
      <c r="I56" s="134"/>
    </row>
    <row r="57" spans="1:12">
      <c r="A57" s="134"/>
      <c r="B57" s="1484"/>
      <c r="C57" s="1497"/>
      <c r="D57" s="1353">
        <v>2017</v>
      </c>
      <c r="E57" s="1354">
        <v>2018</v>
      </c>
      <c r="F57" s="1354">
        <v>2019</v>
      </c>
      <c r="G57" s="1354">
        <v>2020</v>
      </c>
      <c r="H57" s="1354">
        <v>2021</v>
      </c>
      <c r="I57" s="134"/>
    </row>
    <row r="58" spans="1:12">
      <c r="A58" s="134"/>
      <c r="B58" s="871" t="s">
        <v>433</v>
      </c>
      <c r="C58" s="881" t="s">
        <v>172</v>
      </c>
      <c r="D58" s="877">
        <f>'Growth Calculations'!E40</f>
        <v>4.8941192555775448E-2</v>
      </c>
      <c r="E58" s="872">
        <f>'Growth Calculations'!F40</f>
        <v>4.3747951381367889E-2</v>
      </c>
      <c r="F58" s="872">
        <f>'Growth Calculations'!G40</f>
        <v>4.2430341808137984E-2</v>
      </c>
      <c r="G58" s="872">
        <f>'Growth Calculations'!H40</f>
        <v>4.0997498326345028E-2</v>
      </c>
      <c r="H58" s="872">
        <f>'Growth Calculations'!I40</f>
        <v>3.9557211059230823E-2</v>
      </c>
      <c r="I58" s="134"/>
    </row>
    <row r="59" spans="1:12">
      <c r="A59" s="134"/>
      <c r="B59" s="873" t="s">
        <v>437</v>
      </c>
      <c r="C59" s="880" t="s">
        <v>439</v>
      </c>
      <c r="D59" s="878">
        <f>'Growth Calculations'!AI332</f>
        <v>5.3217485170245118E-2</v>
      </c>
      <c r="E59" s="874">
        <f>'Growth Calculations'!AJ332</f>
        <v>5.5854339247827116E-2</v>
      </c>
      <c r="F59" s="874">
        <f>'Growth Calculations'!AK332</f>
        <v>5.6620297460112122E-2</v>
      </c>
      <c r="G59" s="874">
        <f>'Growth Calculations'!AL332</f>
        <v>5.6368090168532475E-2</v>
      </c>
      <c r="H59" s="874">
        <f>'Growth Calculations'!AM332</f>
        <v>5.5762900179805043E-2</v>
      </c>
      <c r="I59" s="134"/>
    </row>
    <row r="60" spans="1:12">
      <c r="A60" s="134"/>
      <c r="B60" s="875" t="s">
        <v>438</v>
      </c>
      <c r="C60" s="882" t="s">
        <v>116</v>
      </c>
      <c r="D60" s="879">
        <f>'Growth Calculations'!AI36</f>
        <v>6.9689496274861484E-2</v>
      </c>
      <c r="E60" s="876">
        <f>'Growth Calculations'!AJ36</f>
        <v>7.1319414412331555E-2</v>
      </c>
      <c r="F60" s="876">
        <f>'Growth Calculations'!AK36</f>
        <v>7.4234829048826154E-2</v>
      </c>
      <c r="G60" s="876">
        <f>'Growth Calculations'!AL36</f>
        <v>7.3680383429939433E-2</v>
      </c>
      <c r="H60" s="876">
        <f>'Growth Calculations'!AM36</f>
        <v>7.3762789459533157E-2</v>
      </c>
      <c r="I60" s="134"/>
    </row>
    <row r="61" spans="1:12">
      <c r="A61" s="134"/>
      <c r="B61" s="134"/>
      <c r="C61" s="134"/>
      <c r="D61" s="134"/>
      <c r="E61" s="134"/>
      <c r="F61" s="134"/>
      <c r="G61" s="134"/>
      <c r="H61" s="134"/>
      <c r="I61" s="134"/>
    </row>
    <row r="62" spans="1:12" ht="14.1" customHeight="1">
      <c r="A62" s="134"/>
      <c r="B62" s="134"/>
      <c r="C62" s="134"/>
      <c r="D62" s="134"/>
      <c r="E62" s="134"/>
      <c r="F62" s="134"/>
      <c r="G62" s="134"/>
      <c r="H62" s="134"/>
      <c r="I62" s="134"/>
    </row>
    <row r="63" spans="1:12" ht="47.1" customHeight="1">
      <c r="A63" s="134"/>
      <c r="B63" s="1448" t="s">
        <v>434</v>
      </c>
      <c r="C63" s="1449" t="s">
        <v>435</v>
      </c>
      <c r="D63" s="1450" t="s">
        <v>886</v>
      </c>
      <c r="E63" s="134"/>
      <c r="F63" s="134"/>
      <c r="G63" s="134"/>
      <c r="H63" s="134"/>
      <c r="I63" s="134"/>
    </row>
    <row r="64" spans="1:12">
      <c r="A64" s="134"/>
      <c r="B64" s="871" t="s">
        <v>433</v>
      </c>
      <c r="C64" s="881" t="str">
        <f>'Growth Calculations'!G340</f>
        <v>Switzerland</v>
      </c>
      <c r="D64" s="1278">
        <v>0.02</v>
      </c>
      <c r="E64" s="134"/>
      <c r="F64" s="134"/>
      <c r="G64" s="134"/>
      <c r="H64" s="134"/>
      <c r="I64" s="134"/>
    </row>
    <row r="65" spans="1:9" ht="45.95" customHeight="1">
      <c r="A65" s="134"/>
      <c r="B65" s="884" t="s">
        <v>437</v>
      </c>
      <c r="C65" s="885" t="str">
        <f>'Growth Calculations'!G339</f>
        <v>Americas/EMEA/LatAm</v>
      </c>
      <c r="D65" s="1038">
        <f>'Growth Calculations'!H339</f>
        <v>5.1648313833448034E-2</v>
      </c>
      <c r="E65" s="134"/>
      <c r="F65" s="134"/>
      <c r="G65" s="134"/>
      <c r="H65" s="134"/>
      <c r="I65" s="134"/>
    </row>
    <row r="66" spans="1:9">
      <c r="A66" s="134"/>
      <c r="B66" s="875" t="s">
        <v>438</v>
      </c>
      <c r="C66" s="882" t="str">
        <f>'Growth Calculations'!G338</f>
        <v>APAC</v>
      </c>
      <c r="D66" s="879">
        <f>'Growth Calculations'!H338</f>
        <v>8.19254498714653E-2</v>
      </c>
      <c r="E66" s="134"/>
      <c r="F66" s="134"/>
      <c r="G66" s="134"/>
      <c r="H66" s="134"/>
      <c r="I66" s="134"/>
    </row>
    <row r="67" spans="1:9">
      <c r="A67" s="134"/>
      <c r="B67" s="134"/>
      <c r="C67" s="134"/>
      <c r="D67" s="134"/>
      <c r="E67" s="134"/>
      <c r="F67" s="134"/>
      <c r="G67" s="134"/>
      <c r="H67" s="134"/>
      <c r="I67" s="134"/>
    </row>
  </sheetData>
  <mergeCells count="3">
    <mergeCell ref="D56:H56"/>
    <mergeCell ref="C56:C57"/>
    <mergeCell ref="B56:B57"/>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B1"/>
  <sheetViews>
    <sheetView workbookViewId="0">
      <selection activeCell="B2" sqref="B2"/>
    </sheetView>
  </sheetViews>
  <sheetFormatPr defaultColWidth="11" defaultRowHeight="15.75"/>
  <sheetData>
    <row r="1" spans="1:2">
      <c r="A1" t="s">
        <v>4</v>
      </c>
      <c r="B1" s="3">
        <v>42917</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dimension ref="A1:AN396"/>
  <sheetViews>
    <sheetView zoomScale="85" zoomScaleNormal="85" workbookViewId="0">
      <pane xSplit="1" ySplit="1" topLeftCell="B43" activePane="bottomRight" state="frozen"/>
      <selection pane="topRight" activeCell="B1" sqref="B1"/>
      <selection pane="bottomLeft" activeCell="A2" sqref="A2"/>
      <selection pane="bottomRight" activeCell="G346" sqref="G346"/>
    </sheetView>
  </sheetViews>
  <sheetFormatPr defaultColWidth="11" defaultRowHeight="15.75" outlineLevelRow="2"/>
  <cols>
    <col min="1" max="1" width="21.125" customWidth="1"/>
    <col min="31" max="31" width="18.5" customWidth="1"/>
  </cols>
  <sheetData>
    <row r="1" spans="1:39" s="2" customFormat="1">
      <c r="A1" s="2" t="s">
        <v>116</v>
      </c>
      <c r="B1" s="2">
        <v>2014</v>
      </c>
      <c r="C1" s="2">
        <v>2015</v>
      </c>
      <c r="D1" s="2">
        <v>2016</v>
      </c>
      <c r="E1" s="2">
        <v>2017</v>
      </c>
      <c r="F1" s="2">
        <v>2018</v>
      </c>
      <c r="G1" s="2">
        <v>2019</v>
      </c>
      <c r="H1" s="2">
        <v>2020</v>
      </c>
      <c r="I1" s="2">
        <v>2021</v>
      </c>
      <c r="K1" s="2" t="s">
        <v>399</v>
      </c>
      <c r="L1" s="2">
        <v>2014</v>
      </c>
      <c r="M1" s="2">
        <v>2015</v>
      </c>
      <c r="N1" s="2">
        <v>2016</v>
      </c>
      <c r="O1" s="2">
        <v>2017</v>
      </c>
      <c r="P1" s="2">
        <v>2018</v>
      </c>
      <c r="Q1" s="2">
        <v>2019</v>
      </c>
      <c r="R1" s="2">
        <v>2020</v>
      </c>
      <c r="S1" s="2">
        <v>2021</v>
      </c>
      <c r="U1" s="2" t="s">
        <v>401</v>
      </c>
      <c r="V1" s="2">
        <v>2014</v>
      </c>
      <c r="W1" s="2">
        <v>2015</v>
      </c>
      <c r="X1" s="2">
        <v>2016</v>
      </c>
      <c r="Y1" s="2">
        <v>2017</v>
      </c>
      <c r="Z1" s="2">
        <v>2018</v>
      </c>
      <c r="AA1" s="2">
        <v>2019</v>
      </c>
      <c r="AB1" s="2">
        <v>2020</v>
      </c>
      <c r="AC1" s="2">
        <v>2021</v>
      </c>
      <c r="AE1" s="2" t="s">
        <v>402</v>
      </c>
      <c r="AF1" s="2">
        <v>2014</v>
      </c>
      <c r="AG1" s="2">
        <v>2015</v>
      </c>
      <c r="AH1" s="2">
        <v>2016</v>
      </c>
      <c r="AI1" s="2">
        <v>2017</v>
      </c>
      <c r="AJ1" s="2">
        <v>2018</v>
      </c>
      <c r="AK1" s="2">
        <v>2019</v>
      </c>
      <c r="AL1" s="2">
        <v>2020</v>
      </c>
      <c r="AM1" s="2">
        <v>2021</v>
      </c>
    </row>
    <row r="2" spans="1:39" s="152" customFormat="1" hidden="1" outlineLevel="1">
      <c r="A2" s="951" t="s">
        <v>216</v>
      </c>
      <c r="B2" s="949">
        <f>LOOKUP($A2,'GDP data'!$A$2:$A$192,'GDP data'!P$2:P$192)</f>
        <v>4.632776920382109E-2</v>
      </c>
      <c r="C2" s="949">
        <f>LOOKUP($A2,'GDP data'!$A$2:$A$192,'GDP data'!Q$2:Q$192)</f>
        <v>3.524567912406118E-2</v>
      </c>
      <c r="D2" s="949">
        <f>LOOKUP($A2,'GDP data'!$A$2:$A$192,'GDP data'!R$2:R$192)</f>
        <v>3.8311262619640907E-2</v>
      </c>
      <c r="E2" s="949">
        <f>LOOKUP($A2,'GDP data'!$A$2:$A$192,'GDP data'!S$2:S$192)</f>
        <v>3.9919857224635313E-2</v>
      </c>
      <c r="F2" s="949">
        <f>LOOKUP($A2,'GDP data'!$A$2:$A$192,'GDP data'!T$2:T$192)</f>
        <v>4.9202622844653154E-2</v>
      </c>
      <c r="G2" s="949">
        <f>LOOKUP($A2,'GDP data'!$A$2:$A$192,'GDP data'!U$2:U$192)</f>
        <v>5.1470588235294157E-2</v>
      </c>
      <c r="H2" s="949">
        <f>LOOKUP($A2,'GDP data'!$A$2:$A$192,'GDP data'!V$2:V$192)</f>
        <v>4.967016194718199E-2</v>
      </c>
      <c r="I2" s="949">
        <f>LOOKUP($A2,'GDP data'!$A$2:$A$192,'GDP data'!W$2:W$192)</f>
        <v>4.8843744757004481E-2</v>
      </c>
      <c r="J2" s="949"/>
      <c r="K2" s="949"/>
      <c r="L2" s="952">
        <f>LOOKUP($A2,'GDP data'!$A$2:$A$192,'GDP data'!D$2:D$192)</f>
        <v>1105.0999999999999</v>
      </c>
      <c r="M2" s="952">
        <f>LOOKUP($A2,'GDP data'!$A$2:$A$192,'GDP data'!E$2:E$192)</f>
        <v>1144.05</v>
      </c>
      <c r="N2" s="952">
        <f>LOOKUP($A2,'GDP data'!$A$2:$A$192,'GDP data'!F$2:F$192)</f>
        <v>1187.8800000000001</v>
      </c>
      <c r="O2" s="952">
        <f>LOOKUP($A2,'GDP data'!$A$2:$A$192,'GDP data'!G$2:G$192)</f>
        <v>1235.3</v>
      </c>
      <c r="P2" s="952">
        <f>LOOKUP($A2,'GDP data'!$A$2:$A$192,'GDP data'!H$2:H$192)</f>
        <v>1296.08</v>
      </c>
      <c r="Q2" s="952">
        <f>LOOKUP($A2,'GDP data'!$A$2:$A$192,'GDP data'!I$2:I$192)</f>
        <v>1362.79</v>
      </c>
      <c r="R2" s="952">
        <f>LOOKUP($A2,'GDP data'!$A$2:$A$192,'GDP data'!J$2:J$192)</f>
        <v>1430.48</v>
      </c>
      <c r="S2" s="952">
        <f>LOOKUP($A2,'GDP data'!$A$2:$A$192,'GDP data'!K$2:K$192)</f>
        <v>1500.35</v>
      </c>
      <c r="V2" s="949">
        <f t="shared" ref="V2:V35" si="0">L2/SUM(L$2:L$35)</f>
        <v>2.384119773206804E-2</v>
      </c>
      <c r="W2" s="949">
        <f t="shared" ref="W2:W35" si="1">M2/SUM(M$2:M$35)</f>
        <v>2.3324226545161447E-2</v>
      </c>
      <c r="X2" s="949">
        <f t="shared" ref="X2:X35" si="2">N2/SUM(N$2:N$35)</f>
        <v>2.2811022846663868E-2</v>
      </c>
      <c r="Y2" s="949">
        <f t="shared" ref="Y2:Y35" si="3">O2/SUM(O$2:O$35)</f>
        <v>2.2186088534041581E-2</v>
      </c>
      <c r="Z2" s="949">
        <f t="shared" ref="Z2:Z35" si="4">P2/SUM(P$2:P$35)</f>
        <v>2.1739379115361855E-2</v>
      </c>
      <c r="AA2" s="949">
        <f t="shared" ref="AA2:AA35" si="5">Q2/SUM(Q$2:Q$35)</f>
        <v>2.1289771238104736E-2</v>
      </c>
      <c r="AB2" s="949">
        <f t="shared" ref="AB2:AB35" si="6">R2/SUM(R$2:R$35)</f>
        <v>2.0825115268369825E-2</v>
      </c>
      <c r="AC2" s="949">
        <f t="shared" ref="AC2:AC35" si="7">S2/SUM(S$2:S$35)</f>
        <v>2.0352108639063508E-2</v>
      </c>
      <c r="AF2" s="950">
        <f t="shared" ref="AF2:AM2" si="8">V2*B2</f>
        <v>1.1045095060739109E-3</v>
      </c>
      <c r="AG2" s="950">
        <f t="shared" si="8"/>
        <v>8.2207820462767045E-4</v>
      </c>
      <c r="AH2" s="950">
        <f t="shared" si="8"/>
        <v>8.7391908690116814E-4</v>
      </c>
      <c r="AI2" s="950">
        <f t="shared" si="8"/>
        <v>8.8566548665205849E-4</v>
      </c>
      <c r="AJ2" s="950">
        <f t="shared" si="8"/>
        <v>1.0696344714900788E-3</v>
      </c>
      <c r="AK2" s="950">
        <f t="shared" si="8"/>
        <v>1.0957970490200976E-3</v>
      </c>
      <c r="AL2" s="950">
        <f t="shared" si="8"/>
        <v>1.0343868479486616E-3</v>
      </c>
      <c r="AM2" s="950">
        <f t="shared" si="8"/>
        <v>9.940731996332438E-4</v>
      </c>
    </row>
    <row r="3" spans="1:39" hidden="1" outlineLevel="1">
      <c r="A3" s="160" t="s">
        <v>221</v>
      </c>
      <c r="B3" s="133">
        <f>LOOKUP($A3,'GDP data'!$A$2:$A$192,'GDP data'!P$2:P$192)</f>
        <v>8.2220695961473966E-2</v>
      </c>
      <c r="C3" s="133">
        <f>LOOKUP($A3,'GDP data'!$A$2:$A$192,'GDP data'!Q$2:Q$192)</f>
        <v>7.9698128658235889E-2</v>
      </c>
      <c r="D3" s="133">
        <f>LOOKUP($A3,'GDP data'!$A$2:$A$192,'GDP data'!R$2:R$192)</f>
        <v>8.5505517652696428E-2</v>
      </c>
      <c r="E3" s="133">
        <f>LOOKUP($A3,'GDP data'!$A$2:$A$192,'GDP data'!S$2:S$192)</f>
        <v>9.0125654433633962E-2</v>
      </c>
      <c r="F3" s="133">
        <f>LOOKUP($A3,'GDP data'!$A$2:$A$192,'GDP data'!T$2:T$192)</f>
        <v>9.076779427209658E-2</v>
      </c>
      <c r="G3" s="133">
        <f>LOOKUP($A3,'GDP data'!$A$2:$A$192,'GDP data'!U$2:U$192)</f>
        <v>9.2833839246485361E-2</v>
      </c>
      <c r="H3" s="133">
        <f>LOOKUP($A3,'GDP data'!$A$2:$A$192,'GDP data'!V$2:V$192)</f>
        <v>9.2507142630198658E-2</v>
      </c>
      <c r="I3" s="133">
        <f>LOOKUP($A3,'GDP data'!$A$2:$A$192,'GDP data'!W$2:W$192)</f>
        <v>9.2222046985158013E-2</v>
      </c>
      <c r="L3" s="158">
        <f>LOOKUP($A3,'GDP data'!$A$2:$A$192,'GDP data'!D$2:D$192)</f>
        <v>537.31500000000005</v>
      </c>
      <c r="M3" s="158">
        <f>LOOKUP($A3,'GDP data'!$A$2:$A$192,'GDP data'!E$2:E$192)</f>
        <v>580.13800000000003</v>
      </c>
      <c r="N3" s="158">
        <f>LOOKUP($A3,'GDP data'!$A$2:$A$192,'GDP data'!F$2:F$192)</f>
        <v>629.74300000000005</v>
      </c>
      <c r="O3" s="158">
        <f>LOOKUP($A3,'GDP data'!$A$2:$A$192,'GDP data'!G$2:G$192)</f>
        <v>686.49900000000002</v>
      </c>
      <c r="P3" s="158">
        <f>LOOKUP($A3,'GDP data'!$A$2:$A$192,'GDP data'!H$2:H$192)</f>
        <v>748.81100000000004</v>
      </c>
      <c r="Q3" s="158">
        <f>LOOKUP($A3,'GDP data'!$A$2:$A$192,'GDP data'!I$2:I$192)</f>
        <v>818.32600000000002</v>
      </c>
      <c r="R3" s="158">
        <f>LOOKUP($A3,'GDP data'!$A$2:$A$192,'GDP data'!J$2:J$192)</f>
        <v>894.02700000000004</v>
      </c>
      <c r="S3" s="158">
        <f>LOOKUP($A3,'GDP data'!$A$2:$A$192,'GDP data'!K$2:K$192)</f>
        <v>976.476</v>
      </c>
      <c r="V3" s="133">
        <f t="shared" si="0"/>
        <v>1.1591922142255127E-2</v>
      </c>
      <c r="W3" s="133">
        <f t="shared" si="1"/>
        <v>1.1827516401780406E-2</v>
      </c>
      <c r="X3" s="133">
        <f t="shared" si="2"/>
        <v>1.2093041351421561E-2</v>
      </c>
      <c r="Y3" s="133">
        <f t="shared" si="3"/>
        <v>1.2329577910249342E-2</v>
      </c>
      <c r="Z3" s="133">
        <f t="shared" si="4"/>
        <v>1.2559939366978294E-2</v>
      </c>
      <c r="AA3" s="133">
        <f t="shared" si="5"/>
        <v>1.2784048414057409E-2</v>
      </c>
      <c r="AB3" s="133">
        <f t="shared" si="6"/>
        <v>1.3015362205717571E-2</v>
      </c>
      <c r="AC3" s="133">
        <f t="shared" si="7"/>
        <v>1.324580640213162E-2</v>
      </c>
      <c r="AF3" s="159">
        <f t="shared" ref="AF3:AF35" si="9">V3*B3</f>
        <v>9.5309590606743673E-4</v>
      </c>
      <c r="AG3" s="159">
        <f t="shared" ref="AG3:AG35" si="10">W3*C3</f>
        <v>9.4263092389648999E-4</v>
      </c>
      <c r="AH3" s="159">
        <f t="shared" ref="AH3:AH35" si="11">X3*D3</f>
        <v>1.0340217607487641E-3</v>
      </c>
      <c r="AI3" s="159">
        <f t="shared" ref="AI3:AI35" si="12">Y3*E3</f>
        <v>1.111211278051699E-3</v>
      </c>
      <c r="AJ3" s="159">
        <f t="shared" ref="AJ3:AJ35" si="13">Z3*F3</f>
        <v>1.1400379925318928E-3</v>
      </c>
      <c r="AK3" s="159">
        <f t="shared" ref="AK3:AK35" si="14">AA3*G3</f>
        <v>1.1867922953898917E-3</v>
      </c>
      <c r="AL3" s="159">
        <f t="shared" ref="AL3:AL35" si="15">AB3*H3</f>
        <v>1.2040139679480122E-3</v>
      </c>
      <c r="AM3" s="159">
        <f t="shared" ref="AM3:AM35" si="16">AC3*I3</f>
        <v>1.2215553803736892E-3</v>
      </c>
    </row>
    <row r="4" spans="1:39" hidden="1" outlineLevel="1">
      <c r="A4" s="160" t="s">
        <v>227</v>
      </c>
      <c r="B4" s="133">
        <f>LOOKUP($A4,'GDP data'!$A$2:$A$192,'GDP data'!P$2:P$192)</f>
        <v>5.8183183183183163E-2</v>
      </c>
      <c r="C4" s="133">
        <f>LOOKUP($A4,'GDP data'!$A$2:$A$192,'GDP data'!Q$2:Q$192)</f>
        <v>7.2898190847818567E-2</v>
      </c>
      <c r="D4" s="133">
        <f>LOOKUP($A4,'GDP data'!$A$2:$A$192,'GDP data'!R$2:R$192)</f>
        <v>7.5880310795172656E-2</v>
      </c>
      <c r="E4" s="133">
        <f>LOOKUP($A4,'GDP data'!$A$2:$A$192,'GDP data'!S$2:S$192)</f>
        <v>7.7289489858635596E-2</v>
      </c>
      <c r="F4" s="133">
        <f>LOOKUP($A4,'GDP data'!$A$2:$A$192,'GDP data'!T$2:T$192)</f>
        <v>0.13364712594494366</v>
      </c>
      <c r="G4" s="133">
        <f>LOOKUP($A4,'GDP data'!$A$2:$A$192,'GDP data'!U$2:U$192)</f>
        <v>0.16167589330649212</v>
      </c>
      <c r="H4" s="133">
        <f>LOOKUP($A4,'GDP data'!$A$2:$A$192,'GDP data'!V$2:V$192)</f>
        <v>0.1072240875121846</v>
      </c>
      <c r="I4" s="133">
        <f>LOOKUP($A4,'GDP data'!$A$2:$A$192,'GDP data'!W$2:W$192)</f>
        <v>7.3755257752127434E-2</v>
      </c>
      <c r="L4" s="158">
        <f>LOOKUP($A4,'GDP data'!$A$2:$A$192,'GDP data'!D$2:D$192)</f>
        <v>5.6379999999999999</v>
      </c>
      <c r="M4" s="158">
        <f>LOOKUP($A4,'GDP data'!$A$2:$A$192,'GDP data'!E$2:E$192)</f>
        <v>6.0490000000000004</v>
      </c>
      <c r="N4" s="158">
        <f>LOOKUP($A4,'GDP data'!$A$2:$A$192,'GDP data'!F$2:F$192)</f>
        <v>6.508</v>
      </c>
      <c r="O4" s="158">
        <f>LOOKUP($A4,'GDP data'!$A$2:$A$192,'GDP data'!G$2:G$192)</f>
        <v>7.0110000000000001</v>
      </c>
      <c r="P4" s="158">
        <f>LOOKUP($A4,'GDP data'!$A$2:$A$192,'GDP data'!H$2:H$192)</f>
        <v>7.9480000000000004</v>
      </c>
      <c r="Q4" s="158">
        <f>LOOKUP($A4,'GDP data'!$A$2:$A$192,'GDP data'!I$2:I$192)</f>
        <v>9.2330000000000005</v>
      </c>
      <c r="R4" s="158">
        <f>LOOKUP($A4,'GDP data'!$A$2:$A$192,'GDP data'!J$2:J$192)</f>
        <v>10.223000000000001</v>
      </c>
      <c r="S4" s="158">
        <f>LOOKUP($A4,'GDP data'!$A$2:$A$192,'GDP data'!K$2:K$192)</f>
        <v>10.977</v>
      </c>
      <c r="V4" s="133">
        <f t="shared" si="0"/>
        <v>1.2163304027997431E-4</v>
      </c>
      <c r="W4" s="133">
        <f t="shared" si="1"/>
        <v>1.2332349667556629E-4</v>
      </c>
      <c r="X4" s="133">
        <f t="shared" si="2"/>
        <v>1.2497401815510695E-4</v>
      </c>
      <c r="Y4" s="133">
        <f t="shared" si="3"/>
        <v>1.2591813058541692E-4</v>
      </c>
      <c r="Z4" s="133">
        <f t="shared" si="4"/>
        <v>1.3331320999390164E-4</v>
      </c>
      <c r="AA4" s="133">
        <f t="shared" si="5"/>
        <v>1.4423972720772901E-4</v>
      </c>
      <c r="AB4" s="133">
        <f t="shared" si="6"/>
        <v>1.4882777346662989E-4</v>
      </c>
      <c r="AC4" s="133">
        <f t="shared" si="7"/>
        <v>1.4890198722364791E-4</v>
      </c>
      <c r="AF4" s="159">
        <f t="shared" si="9"/>
        <v>7.0769974637372414E-6</v>
      </c>
      <c r="AG4" s="159">
        <f t="shared" si="10"/>
        <v>8.9900597966757493E-6</v>
      </c>
      <c r="AH4" s="159">
        <f t="shared" si="11"/>
        <v>9.483067338931066E-6</v>
      </c>
      <c r="AI4" s="159">
        <f t="shared" si="12"/>
        <v>9.7321480768999334E-6</v>
      </c>
      <c r="AJ4" s="159">
        <f t="shared" si="13"/>
        <v>1.7816927366179695E-5</v>
      </c>
      <c r="AK4" s="159">
        <f t="shared" si="14"/>
        <v>2.3320086746594324E-5</v>
      </c>
      <c r="AL4" s="159">
        <f t="shared" si="15"/>
        <v>1.5957922206429507E-5</v>
      </c>
      <c r="AM4" s="159">
        <f t="shared" si="16"/>
        <v>1.0982304447484137E-5</v>
      </c>
    </row>
    <row r="5" spans="1:39" hidden="1" outlineLevel="1">
      <c r="A5" s="160" t="s">
        <v>232</v>
      </c>
      <c r="B5" s="133">
        <f>LOOKUP($A5,'GDP data'!$A$2:$A$192,'GDP data'!P$2:P$192)</f>
        <v>-7.5905900780142144E-3</v>
      </c>
      <c r="C5" s="133">
        <f>LOOKUP($A5,'GDP data'!$A$2:$A$192,'GDP data'!Q$2:Q$192)</f>
        <v>6.7380945154336125E-3</v>
      </c>
      <c r="D5" s="133">
        <f>LOOKUP($A5,'GDP data'!$A$2:$A$192,'GDP data'!R$2:R$192)</f>
        <v>-1.2210196267599116E-2</v>
      </c>
      <c r="E5" s="133">
        <f>LOOKUP($A5,'GDP data'!$A$2:$A$192,'GDP data'!S$2:S$192)</f>
        <v>4.5476742766448197E-3</v>
      </c>
      <c r="F5" s="133">
        <f>LOOKUP($A5,'GDP data'!$A$2:$A$192,'GDP data'!T$2:T$192)</f>
        <v>2.5612979673685254E-2</v>
      </c>
      <c r="G5" s="133">
        <f>LOOKUP($A5,'GDP data'!$A$2:$A$192,'GDP data'!U$2:U$192)</f>
        <v>0.11026187936959353</v>
      </c>
      <c r="H5" s="133">
        <f>LOOKUP($A5,'GDP data'!$A$2:$A$192,'GDP data'!V$2:V$192)</f>
        <v>0.11233256844015149</v>
      </c>
      <c r="I5" s="133">
        <f>LOOKUP($A5,'GDP data'!$A$2:$A$192,'GDP data'!W$2:W$192)</f>
        <v>0.13507484168105921</v>
      </c>
      <c r="L5" s="158">
        <f>LOOKUP($A5,'GDP data'!$A$2:$A$192,'GDP data'!D$2:D$192)</f>
        <v>32.947000000000003</v>
      </c>
      <c r="M5" s="158">
        <f>LOOKUP($A5,'GDP data'!$A$2:$A$192,'GDP data'!E$2:E$192)</f>
        <v>33.168999999999997</v>
      </c>
      <c r="N5" s="158">
        <f>LOOKUP($A5,'GDP data'!$A$2:$A$192,'GDP data'!F$2:F$192)</f>
        <v>32.764000000000003</v>
      </c>
      <c r="O5" s="158">
        <f>LOOKUP($A5,'GDP data'!$A$2:$A$192,'GDP data'!G$2:G$192)</f>
        <v>32.912999999999997</v>
      </c>
      <c r="P5" s="158">
        <f>LOOKUP($A5,'GDP data'!$A$2:$A$192,'GDP data'!H$2:H$192)</f>
        <v>33.756</v>
      </c>
      <c r="Q5" s="158">
        <f>LOOKUP($A5,'GDP data'!$A$2:$A$192,'GDP data'!I$2:I$192)</f>
        <v>37.478000000000002</v>
      </c>
      <c r="R5" s="158">
        <f>LOOKUP($A5,'GDP data'!$A$2:$A$192,'GDP data'!J$2:J$192)</f>
        <v>41.688000000000002</v>
      </c>
      <c r="S5" s="158">
        <f>LOOKUP($A5,'GDP data'!$A$2:$A$192,'GDP data'!K$2:K$192)</f>
        <v>47.319000000000003</v>
      </c>
      <c r="V5" s="133">
        <f t="shared" si="0"/>
        <v>7.1079173077408903E-4</v>
      </c>
      <c r="W5" s="133">
        <f t="shared" si="1"/>
        <v>6.7623029612032693E-4</v>
      </c>
      <c r="X5" s="133">
        <f t="shared" si="2"/>
        <v>6.2917159355161713E-4</v>
      </c>
      <c r="Y5" s="133">
        <f t="shared" si="3"/>
        <v>5.9112015860188661E-4</v>
      </c>
      <c r="Z5" s="133">
        <f t="shared" si="4"/>
        <v>5.6619535940540314E-4</v>
      </c>
      <c r="AA5" s="133">
        <f t="shared" si="5"/>
        <v>5.8548862734661194E-4</v>
      </c>
      <c r="AB5" s="133">
        <f t="shared" si="6"/>
        <v>6.0689936616226809E-4</v>
      </c>
      <c r="AC5" s="133">
        <f t="shared" si="7"/>
        <v>6.4187784763011704E-4</v>
      </c>
      <c r="AF5" s="159">
        <f t="shared" si="9"/>
        <v>-5.3953286591483508E-6</v>
      </c>
      <c r="AG5" s="159">
        <f t="shared" si="10"/>
        <v>4.5565036494584222E-6</v>
      </c>
      <c r="AH5" s="159">
        <f t="shared" si="11"/>
        <v>-7.6823086432633436E-6</v>
      </c>
      <c r="AI5" s="159">
        <f t="shared" si="12"/>
        <v>2.6882219396800057E-6</v>
      </c>
      <c r="AJ5" s="159">
        <f t="shared" si="13"/>
        <v>1.4501950231785509E-5</v>
      </c>
      <c r="AK5" s="159">
        <f t="shared" si="14"/>
        <v>6.4557076400761028E-5</v>
      </c>
      <c r="AL5" s="159">
        <f t="shared" si="15"/>
        <v>6.8174564585707546E-5</v>
      </c>
      <c r="AM5" s="159">
        <f t="shared" si="16"/>
        <v>8.6701548647217104E-5</v>
      </c>
    </row>
    <row r="6" spans="1:39" hidden="1" outlineLevel="1">
      <c r="A6" s="160" t="s">
        <v>326</v>
      </c>
      <c r="B6" s="133">
        <f>LOOKUP($A6,'GDP data'!$A$2:$A$192,'GDP data'!P$2:P$192)</f>
        <v>4.1058680805610592E-2</v>
      </c>
      <c r="C6" s="133">
        <f>LOOKUP($A6,'GDP data'!$A$2:$A$192,'GDP data'!Q$2:Q$192)</f>
        <v>3.7624074951019937E-2</v>
      </c>
      <c r="D6" s="133">
        <f>LOOKUP($A6,'GDP data'!$A$2:$A$192,'GDP data'!R$2:R$192)</f>
        <v>3.5910835891148851E-2</v>
      </c>
      <c r="E6" s="133">
        <f>LOOKUP($A6,'GDP data'!$A$2:$A$192,'GDP data'!S$2:S$192)</f>
        <v>3.9239992398196533E-2</v>
      </c>
      <c r="F6" s="133">
        <f>LOOKUP($A6,'GDP data'!$A$2:$A$192,'GDP data'!T$2:T$192)</f>
        <v>3.828202602562647E-2</v>
      </c>
      <c r="G6" s="133">
        <f>LOOKUP($A6,'GDP data'!$A$2:$A$192,'GDP data'!U$2:U$192)</f>
        <v>4.5240573212713242E-2</v>
      </c>
      <c r="H6" s="133">
        <f>LOOKUP($A6,'GDP data'!$A$2:$A$192,'GDP data'!V$2:V$192)</f>
        <v>4.825713651090302E-2</v>
      </c>
      <c r="I6" s="133">
        <f>LOOKUP($A6,'GDP data'!$A$2:$A$192,'GDP data'!W$2:W$192)</f>
        <v>4.8596573908659568E-2</v>
      </c>
      <c r="L6" s="158">
        <f>LOOKUP($A6,'GDP data'!$A$2:$A$192,'GDP data'!D$2:D$192)</f>
        <v>2153.94</v>
      </c>
      <c r="M6" s="158">
        <f>LOOKUP($A6,'GDP data'!$A$2:$A$192,'GDP data'!E$2:E$192)</f>
        <v>2234.98</v>
      </c>
      <c r="N6" s="158">
        <f>LOOKUP($A6,'GDP data'!$A$2:$A$192,'GDP data'!F$2:F$192)</f>
        <v>2315.2399999999998</v>
      </c>
      <c r="O6" s="158">
        <f>LOOKUP($A6,'GDP data'!$A$2:$A$192,'GDP data'!G$2:G$192)</f>
        <v>2406.09</v>
      </c>
      <c r="P6" s="158">
        <f>LOOKUP($A6,'GDP data'!$A$2:$A$192,'GDP data'!H$2:H$192)</f>
        <v>2498.1999999999998</v>
      </c>
      <c r="Q6" s="158">
        <f>LOOKUP($A6,'GDP data'!$A$2:$A$192,'GDP data'!I$2:I$192)</f>
        <v>2611.2199999999998</v>
      </c>
      <c r="R6" s="158">
        <f>LOOKUP($A6,'GDP data'!$A$2:$A$192,'GDP data'!J$2:J$192)</f>
        <v>2737.23</v>
      </c>
      <c r="S6" s="158">
        <f>LOOKUP($A6,'GDP data'!$A$2:$A$192,'GDP data'!K$2:K$192)</f>
        <v>2870.25</v>
      </c>
      <c r="V6" s="133">
        <f t="shared" si="0"/>
        <v>4.6468653916397283E-2</v>
      </c>
      <c r="W6" s="133">
        <f t="shared" si="1"/>
        <v>4.5565473400554987E-2</v>
      </c>
      <c r="X6" s="133">
        <f t="shared" si="2"/>
        <v>4.4459871818289767E-2</v>
      </c>
      <c r="Y6" s="133">
        <f t="shared" si="3"/>
        <v>4.3213572217981146E-2</v>
      </c>
      <c r="Z6" s="133">
        <f t="shared" si="4"/>
        <v>4.1902750529285993E-2</v>
      </c>
      <c r="AA6" s="133">
        <f t="shared" si="5"/>
        <v>4.0792988246438441E-2</v>
      </c>
      <c r="AB6" s="133">
        <f t="shared" si="6"/>
        <v>3.9848952985039938E-2</v>
      </c>
      <c r="AC6" s="133">
        <f t="shared" si="7"/>
        <v>3.8934675123319246E-2</v>
      </c>
      <c r="AF6" s="159">
        <f t="shared" si="9"/>
        <v>1.9079416286197427E-3</v>
      </c>
      <c r="AG6" s="159">
        <f t="shared" si="10"/>
        <v>1.7143587864011862E-3</v>
      </c>
      <c r="AH6" s="159">
        <f t="shared" si="11"/>
        <v>1.5965911606081176E-3</v>
      </c>
      <c r="AI6" s="159">
        <f t="shared" si="12"/>
        <v>1.695700245332497E-3</v>
      </c>
      <c r="AJ6" s="159">
        <f t="shared" si="13"/>
        <v>1.6041221863074596E-3</v>
      </c>
      <c r="AK6" s="159">
        <f t="shared" si="14"/>
        <v>1.8454981713283492E-3</v>
      </c>
      <c r="AL6" s="159">
        <f t="shared" si="15"/>
        <v>1.9229963640156288E-3</v>
      </c>
      <c r="AM6" s="159">
        <f t="shared" si="16"/>
        <v>1.8920918172400328E-3</v>
      </c>
    </row>
    <row r="7" spans="1:39" hidden="1" outlineLevel="1">
      <c r="A7" s="160" t="s">
        <v>237</v>
      </c>
      <c r="B7" s="133">
        <f>LOOKUP($A7,'GDP data'!$A$2:$A$192,'GDP data'!P$2:P$192)</f>
        <v>8.987959648551902E-2</v>
      </c>
      <c r="C7" s="133">
        <f>LOOKUP($A7,'GDP data'!$A$2:$A$192,'GDP data'!Q$2:Q$192)</f>
        <v>8.360205422190381E-2</v>
      </c>
      <c r="D7" s="133">
        <f>LOOKUP($A7,'GDP data'!$A$2:$A$192,'GDP data'!R$2:R$192)</f>
        <v>8.4077298945589352E-2</v>
      </c>
      <c r="E7" s="133">
        <f>LOOKUP($A7,'GDP data'!$A$2:$A$192,'GDP data'!S$2:S$192)</f>
        <v>8.8096246716936388E-2</v>
      </c>
      <c r="F7" s="133">
        <f>LOOKUP($A7,'GDP data'!$A$2:$A$192,'GDP data'!T$2:T$192)</f>
        <v>8.829850188432431E-2</v>
      </c>
      <c r="G7" s="133">
        <f>LOOKUP($A7,'GDP data'!$A$2:$A$192,'GDP data'!U$2:U$192)</f>
        <v>9.0721767500429262E-2</v>
      </c>
      <c r="H7" s="133">
        <f>LOOKUP($A7,'GDP data'!$A$2:$A$192,'GDP data'!V$2:V$192)</f>
        <v>8.74790092359361E-2</v>
      </c>
      <c r="I7" s="133">
        <f>LOOKUP($A7,'GDP data'!$A$2:$A$192,'GDP data'!W$2:W$192)</f>
        <v>8.5086618732808983E-2</v>
      </c>
      <c r="L7" s="158">
        <f>LOOKUP($A7,'GDP data'!$A$2:$A$192,'GDP data'!D$2:D$192)</f>
        <v>50.238</v>
      </c>
      <c r="M7" s="158">
        <f>LOOKUP($A7,'GDP data'!$A$2:$A$192,'GDP data'!E$2:E$192)</f>
        <v>54.438000000000002</v>
      </c>
      <c r="N7" s="158">
        <f>LOOKUP($A7,'GDP data'!$A$2:$A$192,'GDP data'!F$2:F$192)</f>
        <v>59.015000000000001</v>
      </c>
      <c r="O7" s="158">
        <f>LOOKUP($A7,'GDP data'!$A$2:$A$192,'GDP data'!G$2:G$192)</f>
        <v>64.213999999999999</v>
      </c>
      <c r="P7" s="158">
        <f>LOOKUP($A7,'GDP data'!$A$2:$A$192,'GDP data'!H$2:H$192)</f>
        <v>69.884</v>
      </c>
      <c r="Q7" s="158">
        <f>LOOKUP($A7,'GDP data'!$A$2:$A$192,'GDP data'!I$2:I$192)</f>
        <v>76.224000000000004</v>
      </c>
      <c r="R7" s="158">
        <f>LOOKUP($A7,'GDP data'!$A$2:$A$192,'GDP data'!J$2:J$192)</f>
        <v>82.891999999999996</v>
      </c>
      <c r="S7" s="158">
        <f>LOOKUP($A7,'GDP data'!$A$2:$A$192,'GDP data'!K$2:K$192)</f>
        <v>89.944999999999993</v>
      </c>
      <c r="V7" s="133">
        <f t="shared" si="0"/>
        <v>1.083824171263808E-3</v>
      </c>
      <c r="W7" s="133">
        <f t="shared" si="1"/>
        <v>1.1098503078235209E-3</v>
      </c>
      <c r="X7" s="133">
        <f t="shared" si="2"/>
        <v>1.1332731532611611E-3</v>
      </c>
      <c r="Y7" s="133">
        <f t="shared" si="3"/>
        <v>1.1532886660122611E-3</v>
      </c>
      <c r="Z7" s="133">
        <f t="shared" si="4"/>
        <v>1.1721766944154282E-3</v>
      </c>
      <c r="AA7" s="133">
        <f t="shared" si="5"/>
        <v>1.1907861980593455E-3</v>
      </c>
      <c r="AB7" s="133">
        <f t="shared" si="6"/>
        <v>1.2067525969085282E-3</v>
      </c>
      <c r="AC7" s="133">
        <f t="shared" si="7"/>
        <v>1.2200955853904536E-3</v>
      </c>
      <c r="AF7" s="159">
        <f t="shared" si="9"/>
        <v>9.7413679174443123E-5</v>
      </c>
      <c r="AG7" s="159">
        <f t="shared" si="10"/>
        <v>9.2785765612858633E-5</v>
      </c>
      <c r="AH7" s="159">
        <f t="shared" si="11"/>
        <v>9.5282545693749343E-5</v>
      </c>
      <c r="AI7" s="159">
        <f t="shared" si="12"/>
        <v>1.016004028568626E-4</v>
      </c>
      <c r="AJ7" s="159">
        <f t="shared" si="13"/>
        <v>1.0350144606060173E-4</v>
      </c>
      <c r="AK7" s="159">
        <f t="shared" si="14"/>
        <v>1.0803022860306006E-4</v>
      </c>
      <c r="AL7" s="159">
        <f t="shared" si="15"/>
        <v>1.0556552157045101E-4</v>
      </c>
      <c r="AM7" s="159">
        <f t="shared" si="16"/>
        <v>1.0381380789170092E-4</v>
      </c>
    </row>
    <row r="8" spans="1:39" hidden="1" outlineLevel="1">
      <c r="A8" s="160" t="s">
        <v>243</v>
      </c>
      <c r="B8" s="133">
        <f>LOOKUP($A8,'GDP data'!$A$2:$A$192,'GDP data'!P$2:P$192)</f>
        <v>9.2257960142365869E-2</v>
      </c>
      <c r="C8" s="133">
        <f>LOOKUP($A8,'GDP data'!$A$2:$A$192,'GDP data'!Q$2:Q$192)</f>
        <v>8.0590790674047508E-2</v>
      </c>
      <c r="D8" s="133">
        <f>LOOKUP($A8,'GDP data'!$A$2:$A$192,'GDP data'!R$2:R$192)</f>
        <v>8.0613841954327858E-2</v>
      </c>
      <c r="E8" s="133">
        <f>LOOKUP($A8,'GDP data'!$A$2:$A$192,'GDP data'!S$2:S$192)</f>
        <v>8.6246099581982261E-2</v>
      </c>
      <c r="F8" s="133">
        <f>LOOKUP($A8,'GDP data'!$A$2:$A$192,'GDP data'!T$2:T$192)</f>
        <v>8.5671111057290306E-2</v>
      </c>
      <c r="G8" s="133">
        <f>LOOKUP($A8,'GDP data'!$A$2:$A$192,'GDP data'!U$2:U$192)</f>
        <v>8.5684055878758381E-2</v>
      </c>
      <c r="H8" s="133">
        <f>LOOKUP($A8,'GDP data'!$A$2:$A$192,'GDP data'!V$2:V$192)</f>
        <v>8.4338573940406114E-2</v>
      </c>
      <c r="I8" s="133">
        <f>LOOKUP($A8,'GDP data'!$A$2:$A$192,'GDP data'!W$2:W$192)</f>
        <v>8.2014686460215147E-2</v>
      </c>
      <c r="L8" s="158">
        <f>LOOKUP($A8,'GDP data'!$A$2:$A$192,'GDP data'!D$2:D$192)</f>
        <v>18229.13</v>
      </c>
      <c r="M8" s="158">
        <f>LOOKUP($A8,'GDP data'!$A$2:$A$192,'GDP data'!E$2:E$192)</f>
        <v>19698.23</v>
      </c>
      <c r="N8" s="158">
        <f>LOOKUP($A8,'GDP data'!$A$2:$A$192,'GDP data'!F$2:F$192)</f>
        <v>21286.18</v>
      </c>
      <c r="O8" s="158">
        <f>LOOKUP($A8,'GDP data'!$A$2:$A$192,'GDP data'!G$2:G$192)</f>
        <v>23122.03</v>
      </c>
      <c r="P8" s="158">
        <f>LOOKUP($A8,'GDP data'!$A$2:$A$192,'GDP data'!H$2:H$192)</f>
        <v>25102.92</v>
      </c>
      <c r="Q8" s="158">
        <f>LOOKUP($A8,'GDP data'!$A$2:$A$192,'GDP data'!I$2:I$192)</f>
        <v>27253.84</v>
      </c>
      <c r="R8" s="158">
        <f>LOOKUP($A8,'GDP data'!$A$2:$A$192,'GDP data'!J$2:J$192)</f>
        <v>29552.39</v>
      </c>
      <c r="S8" s="158">
        <f>LOOKUP($A8,'GDP data'!$A$2:$A$192,'GDP data'!K$2:K$192)</f>
        <v>31976.12</v>
      </c>
      <c r="V8" s="133">
        <f t="shared" si="0"/>
        <v>0.39327146214240655</v>
      </c>
      <c r="W8" s="133">
        <f t="shared" si="1"/>
        <v>0.40159606578269796</v>
      </c>
      <c r="X8" s="133">
        <f t="shared" si="2"/>
        <v>0.40876143911691371</v>
      </c>
      <c r="Y8" s="133">
        <f t="shared" si="3"/>
        <v>0.41527354057052168</v>
      </c>
      <c r="Z8" s="133">
        <f t="shared" si="4"/>
        <v>0.42105571784349688</v>
      </c>
      <c r="AA8" s="133">
        <f t="shared" si="5"/>
        <v>0.42576480525973065</v>
      </c>
      <c r="AB8" s="133">
        <f t="shared" si="6"/>
        <v>0.43022756571627685</v>
      </c>
      <c r="AC8" s="133">
        <f t="shared" si="7"/>
        <v>0.43375310300645276</v>
      </c>
      <c r="AF8" s="159">
        <f t="shared" si="9"/>
        <v>3.6282422879464094E-2</v>
      </c>
      <c r="AG8" s="159">
        <f t="shared" si="10"/>
        <v>3.2364944473014426E-2</v>
      </c>
      <c r="AH8" s="159">
        <f t="shared" si="11"/>
        <v>3.2951830049994489E-2</v>
      </c>
      <c r="AI8" s="159">
        <f t="shared" si="12"/>
        <v>3.5815723133807563E-2</v>
      </c>
      <c r="AJ8" s="159">
        <f t="shared" si="13"/>
        <v>3.6072311164677309E-2</v>
      </c>
      <c r="AK8" s="159">
        <f t="shared" si="14"/>
        <v>3.648125536508344E-2</v>
      </c>
      <c r="AL8" s="159">
        <f t="shared" si="15"/>
        <v>3.6284779362363143E-2</v>
      </c>
      <c r="AM8" s="159">
        <f t="shared" si="16"/>
        <v>3.5574124744219629E-2</v>
      </c>
    </row>
    <row r="9" spans="1:39" hidden="1" outlineLevel="1">
      <c r="A9" s="160" t="s">
        <v>264</v>
      </c>
      <c r="B9" s="133">
        <f>LOOKUP($A9,'GDP data'!$A$2:$A$192,'GDP data'!P$2:P$192)</f>
        <v>7.5101583298304631E-2</v>
      </c>
      <c r="C9" s="133">
        <f>LOOKUP($A9,'GDP data'!$A$2:$A$192,'GDP data'!Q$2:Q$192)</f>
        <v>4.9654633129154302E-2</v>
      </c>
      <c r="D9" s="133">
        <f>LOOKUP($A9,'GDP data'!$A$2:$A$192,'GDP data'!R$2:R$192)</f>
        <v>1.6637695555003829E-2</v>
      </c>
      <c r="E9" s="133">
        <f>LOOKUP($A9,'GDP data'!$A$2:$A$192,'GDP data'!S$2:S$192)</f>
        <v>5.6057645334635975E-2</v>
      </c>
      <c r="F9" s="133">
        <f>LOOKUP($A9,'GDP data'!$A$2:$A$192,'GDP data'!T$2:T$192)</f>
        <v>5.5047993523765326E-2</v>
      </c>
      <c r="G9" s="133">
        <f>LOOKUP($A9,'GDP data'!$A$2:$A$192,'GDP data'!U$2:U$192)</f>
        <v>5.6121889729255692E-2</v>
      </c>
      <c r="H9" s="133">
        <f>LOOKUP($A9,'GDP data'!$A$2:$A$192,'GDP data'!V$2:V$192)</f>
        <v>5.469641930461866E-2</v>
      </c>
      <c r="I9" s="133">
        <f>LOOKUP($A9,'GDP data'!$A$2:$A$192,'GDP data'!W$2:W$192)</f>
        <v>5.4418421570556985E-2</v>
      </c>
      <c r="L9" s="158">
        <f>LOOKUP($A9,'GDP data'!$A$2:$A$192,'GDP data'!D$2:D$192)</f>
        <v>7.673</v>
      </c>
      <c r="M9" s="158">
        <f>LOOKUP($A9,'GDP data'!$A$2:$A$192,'GDP data'!E$2:E$192)</f>
        <v>8.0540000000000003</v>
      </c>
      <c r="N9" s="158">
        <f>LOOKUP($A9,'GDP data'!$A$2:$A$192,'GDP data'!F$2:F$192)</f>
        <v>8.1880000000000006</v>
      </c>
      <c r="O9" s="158">
        <f>LOOKUP($A9,'GDP data'!$A$2:$A$192,'GDP data'!G$2:G$192)</f>
        <v>8.6470000000000002</v>
      </c>
      <c r="P9" s="158">
        <f>LOOKUP($A9,'GDP data'!$A$2:$A$192,'GDP data'!H$2:H$192)</f>
        <v>9.1229999999999993</v>
      </c>
      <c r="Q9" s="158">
        <f>LOOKUP($A9,'GDP data'!$A$2:$A$192,'GDP data'!I$2:I$192)</f>
        <v>9.6349999999999998</v>
      </c>
      <c r="R9" s="158">
        <f>LOOKUP($A9,'GDP data'!$A$2:$A$192,'GDP data'!J$2:J$192)</f>
        <v>10.162000000000001</v>
      </c>
      <c r="S9" s="158">
        <f>LOOKUP($A9,'GDP data'!$A$2:$A$192,'GDP data'!K$2:K$192)</f>
        <v>10.715</v>
      </c>
      <c r="V9" s="133">
        <f t="shared" si="0"/>
        <v>1.6553570735513353E-4</v>
      </c>
      <c r="W9" s="133">
        <f t="shared" si="1"/>
        <v>1.6420027148702444E-4</v>
      </c>
      <c r="X9" s="133">
        <f t="shared" si="2"/>
        <v>1.5723528897572462E-4</v>
      </c>
      <c r="Y9" s="133">
        <f t="shared" si="3"/>
        <v>1.5530082373015264E-4</v>
      </c>
      <c r="Z9" s="133">
        <f t="shared" si="4"/>
        <v>1.5302169285032267E-4</v>
      </c>
      <c r="AA9" s="133">
        <f t="shared" si="5"/>
        <v>1.5051984963137323E-4</v>
      </c>
      <c r="AB9" s="133">
        <f t="shared" si="6"/>
        <v>1.4793972747411649E-4</v>
      </c>
      <c r="AC9" s="133">
        <f t="shared" si="7"/>
        <v>1.4534798151602326E-4</v>
      </c>
      <c r="AF9" s="159">
        <f t="shared" si="9"/>
        <v>1.2431993714775339E-5</v>
      </c>
      <c r="AG9" s="159">
        <f t="shared" si="10"/>
        <v>8.1533042403957343E-6</v>
      </c>
      <c r="AH9" s="159">
        <f t="shared" si="11"/>
        <v>2.616032868481156E-6</v>
      </c>
      <c r="AI9" s="159">
        <f t="shared" si="12"/>
        <v>8.7057984968417155E-6</v>
      </c>
      <c r="AJ9" s="159">
        <f t="shared" si="13"/>
        <v>8.4235371570201686E-6</v>
      </c>
      <c r="AK9" s="159">
        <f t="shared" si="14"/>
        <v>8.4474584030760763E-6</v>
      </c>
      <c r="AL9" s="159">
        <f t="shared" si="15"/>
        <v>8.0917733657352881E-6</v>
      </c>
      <c r="AM9" s="159">
        <f t="shared" si="16"/>
        <v>7.9096077325684778E-6</v>
      </c>
    </row>
    <row r="10" spans="1:39" hidden="1" outlineLevel="1">
      <c r="A10" s="160" t="s">
        <v>283</v>
      </c>
      <c r="B10" s="133">
        <f>LOOKUP($A10,'GDP data'!$A$2:$A$192,'GDP data'!P$2:P$192)</f>
        <v>9.4345243858658723E-2</v>
      </c>
      <c r="C10" s="133">
        <f>LOOKUP($A10,'GDP data'!$A$2:$A$192,'GDP data'!Q$2:Q$192)</f>
        <v>9.181292758689219E-2</v>
      </c>
      <c r="D10" s="133">
        <f>LOOKUP($A10,'GDP data'!$A$2:$A$192,'GDP data'!R$2:R$192)</f>
        <v>8.4735493008318397E-2</v>
      </c>
      <c r="E10" s="133">
        <f>LOOKUP($A10,'GDP data'!$A$2:$A$192,'GDP data'!S$2:S$192)</f>
        <v>8.5760554994931404E-2</v>
      </c>
      <c r="F10" s="133">
        <f>LOOKUP($A10,'GDP data'!$A$2:$A$192,'GDP data'!T$2:T$192)</f>
        <v>9.4504059050746214E-2</v>
      </c>
      <c r="G10" s="133">
        <f>LOOKUP($A10,'GDP data'!$A$2:$A$192,'GDP data'!U$2:U$192)</f>
        <v>0.10102470610423087</v>
      </c>
      <c r="H10" s="133">
        <f>LOOKUP($A10,'GDP data'!$A$2:$A$192,'GDP data'!V$2:V$192)</f>
        <v>0.10201860489630277</v>
      </c>
      <c r="I10" s="133">
        <f>LOOKUP($A10,'GDP data'!$A$2:$A$192,'GDP data'!W$2:W$192)</f>
        <v>0.10344434533844438</v>
      </c>
      <c r="L10" s="158">
        <f>LOOKUP($A10,'GDP data'!$A$2:$A$192,'GDP data'!D$2:D$192)</f>
        <v>7346.46</v>
      </c>
      <c r="M10" s="158">
        <f>LOOKUP($A10,'GDP data'!$A$2:$A$192,'GDP data'!E$2:E$192)</f>
        <v>8020.96</v>
      </c>
      <c r="N10" s="158">
        <f>LOOKUP($A10,'GDP data'!$A$2:$A$192,'GDP data'!F$2:F$192)</f>
        <v>8700.6200000000008</v>
      </c>
      <c r="O10" s="158">
        <f>LOOKUP($A10,'GDP data'!$A$2:$A$192,'GDP data'!G$2:G$192)</f>
        <v>9446.7900000000009</v>
      </c>
      <c r="P10" s="158">
        <f>LOOKUP($A10,'GDP data'!$A$2:$A$192,'GDP data'!H$2:H$192)</f>
        <v>10339.549999999999</v>
      </c>
      <c r="Q10" s="158">
        <f>LOOKUP($A10,'GDP data'!$A$2:$A$192,'GDP data'!I$2:I$192)</f>
        <v>11384.1</v>
      </c>
      <c r="R10" s="158">
        <f>LOOKUP($A10,'GDP data'!$A$2:$A$192,'GDP data'!J$2:J$192)</f>
        <v>12545.49</v>
      </c>
      <c r="S10" s="158">
        <f>LOOKUP($A10,'GDP data'!$A$2:$A$192,'GDP data'!K$2:K$192)</f>
        <v>13843.25</v>
      </c>
      <c r="V10" s="133">
        <f t="shared" si="0"/>
        <v>0.15849100125846399</v>
      </c>
      <c r="W10" s="133">
        <f t="shared" si="1"/>
        <v>0.16352667116793687</v>
      </c>
      <c r="X10" s="133">
        <f t="shared" si="2"/>
        <v>0.16707920126623951</v>
      </c>
      <c r="Y10" s="133">
        <f t="shared" si="3"/>
        <v>0.16966511722051217</v>
      </c>
      <c r="Z10" s="133">
        <f t="shared" si="4"/>
        <v>0.17342710120690055</v>
      </c>
      <c r="AA10" s="133">
        <f t="shared" si="5"/>
        <v>0.17784463105225906</v>
      </c>
      <c r="AB10" s="133">
        <f t="shared" si="6"/>
        <v>0.18263888719044022</v>
      </c>
      <c r="AC10" s="133">
        <f t="shared" si="7"/>
        <v>0.18778240271784311</v>
      </c>
      <c r="AF10" s="159">
        <f t="shared" si="9"/>
        <v>1.4952872163132772E-2</v>
      </c>
      <c r="AG10" s="159">
        <f t="shared" si="10"/>
        <v>1.5013862418467319E-2</v>
      </c>
      <c r="AH10" s="159">
        <f t="shared" si="11"/>
        <v>1.4157538490730861E-2</v>
      </c>
      <c r="AI10" s="159">
        <f t="shared" si="12"/>
        <v>1.4550574616111218E-2</v>
      </c>
      <c r="AJ10" s="159">
        <f t="shared" si="13"/>
        <v>1.6389565013456668E-2</v>
      </c>
      <c r="AK10" s="159">
        <f t="shared" si="14"/>
        <v>1.7966701584269842E-2</v>
      </c>
      <c r="AL10" s="159">
        <f t="shared" si="15"/>
        <v>1.8632564470981935E-2</v>
      </c>
      <c r="AM10" s="159">
        <f t="shared" si="16"/>
        <v>1.9425027715227399E-2</v>
      </c>
    </row>
    <row r="11" spans="1:39" hidden="1" outlineLevel="1">
      <c r="A11" s="160" t="s">
        <v>284</v>
      </c>
      <c r="B11" s="133">
        <f>LOOKUP($A11,'GDP data'!$A$2:$A$192,'GDP data'!P$2:P$192)</f>
        <v>6.8914104868079917E-2</v>
      </c>
      <c r="C11" s="133">
        <f>LOOKUP($A11,'GDP data'!$A$2:$A$192,'GDP data'!Q$2:Q$192)</f>
        <v>6.0134127335418786E-2</v>
      </c>
      <c r="D11" s="133">
        <f>LOOKUP($A11,'GDP data'!$A$2:$A$192,'GDP data'!R$2:R$192)</f>
        <v>6.3554326774637238E-2</v>
      </c>
      <c r="E11" s="133">
        <f>LOOKUP($A11,'GDP data'!$A$2:$A$192,'GDP data'!S$2:S$192)</f>
        <v>6.9828126546366054E-2</v>
      </c>
      <c r="F11" s="133">
        <f>LOOKUP($A11,'GDP data'!$A$2:$A$192,'GDP data'!T$2:T$192)</f>
        <v>7.3432686703854833E-2</v>
      </c>
      <c r="G11" s="133">
        <f>LOOKUP($A11,'GDP data'!$A$2:$A$192,'GDP data'!U$2:U$192)</f>
        <v>7.751263246493223E-2</v>
      </c>
      <c r="H11" s="133">
        <f>LOOKUP($A11,'GDP data'!$A$2:$A$192,'GDP data'!V$2:V$192)</f>
        <v>7.7191317376444246E-2</v>
      </c>
      <c r="I11" s="133">
        <f>LOOKUP($A11,'GDP data'!$A$2:$A$192,'GDP data'!W$2:W$192)</f>
        <v>7.6921553874787163E-2</v>
      </c>
      <c r="L11" s="158">
        <f>LOOKUP($A11,'GDP data'!$A$2:$A$192,'GDP data'!D$2:D$192)</f>
        <v>2688.49</v>
      </c>
      <c r="M11" s="158">
        <f>LOOKUP($A11,'GDP data'!$A$2:$A$192,'GDP data'!E$2:E$192)</f>
        <v>2850.16</v>
      </c>
      <c r="N11" s="158">
        <f>LOOKUP($A11,'GDP data'!$A$2:$A$192,'GDP data'!F$2:F$192)</f>
        <v>3031.3</v>
      </c>
      <c r="O11" s="158">
        <f>LOOKUP($A11,'GDP data'!$A$2:$A$192,'GDP data'!G$2:G$192)</f>
        <v>3242.97</v>
      </c>
      <c r="P11" s="158">
        <f>LOOKUP($A11,'GDP data'!$A$2:$A$192,'GDP data'!H$2:H$192)</f>
        <v>3481.11</v>
      </c>
      <c r="Q11" s="158">
        <f>LOOKUP($A11,'GDP data'!$A$2:$A$192,'GDP data'!I$2:I$192)</f>
        <v>3750.94</v>
      </c>
      <c r="R11" s="158">
        <f>LOOKUP($A11,'GDP data'!$A$2:$A$192,'GDP data'!J$2:J$192)</f>
        <v>4040.48</v>
      </c>
      <c r="S11" s="158">
        <f>LOOKUP($A11,'GDP data'!$A$2:$A$192,'GDP data'!K$2:K$192)</f>
        <v>4351.28</v>
      </c>
      <c r="V11" s="133">
        <f t="shared" si="0"/>
        <v>5.8000924523289837E-2</v>
      </c>
      <c r="W11" s="133">
        <f t="shared" si="1"/>
        <v>5.8107405733977845E-2</v>
      </c>
      <c r="X11" s="133">
        <f t="shared" si="2"/>
        <v>5.8210470380082313E-2</v>
      </c>
      <c r="Y11" s="133">
        <f t="shared" si="3"/>
        <v>5.8244005126884824E-2</v>
      </c>
      <c r="Z11" s="133">
        <f t="shared" si="4"/>
        <v>5.8389273835162424E-2</v>
      </c>
      <c r="AA11" s="133">
        <f t="shared" si="5"/>
        <v>5.8597916427223985E-2</v>
      </c>
      <c r="AB11" s="133">
        <f t="shared" si="6"/>
        <v>5.8821837243123225E-2</v>
      </c>
      <c r="AC11" s="133">
        <f t="shared" si="7"/>
        <v>5.9024709753713635E-2</v>
      </c>
      <c r="AF11" s="159">
        <f t="shared" si="9"/>
        <v>3.9970817950435843E-3</v>
      </c>
      <c r="AG11" s="159">
        <f t="shared" si="10"/>
        <v>3.4942381355378676E-3</v>
      </c>
      <c r="AH11" s="159">
        <f t="shared" si="11"/>
        <v>3.6995272562410932E-3</v>
      </c>
      <c r="AI11" s="159">
        <f t="shared" si="12"/>
        <v>4.0670697605673066E-3</v>
      </c>
      <c r="AJ11" s="159">
        <f t="shared" si="13"/>
        <v>4.2876812524030705E-3</v>
      </c>
      <c r="AK11" s="159">
        <f t="shared" si="14"/>
        <v>4.5420787592342273E-3</v>
      </c>
      <c r="AL11" s="159">
        <f t="shared" si="15"/>
        <v>4.5405351072994732E-3</v>
      </c>
      <c r="AM11" s="159">
        <f t="shared" si="16"/>
        <v>4.5402723912639584E-3</v>
      </c>
    </row>
    <row r="12" spans="1:39" hidden="1" outlineLevel="1">
      <c r="A12" s="160" t="s">
        <v>291</v>
      </c>
      <c r="B12" s="133">
        <f>LOOKUP($A12,'GDP data'!$A$2:$A$192,'GDP data'!P$2:P$192)</f>
        <v>2.1365489061106357E-2</v>
      </c>
      <c r="C12" s="133">
        <f>LOOKUP($A12,'GDP data'!$A$2:$A$192,'GDP data'!Q$2:Q$192)</f>
        <v>2.2077587292198109E-2</v>
      </c>
      <c r="D12" s="133">
        <f>LOOKUP($A12,'GDP data'!$A$2:$A$192,'GDP data'!R$2:R$192)</f>
        <v>2.3205888966009613E-2</v>
      </c>
      <c r="E12" s="133">
        <f>LOOKUP($A12,'GDP data'!$A$2:$A$192,'GDP data'!S$2:S$192)</f>
        <v>3.2814607879480429E-2</v>
      </c>
      <c r="F12" s="133">
        <f>LOOKUP($A12,'GDP data'!$A$2:$A$192,'GDP data'!T$2:T$192)</f>
        <v>2.60514664934961E-2</v>
      </c>
      <c r="G12" s="133">
        <f>LOOKUP($A12,'GDP data'!$A$2:$A$192,'GDP data'!U$2:U$192)</f>
        <v>2.9764437744776329E-2</v>
      </c>
      <c r="H12" s="133">
        <f>LOOKUP($A12,'GDP data'!$A$2:$A$192,'GDP data'!V$2:V$192)</f>
        <v>2.3138006811476153E-2</v>
      </c>
      <c r="I12" s="133">
        <f>LOOKUP($A12,'GDP data'!$A$2:$A$192,'GDP data'!W$2:W$192)</f>
        <v>2.8265866176971466E-2</v>
      </c>
      <c r="L12" s="158">
        <f>LOOKUP($A12,'GDP data'!$A$2:$A$192,'GDP data'!D$2:D$192)</f>
        <v>5004.17</v>
      </c>
      <c r="M12" s="158">
        <f>LOOKUP($A12,'GDP data'!$A$2:$A$192,'GDP data'!E$2:E$192)</f>
        <v>5114.6499999999996</v>
      </c>
      <c r="N12" s="158">
        <f>LOOKUP($A12,'GDP data'!$A$2:$A$192,'GDP data'!F$2:F$192)</f>
        <v>5233.34</v>
      </c>
      <c r="O12" s="158">
        <f>LOOKUP($A12,'GDP data'!$A$2:$A$192,'GDP data'!G$2:G$192)</f>
        <v>5405.07</v>
      </c>
      <c r="P12" s="158">
        <f>LOOKUP($A12,'GDP data'!$A$2:$A$192,'GDP data'!H$2:H$192)</f>
        <v>5545.88</v>
      </c>
      <c r="Q12" s="158">
        <f>LOOKUP($A12,'GDP data'!$A$2:$A$192,'GDP data'!I$2:I$192)</f>
        <v>5710.95</v>
      </c>
      <c r="R12" s="158">
        <f>LOOKUP($A12,'GDP data'!$A$2:$A$192,'GDP data'!J$2:J$192)</f>
        <v>5843.09</v>
      </c>
      <c r="S12" s="158">
        <f>LOOKUP($A12,'GDP data'!$A$2:$A$192,'GDP data'!K$2:K$192)</f>
        <v>6008.25</v>
      </c>
      <c r="V12" s="133">
        <f t="shared" si="0"/>
        <v>0.10795892358599486</v>
      </c>
      <c r="W12" s="133">
        <f t="shared" si="1"/>
        <v>0.1042745118650496</v>
      </c>
      <c r="X12" s="133">
        <f t="shared" si="2"/>
        <v>0.10049654704545903</v>
      </c>
      <c r="Y12" s="133">
        <f t="shared" si="3"/>
        <v>9.7075497087907497E-2</v>
      </c>
      <c r="Z12" s="133">
        <f t="shared" si="4"/>
        <v>9.3022026301079419E-2</v>
      </c>
      <c r="AA12" s="133">
        <f t="shared" si="5"/>
        <v>8.92175750132113E-2</v>
      </c>
      <c r="AB12" s="133">
        <f t="shared" si="6"/>
        <v>8.5064469809755489E-2</v>
      </c>
      <c r="AC12" s="133">
        <f t="shared" si="7"/>
        <v>8.1501354171128956E-2</v>
      </c>
      <c r="AF12" s="159">
        <f t="shared" si="9"/>
        <v>2.3065952009253903E-3</v>
      </c>
      <c r="AG12" s="159">
        <f t="shared" si="10"/>
        <v>2.3021296380519802E-3</v>
      </c>
      <c r="AH12" s="159">
        <f t="shared" si="11"/>
        <v>2.3321117122042838E-3</v>
      </c>
      <c r="AI12" s="159">
        <f t="shared" si="12"/>
        <v>3.1854943716453287E-3</v>
      </c>
      <c r="AJ12" s="159">
        <f t="shared" si="13"/>
        <v>2.4233602013396835E-3</v>
      </c>
      <c r="AK12" s="159">
        <f t="shared" si="14"/>
        <v>2.6555109572206398E-3</v>
      </c>
      <c r="AL12" s="159">
        <f t="shared" si="15"/>
        <v>1.96822228187273E-3</v>
      </c>
      <c r="AM12" s="159">
        <f t="shared" si="16"/>
        <v>2.3037063702430862E-3</v>
      </c>
    </row>
    <row r="13" spans="1:39" hidden="1" outlineLevel="1">
      <c r="A13" s="160" t="s">
        <v>295</v>
      </c>
      <c r="B13" s="133">
        <f>LOOKUP($A13,'GDP data'!$A$2:$A$192,'GDP data'!P$2:P$192)</f>
        <v>2.1857923497267784E-2</v>
      </c>
      <c r="C13" s="133">
        <f>LOOKUP($A13,'GDP data'!$A$2:$A$192,'GDP data'!Q$2:Q$192)</f>
        <v>8.5561497326203328E-2</v>
      </c>
      <c r="D13" s="133">
        <f>LOOKUP($A13,'GDP data'!$A$2:$A$192,'GDP data'!R$2:R$192)</f>
        <v>5.9113300492610765E-2</v>
      </c>
      <c r="E13" s="133">
        <f>LOOKUP($A13,'GDP data'!$A$2:$A$192,'GDP data'!S$2:S$192)</f>
        <v>4.1860465116279055E-2</v>
      </c>
      <c r="F13" s="133">
        <f>LOOKUP($A13,'GDP data'!$A$2:$A$192,'GDP data'!T$2:T$192)</f>
        <v>4.4642857142857206E-2</v>
      </c>
      <c r="G13" s="133">
        <f>LOOKUP($A13,'GDP data'!$A$2:$A$192,'GDP data'!U$2:U$192)</f>
        <v>4.2735042735042583E-2</v>
      </c>
      <c r="H13" s="133">
        <f>LOOKUP($A13,'GDP data'!$A$2:$A$192,'GDP data'!V$2:V$192)</f>
        <v>4.0983606557376984E-2</v>
      </c>
      <c r="I13" s="133">
        <f>LOOKUP($A13,'GDP data'!$A$2:$A$192,'GDP data'!W$2:W$192)</f>
        <v>3.937007874015741E-2</v>
      </c>
      <c r="L13" s="158">
        <f>LOOKUP($A13,'GDP data'!$A$2:$A$192,'GDP data'!D$2:D$192)</f>
        <v>0.187</v>
      </c>
      <c r="M13" s="158">
        <f>LOOKUP($A13,'GDP data'!$A$2:$A$192,'GDP data'!E$2:E$192)</f>
        <v>0.20300000000000001</v>
      </c>
      <c r="N13" s="158">
        <f>LOOKUP($A13,'GDP data'!$A$2:$A$192,'GDP data'!F$2:F$192)</f>
        <v>0.215</v>
      </c>
      <c r="O13" s="158">
        <f>LOOKUP($A13,'GDP data'!$A$2:$A$192,'GDP data'!G$2:G$192)</f>
        <v>0.224</v>
      </c>
      <c r="P13" s="158">
        <f>LOOKUP($A13,'GDP data'!$A$2:$A$192,'GDP data'!H$2:H$192)</f>
        <v>0.23400000000000001</v>
      </c>
      <c r="Q13" s="158">
        <f>LOOKUP($A13,'GDP data'!$A$2:$A$192,'GDP data'!I$2:I$192)</f>
        <v>0.24399999999999999</v>
      </c>
      <c r="R13" s="158">
        <f>LOOKUP($A13,'GDP data'!$A$2:$A$192,'GDP data'!J$2:J$192)</f>
        <v>0.254</v>
      </c>
      <c r="S13" s="158">
        <f>LOOKUP($A13,'GDP data'!$A$2:$A$192,'GDP data'!K$2:K$192)</f>
        <v>0.26400000000000001</v>
      </c>
      <c r="V13" s="133">
        <f t="shared" si="0"/>
        <v>4.0342991366362529E-6</v>
      </c>
      <c r="W13" s="133">
        <f t="shared" si="1"/>
        <v>4.1386460282922723E-6</v>
      </c>
      <c r="X13" s="133">
        <f t="shared" si="2"/>
        <v>4.1286745395433302E-6</v>
      </c>
      <c r="Y13" s="133">
        <f t="shared" si="3"/>
        <v>4.0230582300860636E-6</v>
      </c>
      <c r="Z13" s="133">
        <f t="shared" si="4"/>
        <v>3.9249233943851267E-6</v>
      </c>
      <c r="AA13" s="133">
        <f t="shared" si="5"/>
        <v>3.8118156004208686E-6</v>
      </c>
      <c r="AB13" s="133">
        <f t="shared" si="6"/>
        <v>3.6977652803016719E-6</v>
      </c>
      <c r="AC13" s="133">
        <f t="shared" si="7"/>
        <v>3.5811355221866672E-6</v>
      </c>
      <c r="AF13" s="159">
        <f t="shared" si="9"/>
        <v>8.8181401893688686E-8</v>
      </c>
      <c r="AG13" s="159">
        <f t="shared" si="10"/>
        <v>3.5410875108383128E-7</v>
      </c>
      <c r="AH13" s="159">
        <f t="shared" si="11"/>
        <v>2.4405957869221627E-7</v>
      </c>
      <c r="AI13" s="159">
        <f t="shared" si="12"/>
        <v>1.6840708870127704E-7</v>
      </c>
      <c r="AJ13" s="159">
        <f t="shared" si="13"/>
        <v>1.752197943921934E-7</v>
      </c>
      <c r="AK13" s="159">
        <f t="shared" si="14"/>
        <v>1.6289810258208782E-7</v>
      </c>
      <c r="AL13" s="159">
        <f t="shared" si="15"/>
        <v>1.5154775738941254E-7</v>
      </c>
      <c r="AM13" s="159">
        <f t="shared" si="16"/>
        <v>1.4098958748766382E-7</v>
      </c>
    </row>
    <row r="14" spans="1:39" hidden="1" outlineLevel="1">
      <c r="A14" s="160" t="s">
        <v>312</v>
      </c>
      <c r="B14" s="133">
        <f>LOOKUP($A14,'GDP data'!$A$2:$A$192,'GDP data'!P$2:P$192)</f>
        <v>5.1698078287424121E-2</v>
      </c>
      <c r="C14" s="133">
        <f>LOOKUP($A14,'GDP data'!$A$2:$A$192,'GDP data'!Q$2:Q$192)</f>
        <v>4.2352251063205726E-2</v>
      </c>
      <c r="D14" s="133">
        <f>LOOKUP($A14,'GDP data'!$A$2:$A$192,'GDP data'!R$2:R$192)</f>
        <v>5.5094403331551245E-2</v>
      </c>
      <c r="E14" s="133">
        <f>LOOKUP($A14,'GDP data'!$A$2:$A$192,'GDP data'!S$2:S$192)</f>
        <v>6.1551590793930133E-2</v>
      </c>
      <c r="F14" s="133">
        <f>LOOKUP($A14,'GDP data'!$A$2:$A$192,'GDP data'!T$2:T$192)</f>
        <v>7.3633965582213134E-2</v>
      </c>
      <c r="G14" s="133">
        <f>LOOKUP($A14,'GDP data'!$A$2:$A$192,'GDP data'!U$2:U$192)</f>
        <v>8.1102583302134157E-2</v>
      </c>
      <c r="H14" s="133">
        <f>LOOKUP($A14,'GDP data'!$A$2:$A$192,'GDP data'!V$2:V$192)</f>
        <v>7.7074585515778615E-2</v>
      </c>
      <c r="I14" s="133">
        <f>LOOKUP($A14,'GDP data'!$A$2:$A$192,'GDP data'!W$2:W$192)</f>
        <v>7.3608906215461456E-2</v>
      </c>
      <c r="L14" s="158">
        <f>LOOKUP($A14,'GDP data'!$A$2:$A$192,'GDP data'!D$2:D$192)</f>
        <v>34.094999999999999</v>
      </c>
      <c r="M14" s="158">
        <f>LOOKUP($A14,'GDP data'!$A$2:$A$192,'GDP data'!E$2:E$192)</f>
        <v>35.539000000000001</v>
      </c>
      <c r="N14" s="158">
        <f>LOOKUP($A14,'GDP data'!$A$2:$A$192,'GDP data'!F$2:F$192)</f>
        <v>37.497</v>
      </c>
      <c r="O14" s="158">
        <f>LOOKUP($A14,'GDP data'!$A$2:$A$192,'GDP data'!G$2:G$192)</f>
        <v>39.805</v>
      </c>
      <c r="P14" s="158">
        <f>LOOKUP($A14,'GDP data'!$A$2:$A$192,'GDP data'!H$2:H$192)</f>
        <v>42.735999999999997</v>
      </c>
      <c r="Q14" s="158">
        <f>LOOKUP($A14,'GDP data'!$A$2:$A$192,'GDP data'!I$2:I$192)</f>
        <v>46.201999999999998</v>
      </c>
      <c r="R14" s="158">
        <f>LOOKUP($A14,'GDP data'!$A$2:$A$192,'GDP data'!J$2:J$192)</f>
        <v>49.762999999999998</v>
      </c>
      <c r="S14" s="158">
        <f>LOOKUP($A14,'GDP data'!$A$2:$A$192,'GDP data'!K$2:K$192)</f>
        <v>53.426000000000002</v>
      </c>
      <c r="V14" s="133">
        <f t="shared" si="0"/>
        <v>7.3555844419044406E-4</v>
      </c>
      <c r="W14" s="133">
        <f t="shared" si="1"/>
        <v>7.2454847881516784E-4</v>
      </c>
      <c r="X14" s="133">
        <f t="shared" si="2"/>
        <v>7.2006004283375002E-4</v>
      </c>
      <c r="Y14" s="133">
        <f t="shared" si="3"/>
        <v>7.1490103950257037E-4</v>
      </c>
      <c r="Z14" s="133">
        <f t="shared" si="4"/>
        <v>7.1681848795915706E-4</v>
      </c>
      <c r="AA14" s="133">
        <f t="shared" si="5"/>
        <v>7.2177665725674169E-4</v>
      </c>
      <c r="AB14" s="133">
        <f t="shared" si="6"/>
        <v>7.244562741876066E-4</v>
      </c>
      <c r="AC14" s="133">
        <f t="shared" si="7"/>
        <v>7.2471873639524574E-4</v>
      </c>
      <c r="AF14" s="159">
        <f t="shared" si="9"/>
        <v>3.8026958032733465E-5</v>
      </c>
      <c r="AG14" s="159">
        <f t="shared" si="10"/>
        <v>3.0686259082243781E-5</v>
      </c>
      <c r="AH14" s="159">
        <f t="shared" si="11"/>
        <v>3.967127842281669E-5</v>
      </c>
      <c r="AI14" s="159">
        <f t="shared" si="12"/>
        <v>4.4003296241617492E-5</v>
      </c>
      <c r="AJ14" s="159">
        <f t="shared" si="13"/>
        <v>5.2782187871078629E-5</v>
      </c>
      <c r="AK14" s="159">
        <f t="shared" si="14"/>
        <v>5.8537951470700824E-5</v>
      </c>
      <c r="AL14" s="159">
        <f t="shared" si="15"/>
        <v>5.5837167057315044E-5</v>
      </c>
      <c r="AM14" s="159">
        <f t="shared" si="16"/>
        <v>5.3345753499905379E-5</v>
      </c>
    </row>
    <row r="15" spans="1:39" hidden="1" outlineLevel="1">
      <c r="A15" s="160" t="s">
        <v>313</v>
      </c>
      <c r="B15" s="133">
        <f>LOOKUP($A15,'GDP data'!$A$2:$A$192,'GDP data'!P$2:P$192)</f>
        <v>9.4822787159027699E-2</v>
      </c>
      <c r="C15" s="133">
        <f>LOOKUP($A15,'GDP data'!$A$2:$A$192,'GDP data'!Q$2:Q$192)</f>
        <v>4.4237288135593023E-2</v>
      </c>
      <c r="D15" s="133">
        <f>LOOKUP($A15,'GDP data'!$A$2:$A$192,'GDP data'!R$2:R$192)</f>
        <v>5.226424281772446E-2</v>
      </c>
      <c r="E15" s="133">
        <f>LOOKUP($A15,'GDP data'!$A$2:$A$192,'GDP data'!S$2:S$192)</f>
        <v>6.3705074811044371E-2</v>
      </c>
      <c r="F15" s="133">
        <f>LOOKUP($A15,'GDP data'!$A$2:$A$192,'GDP data'!T$2:T$192)</f>
        <v>6.6995359628770235E-2</v>
      </c>
      <c r="G15" s="133">
        <f>LOOKUP($A15,'GDP data'!$A$2:$A$192,'GDP data'!U$2:U$192)</f>
        <v>7.0535471595542187E-2</v>
      </c>
      <c r="H15" s="133">
        <f>LOOKUP($A15,'GDP data'!$A$2:$A$192,'GDP data'!V$2:V$192)</f>
        <v>7.1727815158055153E-2</v>
      </c>
      <c r="I15" s="133">
        <f>LOOKUP($A15,'GDP data'!$A$2:$A$192,'GDP data'!W$2:W$192)</f>
        <v>7.1547026770907296E-2</v>
      </c>
      <c r="L15" s="158">
        <f>LOOKUP($A15,'GDP data'!$A$2:$A$192,'GDP data'!D$2:D$192)</f>
        <v>5.9</v>
      </c>
      <c r="M15" s="158">
        <f>LOOKUP($A15,'GDP data'!$A$2:$A$192,'GDP data'!E$2:E$192)</f>
        <v>6.1609999999999996</v>
      </c>
      <c r="N15" s="158">
        <f>LOOKUP($A15,'GDP data'!$A$2:$A$192,'GDP data'!F$2:F$192)</f>
        <v>6.4829999999999997</v>
      </c>
      <c r="O15" s="158">
        <f>LOOKUP($A15,'GDP data'!$A$2:$A$192,'GDP data'!G$2:G$192)</f>
        <v>6.8959999999999999</v>
      </c>
      <c r="P15" s="158">
        <f>LOOKUP($A15,'GDP data'!$A$2:$A$192,'GDP data'!H$2:H$192)</f>
        <v>7.3579999999999997</v>
      </c>
      <c r="Q15" s="158">
        <f>LOOKUP($A15,'GDP data'!$A$2:$A$192,'GDP data'!I$2:I$192)</f>
        <v>7.8769999999999998</v>
      </c>
      <c r="R15" s="158">
        <f>LOOKUP($A15,'GDP data'!$A$2:$A$192,'GDP data'!J$2:J$192)</f>
        <v>8.4420000000000002</v>
      </c>
      <c r="S15" s="158">
        <f>LOOKUP($A15,'GDP data'!$A$2:$A$192,'GDP data'!K$2:K$192)</f>
        <v>9.0459999999999994</v>
      </c>
      <c r="V15" s="133">
        <f t="shared" si="0"/>
        <v>1.2728537382969998E-4</v>
      </c>
      <c r="W15" s="133">
        <f t="shared" si="1"/>
        <v>1.2560688758772752E-4</v>
      </c>
      <c r="X15" s="133">
        <f t="shared" si="2"/>
        <v>1.2449393972027633E-4</v>
      </c>
      <c r="Y15" s="133">
        <f t="shared" si="3"/>
        <v>1.2385272122622095E-4</v>
      </c>
      <c r="Z15" s="133">
        <f t="shared" si="4"/>
        <v>1.2341703562344342E-4</v>
      </c>
      <c r="AA15" s="133">
        <f t="shared" si="5"/>
        <v>1.2305603067424255E-4</v>
      </c>
      <c r="AB15" s="133">
        <f t="shared" si="6"/>
        <v>1.2289974211144377E-4</v>
      </c>
      <c r="AC15" s="133">
        <f t="shared" si="7"/>
        <v>1.2270815126401739E-4</v>
      </c>
      <c r="AF15" s="159">
        <f t="shared" si="9"/>
        <v>1.2069553911110915E-5</v>
      </c>
      <c r="AG15" s="159">
        <f t="shared" si="10"/>
        <v>5.5565080780333451E-6</v>
      </c>
      <c r="AH15" s="159">
        <f t="shared" si="11"/>
        <v>6.5065814948756742E-6</v>
      </c>
      <c r="AI15" s="159">
        <f t="shared" si="12"/>
        <v>7.8900468712678286E-6</v>
      </c>
      <c r="AJ15" s="159">
        <f t="shared" si="13"/>
        <v>8.2683686859093383E-6</v>
      </c>
      <c r="AK15" s="159">
        <f t="shared" si="14"/>
        <v>8.6798151562832036E-6</v>
      </c>
      <c r="AL15" s="159">
        <f t="shared" si="15"/>
        <v>8.8153299851422854E-6</v>
      </c>
      <c r="AM15" s="159">
        <f t="shared" si="16"/>
        <v>8.7794033834951944E-6</v>
      </c>
    </row>
    <row r="16" spans="1:39" hidden="1" outlineLevel="1">
      <c r="A16" s="160" t="s">
        <v>316</v>
      </c>
      <c r="B16" s="133">
        <f>LOOKUP($A16,'GDP data'!$A$2:$A$192,'GDP data'!P$2:P$192)</f>
        <v>1.1834319526627279E-2</v>
      </c>
      <c r="C16" s="133">
        <f>LOOKUP($A16,'GDP data'!$A$2:$A$192,'GDP data'!Q$2:Q$192)</f>
        <v>3.5087719298245501E-2</v>
      </c>
      <c r="D16" s="133">
        <f>LOOKUP($A16,'GDP data'!$A$2:$A$192,'GDP data'!R$2:R$192)</f>
        <v>2.8248587570621542E-2</v>
      </c>
      <c r="E16" s="133">
        <f>LOOKUP($A16,'GDP data'!$A$2:$A$192,'GDP data'!S$2:S$192)</f>
        <v>3.8461538461538547E-2</v>
      </c>
      <c r="F16" s="133">
        <f>LOOKUP($A16,'GDP data'!$A$2:$A$192,'GDP data'!T$2:T$192)</f>
        <v>3.7037037037036979E-2</v>
      </c>
      <c r="G16" s="133">
        <f>LOOKUP($A16,'GDP data'!$A$2:$A$192,'GDP data'!U$2:U$192)</f>
        <v>4.0816326530612068E-2</v>
      </c>
      <c r="H16" s="133">
        <f>LOOKUP($A16,'GDP data'!$A$2:$A$192,'GDP data'!V$2:V$192)</f>
        <v>3.4313725490196179E-2</v>
      </c>
      <c r="I16" s="133">
        <f>LOOKUP($A16,'GDP data'!$A$2:$A$192,'GDP data'!W$2:W$192)</f>
        <v>3.7914691943127909E-2</v>
      </c>
      <c r="L16" s="158">
        <f>LOOKUP($A16,'GDP data'!$A$2:$A$192,'GDP data'!D$2:D$192)</f>
        <v>0.17100000000000001</v>
      </c>
      <c r="M16" s="158">
        <f>LOOKUP($A16,'GDP data'!$A$2:$A$192,'GDP data'!E$2:E$192)</f>
        <v>0.17699999999999999</v>
      </c>
      <c r="N16" s="158">
        <f>LOOKUP($A16,'GDP data'!$A$2:$A$192,'GDP data'!F$2:F$192)</f>
        <v>0.182</v>
      </c>
      <c r="O16" s="158">
        <f>LOOKUP($A16,'GDP data'!$A$2:$A$192,'GDP data'!G$2:G$192)</f>
        <v>0.189</v>
      </c>
      <c r="P16" s="158">
        <f>LOOKUP($A16,'GDP data'!$A$2:$A$192,'GDP data'!H$2:H$192)</f>
        <v>0.19600000000000001</v>
      </c>
      <c r="Q16" s="158">
        <f>LOOKUP($A16,'GDP data'!$A$2:$A$192,'GDP data'!I$2:I$192)</f>
        <v>0.20399999999999999</v>
      </c>
      <c r="R16" s="158">
        <f>LOOKUP($A16,'GDP data'!$A$2:$A$192,'GDP data'!J$2:J$192)</f>
        <v>0.21099999999999999</v>
      </c>
      <c r="S16" s="158">
        <f>LOOKUP($A16,'GDP data'!$A$2:$A$192,'GDP data'!K$2:K$192)</f>
        <v>0.219</v>
      </c>
      <c r="V16" s="133">
        <f t="shared" si="0"/>
        <v>3.6891184618438467E-6</v>
      </c>
      <c r="W16" s="133">
        <f t="shared" si="1"/>
        <v>3.6085731379691238E-6</v>
      </c>
      <c r="X16" s="133">
        <f t="shared" si="2"/>
        <v>3.4949710055669121E-6</v>
      </c>
      <c r="Y16" s="133">
        <f t="shared" si="3"/>
        <v>3.394455381635116E-6</v>
      </c>
      <c r="Z16" s="133">
        <f t="shared" si="4"/>
        <v>3.2875426722200207E-6</v>
      </c>
      <c r="AA16" s="133">
        <f t="shared" si="5"/>
        <v>3.1869277970731848E-6</v>
      </c>
      <c r="AB16" s="133">
        <f t="shared" si="6"/>
        <v>3.0717656462348531E-6</v>
      </c>
      <c r="AC16" s="133">
        <f t="shared" si="7"/>
        <v>2.9707146945412125E-6</v>
      </c>
      <c r="AF16" s="159">
        <f t="shared" si="9"/>
        <v>4.3658206649039829E-8</v>
      </c>
      <c r="AG16" s="159">
        <f t="shared" si="10"/>
        <v>1.2661660133224956E-7</v>
      </c>
      <c r="AH16" s="159">
        <f t="shared" si="11"/>
        <v>9.8727994507540144E-8</v>
      </c>
      <c r="AI16" s="159">
        <f t="shared" si="12"/>
        <v>1.3055597621673552E-7</v>
      </c>
      <c r="AJ16" s="159">
        <f t="shared" si="13"/>
        <v>1.2176083971185242E-7</v>
      </c>
      <c r="AK16" s="159">
        <f t="shared" si="14"/>
        <v>1.3007868559482331E-7</v>
      </c>
      <c r="AL16" s="159">
        <f t="shared" si="15"/>
        <v>1.0540372315511782E-7</v>
      </c>
      <c r="AM16" s="159">
        <f t="shared" si="16"/>
        <v>1.126337324944534E-7</v>
      </c>
    </row>
    <row r="17" spans="1:39" hidden="1" outlineLevel="1">
      <c r="A17" s="160" t="s">
        <v>320</v>
      </c>
      <c r="B17" s="133">
        <f>LOOKUP($A17,'GDP data'!$A$2:$A$192,'GDP data'!P$2:P$192)</f>
        <v>-6.514657980456029E-3</v>
      </c>
      <c r="C17" s="133">
        <f>LOOKUP($A17,'GDP data'!$A$2:$A$192,'GDP data'!Q$2:Q$192)</f>
        <v>4.9180327868852514E-2</v>
      </c>
      <c r="D17" s="133">
        <f>LOOKUP($A17,'GDP data'!$A$2:$A$192,'GDP data'!R$2:R$192)</f>
        <v>4.3749999999999956E-2</v>
      </c>
      <c r="E17" s="133">
        <f>LOOKUP($A17,'GDP data'!$A$2:$A$192,'GDP data'!S$2:S$192)</f>
        <v>3.8922155688622562E-2</v>
      </c>
      <c r="F17" s="133">
        <f>LOOKUP($A17,'GDP data'!$A$2:$A$192,'GDP data'!T$2:T$192)</f>
        <v>3.1700288184438152E-2</v>
      </c>
      <c r="G17" s="133">
        <f>LOOKUP($A17,'GDP data'!$A$2:$A$192,'GDP data'!U$2:U$192)</f>
        <v>3.0726256983240274E-2</v>
      </c>
      <c r="H17" s="133">
        <f>LOOKUP($A17,'GDP data'!$A$2:$A$192,'GDP data'!V$2:V$192)</f>
        <v>2.9810298102981081E-2</v>
      </c>
      <c r="I17" s="133">
        <f>LOOKUP($A17,'GDP data'!$A$2:$A$192,'GDP data'!W$2:W$192)</f>
        <v>2.6315789473684292E-2</v>
      </c>
      <c r="L17" s="158">
        <f>LOOKUP($A17,'GDP data'!$A$2:$A$192,'GDP data'!D$2:D$192)</f>
        <v>0.30499999999999999</v>
      </c>
      <c r="M17" s="158">
        <f>LOOKUP($A17,'GDP data'!$A$2:$A$192,'GDP data'!E$2:E$192)</f>
        <v>0.32</v>
      </c>
      <c r="N17" s="158">
        <f>LOOKUP($A17,'GDP data'!$A$2:$A$192,'GDP data'!F$2:F$192)</f>
        <v>0.33400000000000002</v>
      </c>
      <c r="O17" s="158">
        <f>LOOKUP($A17,'GDP data'!$A$2:$A$192,'GDP data'!G$2:G$192)</f>
        <v>0.34699999999999998</v>
      </c>
      <c r="P17" s="158">
        <f>LOOKUP($A17,'GDP data'!$A$2:$A$192,'GDP data'!H$2:H$192)</f>
        <v>0.35799999999999998</v>
      </c>
      <c r="Q17" s="158">
        <f>LOOKUP($A17,'GDP data'!$A$2:$A$192,'GDP data'!I$2:I$192)</f>
        <v>0.36899999999999999</v>
      </c>
      <c r="R17" s="158">
        <f>LOOKUP($A17,'GDP data'!$A$2:$A$192,'GDP data'!J$2:J$192)</f>
        <v>0.38</v>
      </c>
      <c r="S17" s="158">
        <f>LOOKUP($A17,'GDP data'!$A$2:$A$192,'GDP data'!K$2:K$192)</f>
        <v>0.39</v>
      </c>
      <c r="V17" s="133">
        <f t="shared" si="0"/>
        <v>6.5800066132302522E-6</v>
      </c>
      <c r="W17" s="133">
        <f t="shared" si="1"/>
        <v>6.5239740347464395E-6</v>
      </c>
      <c r="X17" s="133">
        <f t="shared" si="2"/>
        <v>6.4138478893370809E-6</v>
      </c>
      <c r="Y17" s="133">
        <f t="shared" si="3"/>
        <v>6.2321482403565353E-6</v>
      </c>
      <c r="Z17" s="133">
        <f t="shared" si="4"/>
        <v>6.0047973298712611E-6</v>
      </c>
      <c r="AA17" s="133">
        <f t="shared" si="5"/>
        <v>5.764589985882379E-6</v>
      </c>
      <c r="AB17" s="133">
        <f t="shared" si="6"/>
        <v>5.5320897894276975E-6</v>
      </c>
      <c r="AC17" s="133">
        <f t="shared" si="7"/>
        <v>5.2903138395939402E-6</v>
      </c>
      <c r="AF17" s="159">
        <f t="shared" si="9"/>
        <v>-4.2866492594333908E-8</v>
      </c>
      <c r="AG17" s="159">
        <f t="shared" si="10"/>
        <v>3.2085118203671048E-7</v>
      </c>
      <c r="AH17" s="159">
        <f t="shared" si="11"/>
        <v>2.80605845158497E-7</v>
      </c>
      <c r="AI17" s="159">
        <f t="shared" si="12"/>
        <v>2.4256864408573221E-7</v>
      </c>
      <c r="AJ17" s="159">
        <f t="shared" si="13"/>
        <v>1.903538058460637E-7</v>
      </c>
      <c r="AK17" s="159">
        <f t="shared" si="14"/>
        <v>1.771242733092354E-7</v>
      </c>
      <c r="AL17" s="159">
        <f t="shared" si="15"/>
        <v>1.6491324575529751E-7</v>
      </c>
      <c r="AM17" s="159">
        <f t="shared" si="16"/>
        <v>1.3921878525247255E-7</v>
      </c>
    </row>
    <row r="18" spans="1:39" hidden="1" outlineLevel="1">
      <c r="A18" s="160" t="s">
        <v>322</v>
      </c>
      <c r="B18" s="133">
        <f>LOOKUP($A18,'GDP data'!$A$2:$A$192,'GDP data'!P$2:P$192)</f>
        <v>9.8243739985547807E-2</v>
      </c>
      <c r="C18" s="133">
        <f>LOOKUP($A18,'GDP data'!$A$2:$A$192,'GDP data'!Q$2:Q$192)</f>
        <v>3.4643551893809299E-2</v>
      </c>
      <c r="D18" s="133">
        <f>LOOKUP($A18,'GDP data'!$A$2:$A$192,'GDP data'!R$2:R$192)</f>
        <v>2.2644952581082123E-2</v>
      </c>
      <c r="E18" s="133">
        <f>LOOKUP($A18,'GDP data'!$A$2:$A$192,'GDP data'!S$2:S$192)</f>
        <v>3.8095495592927131E-2</v>
      </c>
      <c r="F18" s="133">
        <f>LOOKUP($A18,'GDP data'!$A$2:$A$192,'GDP data'!T$2:T$192)</f>
        <v>4.5292355775491622E-2</v>
      </c>
      <c r="G18" s="133">
        <f>LOOKUP($A18,'GDP data'!$A$2:$A$192,'GDP data'!U$2:U$192)</f>
        <v>9.0197837245228341E-2</v>
      </c>
      <c r="H18" s="133">
        <f>LOOKUP($A18,'GDP data'!$A$2:$A$192,'GDP data'!V$2:V$192)</f>
        <v>7.1604881839374857E-2</v>
      </c>
      <c r="I18" s="133">
        <f>LOOKUP($A18,'GDP data'!$A$2:$A$192,'GDP data'!W$2:W$192)</f>
        <v>8.0128820355322317E-2</v>
      </c>
      <c r="L18" s="158">
        <f>LOOKUP($A18,'GDP data'!$A$2:$A$192,'GDP data'!D$2:D$192)</f>
        <v>34.956000000000003</v>
      </c>
      <c r="M18" s="158">
        <f>LOOKUP($A18,'GDP data'!$A$2:$A$192,'GDP data'!E$2:E$192)</f>
        <v>36.167000000000002</v>
      </c>
      <c r="N18" s="158">
        <f>LOOKUP($A18,'GDP data'!$A$2:$A$192,'GDP data'!F$2:F$192)</f>
        <v>36.985999999999997</v>
      </c>
      <c r="O18" s="158">
        <f>LOOKUP($A18,'GDP data'!$A$2:$A$192,'GDP data'!G$2:G$192)</f>
        <v>38.395000000000003</v>
      </c>
      <c r="P18" s="158">
        <f>LOOKUP($A18,'GDP data'!$A$2:$A$192,'GDP data'!H$2:H$192)</f>
        <v>40.134</v>
      </c>
      <c r="Q18" s="158">
        <f>LOOKUP($A18,'GDP data'!$A$2:$A$192,'GDP data'!I$2:I$192)</f>
        <v>43.753999999999998</v>
      </c>
      <c r="R18" s="158">
        <f>LOOKUP($A18,'GDP data'!$A$2:$A$192,'GDP data'!J$2:J$192)</f>
        <v>46.887</v>
      </c>
      <c r="S18" s="158">
        <f>LOOKUP($A18,'GDP data'!$A$2:$A$192,'GDP data'!K$2:K$192)</f>
        <v>50.643999999999998</v>
      </c>
      <c r="V18" s="133">
        <f t="shared" si="0"/>
        <v>7.5413347925271058E-4</v>
      </c>
      <c r="W18" s="133">
        <f t="shared" si="1"/>
        <v>7.3735177785835772E-4</v>
      </c>
      <c r="X18" s="133">
        <f t="shared" si="2"/>
        <v>7.1024723962581214E-4</v>
      </c>
      <c r="Y18" s="133">
        <f t="shared" si="3"/>
        <v>6.8957732475068937E-4</v>
      </c>
      <c r="Z18" s="133">
        <f t="shared" si="4"/>
        <v>6.7317468166774646E-4</v>
      </c>
      <c r="AA18" s="133">
        <f t="shared" si="5"/>
        <v>6.8353352369186337E-4</v>
      </c>
      <c r="AB18" s="133">
        <f t="shared" si="6"/>
        <v>6.8258708936025391E-4</v>
      </c>
      <c r="AC18" s="133">
        <f t="shared" si="7"/>
        <v>6.8698116433947565E-4</v>
      </c>
      <c r="AF18" s="159">
        <f t="shared" si="9"/>
        <v>7.4088893450099805E-5</v>
      </c>
      <c r="AG18" s="159">
        <f t="shared" si="10"/>
        <v>2.5544484580228562E-5</v>
      </c>
      <c r="AH18" s="159">
        <f t="shared" si="11"/>
        <v>1.6083515062170989E-5</v>
      </c>
      <c r="AI18" s="159">
        <f t="shared" si="12"/>
        <v>2.6269789936022368E-5</v>
      </c>
      <c r="AJ18" s="159">
        <f t="shared" si="13"/>
        <v>3.0489667181148889E-5</v>
      </c>
      <c r="AK18" s="159">
        <f t="shared" si="14"/>
        <v>6.1653245521616127E-5</v>
      </c>
      <c r="AL18" s="159">
        <f t="shared" si="15"/>
        <v>4.8876567878723786E-5</v>
      </c>
      <c r="AM18" s="159">
        <f t="shared" si="16"/>
        <v>5.5046990304848001E-5</v>
      </c>
    </row>
    <row r="19" spans="1:39" hidden="1" outlineLevel="1">
      <c r="A19" s="160" t="s">
        <v>328</v>
      </c>
      <c r="B19" s="133">
        <f>LOOKUP($A19,'GDP data'!$A$2:$A$192,'GDP data'!P$2:P$192)</f>
        <v>7.8921333971597285E-2</v>
      </c>
      <c r="C19" s="133">
        <f>LOOKUP($A19,'GDP data'!$A$2:$A$192,'GDP data'!Q$2:Q$192)</f>
        <v>4.4427354472314384E-2</v>
      </c>
      <c r="D19" s="133">
        <f>LOOKUP($A19,'GDP data'!$A$2:$A$192,'GDP data'!R$2:R$192)</f>
        <v>1.6949872557348922E-2</v>
      </c>
      <c r="E19" s="133">
        <f>LOOKUP($A19,'GDP data'!$A$2:$A$192,'GDP data'!S$2:S$192)</f>
        <v>9.3710402829413786E-2</v>
      </c>
      <c r="F19" s="133">
        <f>LOOKUP($A19,'GDP data'!$A$2:$A$192,'GDP data'!T$2:T$192)</f>
        <v>6.9983576712032258E-2</v>
      </c>
      <c r="G19" s="133">
        <f>LOOKUP($A19,'GDP data'!$A$2:$A$192,'GDP data'!U$2:U$192)</f>
        <v>6.0325543762790979E-2</v>
      </c>
      <c r="H19" s="133">
        <f>LOOKUP($A19,'GDP data'!$A$2:$A$192,'GDP data'!V$2:V$192)</f>
        <v>5.9822250151491119E-2</v>
      </c>
      <c r="I19" s="133">
        <f>LOOKUP($A19,'GDP data'!$A$2:$A$192,'GDP data'!W$2:W$192)</f>
        <v>5.9706707607602327E-2</v>
      </c>
      <c r="L19" s="158">
        <f>LOOKUP($A19,'GDP data'!$A$2:$A$192,'GDP data'!D$2:D$192)</f>
        <v>67.616</v>
      </c>
      <c r="M19" s="158">
        <f>LOOKUP($A19,'GDP data'!$A$2:$A$192,'GDP data'!E$2:E$192)</f>
        <v>70.62</v>
      </c>
      <c r="N19" s="158">
        <f>LOOKUP($A19,'GDP data'!$A$2:$A$192,'GDP data'!F$2:F$192)</f>
        <v>71.816999999999993</v>
      </c>
      <c r="O19" s="158">
        <f>LOOKUP($A19,'GDP data'!$A$2:$A$192,'GDP data'!G$2:G$192)</f>
        <v>78.546999999999997</v>
      </c>
      <c r="P19" s="158">
        <f>LOOKUP($A19,'GDP data'!$A$2:$A$192,'GDP data'!H$2:H$192)</f>
        <v>84.043999999999997</v>
      </c>
      <c r="Q19" s="158">
        <f>LOOKUP($A19,'GDP data'!$A$2:$A$192,'GDP data'!I$2:I$192)</f>
        <v>89.114000000000004</v>
      </c>
      <c r="R19" s="158">
        <f>LOOKUP($A19,'GDP data'!$A$2:$A$192,'GDP data'!J$2:J$192)</f>
        <v>94.444999999999993</v>
      </c>
      <c r="S19" s="158">
        <f>LOOKUP($A19,'GDP data'!$A$2:$A$192,'GDP data'!K$2:K$192)</f>
        <v>100.084</v>
      </c>
      <c r="V19" s="133">
        <f t="shared" si="0"/>
        <v>1.4587335316727107E-3</v>
      </c>
      <c r="W19" s="133">
        <f t="shared" si="1"/>
        <v>1.4397595197931049E-3</v>
      </c>
      <c r="X19" s="133">
        <f t="shared" si="2"/>
        <v>1.3791117181692247E-3</v>
      </c>
      <c r="Y19" s="133">
        <f t="shared" si="3"/>
        <v>1.4107105124936163E-3</v>
      </c>
      <c r="Z19" s="133">
        <f t="shared" si="4"/>
        <v>1.4096848793064254E-3</v>
      </c>
      <c r="AA19" s="133">
        <f t="shared" si="5"/>
        <v>1.3921562926881364E-3</v>
      </c>
      <c r="AB19" s="133">
        <f t="shared" si="6"/>
        <v>1.3749426846381549E-3</v>
      </c>
      <c r="AC19" s="133">
        <f t="shared" si="7"/>
        <v>1.3576301803126152E-3</v>
      </c>
      <c r="AF19" s="159">
        <f t="shared" si="9"/>
        <v>1.1512519622870958E-4</v>
      </c>
      <c r="AG19" s="159">
        <f t="shared" si="10"/>
        <v>6.3964706540737415E-5</v>
      </c>
      <c r="AH19" s="159">
        <f t="shared" si="11"/>
        <v>2.3375767865314863E-5</v>
      </c>
      <c r="AI19" s="159">
        <f t="shared" si="12"/>
        <v>1.3219825040146555E-4</v>
      </c>
      <c r="AJ19" s="159">
        <f t="shared" si="13"/>
        <v>9.8654789890733165E-5</v>
      </c>
      <c r="AK19" s="159">
        <f t="shared" si="14"/>
        <v>8.3982585359203014E-5</v>
      </c>
      <c r="AL19" s="159">
        <f t="shared" si="15"/>
        <v>8.2252165224386471E-5</v>
      </c>
      <c r="AM19" s="159">
        <f t="shared" si="16"/>
        <v>8.1059628215181736E-5</v>
      </c>
    </row>
    <row r="20" spans="1:39" hidden="1" outlineLevel="1">
      <c r="A20" s="160" t="s">
        <v>330</v>
      </c>
      <c r="B20" s="133">
        <f>LOOKUP($A20,'GDP data'!$A$2:$A$192,'GDP data'!P$2:P$192)</f>
        <v>4.6758643077422501E-2</v>
      </c>
      <c r="C20" s="133">
        <f>LOOKUP($A20,'GDP data'!$A$2:$A$192,'GDP data'!Q$2:Q$192)</f>
        <v>4.3119328648427269E-2</v>
      </c>
      <c r="D20" s="133">
        <f>LOOKUP($A20,'GDP data'!$A$2:$A$192,'GDP data'!R$2:R$192)</f>
        <v>4.9042983963514919E-2</v>
      </c>
      <c r="E20" s="133">
        <f>LOOKUP($A20,'GDP data'!$A$2:$A$192,'GDP data'!S$2:S$192)</f>
        <v>5.2832049516230439E-2</v>
      </c>
      <c r="F20" s="133">
        <f>LOOKUP($A20,'GDP data'!$A$2:$A$192,'GDP data'!T$2:T$192)</f>
        <v>5.0363933931993898E-2</v>
      </c>
      <c r="G20" s="133">
        <f>LOOKUP($A20,'GDP data'!$A$2:$A$192,'GDP data'!U$2:U$192)</f>
        <v>4.7200709368897531E-2</v>
      </c>
      <c r="H20" s="133">
        <f>LOOKUP($A20,'GDP data'!$A$2:$A$192,'GDP data'!V$2:V$192)</f>
        <v>4.6722659461999161E-2</v>
      </c>
      <c r="I20" s="133">
        <f>LOOKUP($A20,'GDP data'!$A$2:$A$192,'GDP data'!W$2:W$192)</f>
        <v>4.6788055625695657E-2</v>
      </c>
      <c r="L20" s="158">
        <f>LOOKUP($A20,'GDP data'!$A$2:$A$192,'GDP data'!D$2:D$192)</f>
        <v>161.227</v>
      </c>
      <c r="M20" s="158">
        <f>LOOKUP($A20,'GDP data'!$A$2:$A$192,'GDP data'!E$2:E$192)</f>
        <v>168.179</v>
      </c>
      <c r="N20" s="158">
        <f>LOOKUP($A20,'GDP data'!$A$2:$A$192,'GDP data'!F$2:F$192)</f>
        <v>176.42699999999999</v>
      </c>
      <c r="O20" s="158">
        <f>LOOKUP($A20,'GDP data'!$A$2:$A$192,'GDP data'!G$2:G$192)</f>
        <v>185.74799999999999</v>
      </c>
      <c r="P20" s="158">
        <f>LOOKUP($A20,'GDP data'!$A$2:$A$192,'GDP data'!H$2:H$192)</f>
        <v>195.10300000000001</v>
      </c>
      <c r="Q20" s="158">
        <f>LOOKUP($A20,'GDP data'!$A$2:$A$192,'GDP data'!I$2:I$192)</f>
        <v>204.31200000000001</v>
      </c>
      <c r="R20" s="158">
        <f>LOOKUP($A20,'GDP data'!$A$2:$A$192,'GDP data'!J$2:J$192)</f>
        <v>213.858</v>
      </c>
      <c r="S20" s="158">
        <f>LOOKUP($A20,'GDP data'!$A$2:$A$192,'GDP data'!K$2:K$192)</f>
        <v>223.864</v>
      </c>
      <c r="V20" s="133">
        <f t="shared" si="0"/>
        <v>3.4782777909222098E-3</v>
      </c>
      <c r="W20" s="133">
        <f t="shared" si="1"/>
        <v>3.4287357162175671E-3</v>
      </c>
      <c r="X20" s="133">
        <f t="shared" si="2"/>
        <v>3.3879519208744702E-3</v>
      </c>
      <c r="Y20" s="133">
        <f t="shared" si="3"/>
        <v>3.3360491969733307E-3</v>
      </c>
      <c r="Z20" s="133">
        <f t="shared" si="4"/>
        <v>3.2724971325415442E-3</v>
      </c>
      <c r="AA20" s="133">
        <f t="shared" si="5"/>
        <v>3.1918019219392972E-3</v>
      </c>
      <c r="AB20" s="133">
        <f t="shared" si="6"/>
        <v>3.1133727847037595E-3</v>
      </c>
      <c r="AC20" s="133">
        <f t="shared" si="7"/>
        <v>3.0366944035560457E-3</v>
      </c>
      <c r="AF20" s="159">
        <f t="shared" si="9"/>
        <v>1.6263954974985722E-4</v>
      </c>
      <c r="AG20" s="159">
        <f t="shared" si="10"/>
        <v>1.4784478219618592E-4</v>
      </c>
      <c r="AH20" s="159">
        <f t="shared" si="11"/>
        <v>1.6615527172460619E-4</v>
      </c>
      <c r="AI20" s="159">
        <f t="shared" si="12"/>
        <v>1.7625031636307579E-4</v>
      </c>
      <c r="AJ20" s="159">
        <f t="shared" si="13"/>
        <v>1.648158293759618E-4</v>
      </c>
      <c r="AK20" s="159">
        <f t="shared" si="14"/>
        <v>1.5065531488054533E-4</v>
      </c>
      <c r="AL20" s="159">
        <f t="shared" si="15"/>
        <v>1.4546505639796979E-4</v>
      </c>
      <c r="AM20" s="159">
        <f t="shared" si="16"/>
        <v>1.4208102667181895E-4</v>
      </c>
    </row>
    <row r="21" spans="1:39" hidden="1" outlineLevel="1">
      <c r="A21" s="160" t="s">
        <v>337</v>
      </c>
      <c r="B21" s="133">
        <f>LOOKUP($A21,'GDP data'!$A$2:$A$192,'GDP data'!P$2:P$192)</f>
        <v>7.6923076923076872E-2</v>
      </c>
      <c r="C21" s="133">
        <f>LOOKUP($A21,'GDP data'!$A$2:$A$192,'GDP data'!Q$2:Q$192)</f>
        <v>0.1230158730158728</v>
      </c>
      <c r="D21" s="133">
        <f>LOOKUP($A21,'GDP data'!$A$2:$A$192,'GDP data'!R$2:R$192)</f>
        <v>3.180212014134276E-2</v>
      </c>
      <c r="E21" s="133">
        <f>LOOKUP($A21,'GDP data'!$A$2:$A$192,'GDP data'!S$2:S$192)</f>
        <v>3.082191780821919E-2</v>
      </c>
      <c r="F21" s="133">
        <f>LOOKUP($A21,'GDP data'!$A$2:$A$192,'GDP data'!T$2:T$192)</f>
        <v>7.3089700996677776E-2</v>
      </c>
      <c r="G21" s="133">
        <f>LOOKUP($A21,'GDP data'!$A$2:$A$192,'GDP data'!U$2:U$192)</f>
        <v>6.8111455108359031E-2</v>
      </c>
      <c r="H21" s="133">
        <f>LOOKUP($A21,'GDP data'!$A$2:$A$192,'GDP data'!V$2:V$192)</f>
        <v>5.2173913043478404E-2</v>
      </c>
      <c r="I21" s="133">
        <f>LOOKUP($A21,'GDP data'!$A$2:$A$192,'GDP data'!W$2:W$192)</f>
        <v>4.1322314049586861E-2</v>
      </c>
      <c r="L21" s="158">
        <f>LOOKUP($A21,'GDP data'!$A$2:$A$192,'GDP data'!D$2:D$192)</f>
        <v>0.252</v>
      </c>
      <c r="M21" s="158">
        <f>LOOKUP($A21,'GDP data'!$A$2:$A$192,'GDP data'!E$2:E$192)</f>
        <v>0.28299999999999997</v>
      </c>
      <c r="N21" s="158">
        <f>LOOKUP($A21,'GDP data'!$A$2:$A$192,'GDP data'!F$2:F$192)</f>
        <v>0.29199999999999998</v>
      </c>
      <c r="O21" s="158">
        <f>LOOKUP($A21,'GDP data'!$A$2:$A$192,'GDP data'!G$2:G$192)</f>
        <v>0.30099999999999999</v>
      </c>
      <c r="P21" s="158">
        <f>LOOKUP($A21,'GDP data'!$A$2:$A$192,'GDP data'!H$2:H$192)</f>
        <v>0.32300000000000001</v>
      </c>
      <c r="Q21" s="158">
        <f>LOOKUP($A21,'GDP data'!$A$2:$A$192,'GDP data'!I$2:I$192)</f>
        <v>0.34499999999999997</v>
      </c>
      <c r="R21" s="158">
        <f>LOOKUP($A21,'GDP data'!$A$2:$A$192,'GDP data'!J$2:J$192)</f>
        <v>0.36299999999999999</v>
      </c>
      <c r="S21" s="158">
        <f>LOOKUP($A21,'GDP data'!$A$2:$A$192,'GDP data'!K$2:K$192)</f>
        <v>0.378</v>
      </c>
      <c r="V21" s="133">
        <f t="shared" si="0"/>
        <v>5.4365956279804052E-6</v>
      </c>
      <c r="W21" s="133">
        <f t="shared" si="1"/>
        <v>5.7696395369788813E-6</v>
      </c>
      <c r="X21" s="133">
        <f t="shared" si="2"/>
        <v>5.6073161188216388E-6</v>
      </c>
      <c r="Y21" s="133">
        <f t="shared" si="3"/>
        <v>5.4059844966781474E-6</v>
      </c>
      <c r="Z21" s="133">
        <f t="shared" si="4"/>
        <v>5.4177361384034014E-6</v>
      </c>
      <c r="AA21" s="133">
        <f t="shared" si="5"/>
        <v>5.3896573038737688E-6</v>
      </c>
      <c r="AB21" s="133">
        <f t="shared" si="6"/>
        <v>5.2846015620059323E-6</v>
      </c>
      <c r="AC21" s="133">
        <f t="shared" si="7"/>
        <v>5.1275349522218186E-6</v>
      </c>
      <c r="AF21" s="159">
        <f t="shared" si="9"/>
        <v>4.1819966369080012E-7</v>
      </c>
      <c r="AG21" s="159">
        <f t="shared" si="10"/>
        <v>7.0975724462835316E-7</v>
      </c>
      <c r="AH21" s="159">
        <f t="shared" si="11"/>
        <v>1.7832454088125356E-7</v>
      </c>
      <c r="AI21" s="159">
        <f t="shared" si="12"/>
        <v>1.6662280982912105E-7</v>
      </c>
      <c r="AJ21" s="159">
        <f t="shared" si="13"/>
        <v>3.959807144348003E-7</v>
      </c>
      <c r="AK21" s="159">
        <f t="shared" si="14"/>
        <v>3.6709740150223759E-7</v>
      </c>
      <c r="AL21" s="159">
        <f t="shared" si="15"/>
        <v>2.7571834236552765E-7</v>
      </c>
      <c r="AM21" s="159">
        <f t="shared" si="16"/>
        <v>2.1188160959594335E-7</v>
      </c>
    </row>
    <row r="22" spans="1:39" hidden="1" outlineLevel="1">
      <c r="A22" s="160" t="s">
        <v>339</v>
      </c>
      <c r="B22" s="133">
        <f>LOOKUP($A22,'GDP data'!$A$2:$A$192,'GDP data'!P$2:P$192)</f>
        <v>0.14548778312823241</v>
      </c>
      <c r="C22" s="133">
        <f>LOOKUP($A22,'GDP data'!$A$2:$A$192,'GDP data'!Q$2:Q$192)</f>
        <v>0.10369390058775463</v>
      </c>
      <c r="D22" s="133">
        <f>LOOKUP($A22,'GDP data'!$A$2:$A$192,'GDP data'!R$2:R$192)</f>
        <v>3.6995238934932173E-2</v>
      </c>
      <c r="E22" s="133">
        <f>LOOKUP($A22,'GDP data'!$A$2:$A$192,'GDP data'!S$2:S$192)</f>
        <v>4.8802883961365673E-2</v>
      </c>
      <c r="F22" s="133">
        <f>LOOKUP($A22,'GDP data'!$A$2:$A$192,'GDP data'!T$2:T$192)</f>
        <v>4.9417944810143055E-2</v>
      </c>
      <c r="G22" s="133">
        <f>LOOKUP($A22,'GDP data'!$A$2:$A$192,'GDP data'!U$2:U$192)</f>
        <v>4.8048697586750233E-2</v>
      </c>
      <c r="H22" s="133">
        <f>LOOKUP($A22,'GDP data'!$A$2:$A$192,'GDP data'!V$2:V$192)</f>
        <v>5.1536057550563008E-2</v>
      </c>
      <c r="I22" s="133">
        <f>LOOKUP($A22,'GDP data'!$A$2:$A$192,'GDP data'!W$2:W$192)</f>
        <v>5.3552402848651592E-2</v>
      </c>
      <c r="L22" s="158">
        <f>LOOKUP($A22,'GDP data'!$A$2:$A$192,'GDP data'!D$2:D$192)</f>
        <v>25.690999999999999</v>
      </c>
      <c r="M22" s="158">
        <f>LOOKUP($A22,'GDP data'!$A$2:$A$192,'GDP data'!E$2:E$192)</f>
        <v>28.355</v>
      </c>
      <c r="N22" s="158">
        <f>LOOKUP($A22,'GDP data'!$A$2:$A$192,'GDP data'!F$2:F$192)</f>
        <v>29.404</v>
      </c>
      <c r="O22" s="158">
        <f>LOOKUP($A22,'GDP data'!$A$2:$A$192,'GDP data'!G$2:G$192)</f>
        <v>30.838999999999999</v>
      </c>
      <c r="P22" s="158">
        <f>LOOKUP($A22,'GDP data'!$A$2:$A$192,'GDP data'!H$2:H$192)</f>
        <v>32.363</v>
      </c>
      <c r="Q22" s="158">
        <f>LOOKUP($A22,'GDP data'!$A$2:$A$192,'GDP data'!I$2:I$192)</f>
        <v>33.917999999999999</v>
      </c>
      <c r="R22" s="158">
        <f>LOOKUP($A22,'GDP data'!$A$2:$A$192,'GDP data'!J$2:J$192)</f>
        <v>35.665999999999997</v>
      </c>
      <c r="S22" s="158">
        <f>LOOKUP($A22,'GDP data'!$A$2:$A$192,'GDP data'!K$2:K$192)</f>
        <v>37.576000000000001</v>
      </c>
      <c r="V22" s="133">
        <f t="shared" si="0"/>
        <v>5.542522947557325E-4</v>
      </c>
      <c r="W22" s="133">
        <f t="shared" si="1"/>
        <v>5.7808526173511025E-4</v>
      </c>
      <c r="X22" s="133">
        <f t="shared" si="2"/>
        <v>5.6464905191038178E-4</v>
      </c>
      <c r="Y22" s="133">
        <f t="shared" si="3"/>
        <v>5.5387094981082193E-4</v>
      </c>
      <c r="Z22" s="133">
        <f t="shared" si="4"/>
        <v>5.4283032398498219E-4</v>
      </c>
      <c r="AA22" s="133">
        <f t="shared" si="5"/>
        <v>5.2987361284866812E-4</v>
      </c>
      <c r="AB22" s="133">
        <f t="shared" si="6"/>
        <v>5.1923030113086382E-4</v>
      </c>
      <c r="AC22" s="133">
        <f t="shared" si="7"/>
        <v>5.0971495599123559E-4</v>
      </c>
      <c r="AF22" s="159">
        <f t="shared" si="9"/>
        <v>8.0636937657747147E-5</v>
      </c>
      <c r="AG22" s="159">
        <f t="shared" si="10"/>
        <v>5.9943915661606635E-5</v>
      </c>
      <c r="AH22" s="159">
        <f t="shared" si="11"/>
        <v>2.0889326589807494E-5</v>
      </c>
      <c r="AI22" s="159">
        <f t="shared" si="12"/>
        <v>2.7030499693188934E-5</v>
      </c>
      <c r="AJ22" s="159">
        <f t="shared" si="13"/>
        <v>2.6825558991961922E-5</v>
      </c>
      <c r="AK22" s="159">
        <f t="shared" si="14"/>
        <v>2.5459736982964427E-5</v>
      </c>
      <c r="AL22" s="159">
        <f t="shared" si="15"/>
        <v>2.6759082681076357E-5</v>
      </c>
      <c r="AM22" s="159">
        <f t="shared" si="16"/>
        <v>2.7296460661225366E-5</v>
      </c>
    </row>
    <row r="23" spans="1:39" hidden="1" outlineLevel="1">
      <c r="A23" s="160" t="s">
        <v>342</v>
      </c>
      <c r="B23" s="133">
        <f>LOOKUP($A23,'GDP data'!$A$2:$A$192,'GDP data'!P$2:P$192)</f>
        <v>8.0503958764747141E-2</v>
      </c>
      <c r="C23" s="133">
        <f>LOOKUP($A23,'GDP data'!$A$2:$A$192,'GDP data'!Q$2:Q$192)</f>
        <v>7.2166106307460787E-2</v>
      </c>
      <c r="D23" s="133">
        <f>LOOKUP($A23,'GDP data'!$A$2:$A$192,'GDP data'!R$2:R$192)</f>
        <v>8.2881868995210883E-2</v>
      </c>
      <c r="E23" s="133">
        <f>LOOKUP($A23,'GDP data'!$A$2:$A$192,'GDP data'!S$2:S$192)</f>
        <v>8.4567217599764044E-2</v>
      </c>
      <c r="F23" s="133">
        <f>LOOKUP($A23,'GDP data'!$A$2:$A$192,'GDP data'!T$2:T$192)</f>
        <v>8.7712316956311875E-2</v>
      </c>
      <c r="G23" s="133">
        <f>LOOKUP($A23,'GDP data'!$A$2:$A$192,'GDP data'!U$2:U$192)</f>
        <v>9.0784084505857621E-2</v>
      </c>
      <c r="H23" s="133">
        <f>LOOKUP($A23,'GDP data'!$A$2:$A$192,'GDP data'!V$2:V$192)</f>
        <v>9.0460494612463638E-2</v>
      </c>
      <c r="I23" s="133">
        <f>LOOKUP($A23,'GDP data'!$A$2:$A$192,'GDP data'!W$2:W$192)</f>
        <v>9.0185957717598741E-2</v>
      </c>
      <c r="L23" s="158">
        <f>LOOKUP($A23,'GDP data'!$A$2:$A$192,'GDP data'!D$2:D$192)</f>
        <v>694.495</v>
      </c>
      <c r="M23" s="158">
        <f>LOOKUP($A23,'GDP data'!$A$2:$A$192,'GDP data'!E$2:E$192)</f>
        <v>744.61400000000003</v>
      </c>
      <c r="N23" s="158">
        <f>LOOKUP($A23,'GDP data'!$A$2:$A$192,'GDP data'!F$2:F$192)</f>
        <v>806.32899999999995</v>
      </c>
      <c r="O23" s="158">
        <f>LOOKUP($A23,'GDP data'!$A$2:$A$192,'GDP data'!G$2:G$192)</f>
        <v>874.51800000000003</v>
      </c>
      <c r="P23" s="158">
        <f>LOOKUP($A23,'GDP data'!$A$2:$A$192,'GDP data'!H$2:H$192)</f>
        <v>951.22400000000005</v>
      </c>
      <c r="Q23" s="158">
        <f>LOOKUP($A23,'GDP data'!$A$2:$A$192,'GDP data'!I$2:I$192)</f>
        <v>1037.58</v>
      </c>
      <c r="R23" s="158">
        <f>LOOKUP($A23,'GDP data'!$A$2:$A$192,'GDP data'!J$2:J$192)</f>
        <v>1131.44</v>
      </c>
      <c r="S23" s="158">
        <f>LOOKUP($A23,'GDP data'!$A$2:$A$192,'GDP data'!K$2:K$192)</f>
        <v>1233.48</v>
      </c>
      <c r="V23" s="133">
        <f t="shared" si="0"/>
        <v>1.4982890796247031E-2</v>
      </c>
      <c r="W23" s="133">
        <f t="shared" si="1"/>
        <v>1.5180757505964641E-2</v>
      </c>
      <c r="X23" s="133">
        <f t="shared" si="2"/>
        <v>1.5484046571141552E-2</v>
      </c>
      <c r="Y23" s="133">
        <f t="shared" si="3"/>
        <v>1.5706414452046447E-2</v>
      </c>
      <c r="Z23" s="133">
        <f t="shared" si="4"/>
        <v>1.5955048422652128E-2</v>
      </c>
      <c r="AA23" s="133">
        <f t="shared" si="5"/>
        <v>1.6209277174937232E-2</v>
      </c>
      <c r="AB23" s="133">
        <f t="shared" si="6"/>
        <v>1.6471651766710723E-2</v>
      </c>
      <c r="AC23" s="133">
        <f t="shared" si="7"/>
        <v>1.6732041832980341E-2</v>
      </c>
      <c r="AF23" s="159">
        <f t="shared" si="9"/>
        <v>1.2061820228377804E-3</v>
      </c>
      <c r="AG23" s="159">
        <f t="shared" si="10"/>
        <v>1.0955361600032275E-3</v>
      </c>
      <c r="AH23" s="159">
        <f t="shared" si="11"/>
        <v>1.2833467194250984E-3</v>
      </c>
      <c r="AI23" s="159">
        <f t="shared" si="12"/>
        <v>1.3282477686782906E-3</v>
      </c>
      <c r="AJ23" s="159">
        <f t="shared" si="13"/>
        <v>1.3994542643009672E-3</v>
      </c>
      <c r="AK23" s="159">
        <f t="shared" si="14"/>
        <v>1.4715443888283707E-3</v>
      </c>
      <c r="AL23" s="159">
        <f t="shared" si="15"/>
        <v>1.4900337659009126E-3</v>
      </c>
      <c r="AM23" s="159">
        <f t="shared" si="16"/>
        <v>1.5089952172782583E-3</v>
      </c>
    </row>
    <row r="24" spans="1:39" hidden="1" outlineLevel="1">
      <c r="A24" s="160" t="s">
        <v>348</v>
      </c>
      <c r="B24" s="133">
        <f>LOOKUP($A24,'GDP data'!$A$2:$A$192,'GDP data'!P$2:P$192)</f>
        <v>2.5465067556349474E-2</v>
      </c>
      <c r="C24" s="133">
        <f>LOOKUP($A24,'GDP data'!$A$2:$A$192,'GDP data'!Q$2:Q$192)</f>
        <v>-1.7744986174072941E-2</v>
      </c>
      <c r="D24" s="133">
        <f>LOOKUP($A24,'GDP data'!$A$2:$A$192,'GDP data'!R$2:R$192)</f>
        <v>1.048090230993215E-2</v>
      </c>
      <c r="E24" s="133">
        <f>LOOKUP($A24,'GDP data'!$A$2:$A$192,'GDP data'!S$2:S$192)</f>
        <v>3.5691630526247575E-2</v>
      </c>
      <c r="F24" s="133">
        <f>LOOKUP($A24,'GDP data'!$A$2:$A$192,'GDP data'!T$2:T$192)</f>
        <v>3.5686607834804152E-2</v>
      </c>
      <c r="G24" s="133">
        <f>LOOKUP($A24,'GDP data'!$A$2:$A$192,'GDP data'!U$2:U$192)</f>
        <v>3.6660752863366897E-2</v>
      </c>
      <c r="H24" s="133">
        <f>LOOKUP($A24,'GDP data'!$A$2:$A$192,'GDP data'!V$2:V$192)</f>
        <v>3.6349200066127629E-2</v>
      </c>
      <c r="I24" s="133">
        <f>LOOKUP($A24,'GDP data'!$A$2:$A$192,'GDP data'!W$2:W$192)</f>
        <v>3.6080829686081728E-2</v>
      </c>
      <c r="L24" s="158">
        <f>LOOKUP($A24,'GDP data'!$A$2:$A$192,'GDP data'!D$2:D$192)</f>
        <v>3891.24</v>
      </c>
      <c r="M24" s="158">
        <f>LOOKUP($A24,'GDP data'!$A$2:$A$192,'GDP data'!E$2:E$192)</f>
        <v>3822.19</v>
      </c>
      <c r="N24" s="158">
        <f>LOOKUP($A24,'GDP data'!$A$2:$A$192,'GDP data'!F$2:F$192)</f>
        <v>3862.25</v>
      </c>
      <c r="O24" s="158">
        <f>LOOKUP($A24,'GDP data'!$A$2:$A$192,'GDP data'!G$2:G$192)</f>
        <v>4000.1</v>
      </c>
      <c r="P24" s="158">
        <f>LOOKUP($A24,'GDP data'!$A$2:$A$192,'GDP data'!H$2:H$192)</f>
        <v>4142.8500000000004</v>
      </c>
      <c r="Q24" s="158">
        <f>LOOKUP($A24,'GDP data'!$A$2:$A$192,'GDP data'!I$2:I$192)</f>
        <v>4294.7299999999996</v>
      </c>
      <c r="R24" s="158">
        <f>LOOKUP($A24,'GDP data'!$A$2:$A$192,'GDP data'!J$2:J$192)</f>
        <v>4450.84</v>
      </c>
      <c r="S24" s="158">
        <f>LOOKUP($A24,'GDP data'!$A$2:$A$192,'GDP data'!K$2:K$192)</f>
        <v>4611.43</v>
      </c>
      <c r="V24" s="133">
        <f t="shared" si="0"/>
        <v>8.3948803061200283E-2</v>
      </c>
      <c r="W24" s="133">
        <f t="shared" si="1"/>
        <v>7.7924588487085916E-2</v>
      </c>
      <c r="X24" s="133">
        <f t="shared" si="2"/>
        <v>7.4167317396982457E-2</v>
      </c>
      <c r="Y24" s="133">
        <f t="shared" si="3"/>
        <v>7.1842121545389562E-2</v>
      </c>
      <c r="Z24" s="133">
        <f t="shared" si="4"/>
        <v>6.9488755916360778E-2</v>
      </c>
      <c r="AA24" s="133">
        <f t="shared" si="5"/>
        <v>6.7093109891784894E-2</v>
      </c>
      <c r="AB24" s="133">
        <f t="shared" si="6"/>
        <v>6.4795911890464145E-2</v>
      </c>
      <c r="AC24" s="133">
        <f t="shared" si="7"/>
        <v>6.2553620382868422E-2</v>
      </c>
      <c r="AF24" s="159">
        <f t="shared" si="9"/>
        <v>2.1377619412281429E-3</v>
      </c>
      <c r="AG24" s="159">
        <f t="shared" si="10"/>
        <v>-1.382770745323663E-3</v>
      </c>
      <c r="AH24" s="159">
        <f t="shared" si="11"/>
        <v>7.7734040822750438E-4</v>
      </c>
      <c r="AI24" s="159">
        <f t="shared" si="12"/>
        <v>2.5641624584198147E-3</v>
      </c>
      <c r="AJ24" s="159">
        <f t="shared" si="13"/>
        <v>2.4798179813155939E-3</v>
      </c>
      <c r="AK24" s="159">
        <f t="shared" si="14"/>
        <v>2.4596839205774431E-3</v>
      </c>
      <c r="AL24" s="159">
        <f t="shared" si="15"/>
        <v>2.3552795647736593E-3</v>
      </c>
      <c r="AM24" s="159">
        <f t="shared" si="16"/>
        <v>2.256986523282086E-3</v>
      </c>
    </row>
    <row r="25" spans="1:39" hidden="1" outlineLevel="1">
      <c r="A25" s="160" t="s">
        <v>350</v>
      </c>
      <c r="B25" s="133">
        <f>LOOKUP($A25,'GDP data'!$A$2:$A$192,'GDP data'!P$2:P$192)</f>
        <v>2.9567053854276715E-2</v>
      </c>
      <c r="C25" s="133">
        <f>LOOKUP($A25,'GDP data'!$A$2:$A$192,'GDP data'!Q$2:Q$192)</f>
        <v>2.7692307692307683E-2</v>
      </c>
      <c r="D25" s="133">
        <f>LOOKUP($A25,'GDP data'!$A$2:$A$192,'GDP data'!R$2:R$192)</f>
        <v>8.4830339321357195E-2</v>
      </c>
      <c r="E25" s="133">
        <f>LOOKUP($A25,'GDP data'!$A$2:$A$192,'GDP data'!S$2:S$192)</f>
        <v>3.9558417663293488E-2</v>
      </c>
      <c r="F25" s="133">
        <f>LOOKUP($A25,'GDP data'!$A$2:$A$192,'GDP data'!T$2:T$192)</f>
        <v>2.920353982300905E-2</v>
      </c>
      <c r="G25" s="133">
        <f>LOOKUP($A25,'GDP data'!$A$2:$A$192,'GDP data'!U$2:U$192)</f>
        <v>3.8693035253654307E-2</v>
      </c>
      <c r="H25" s="133">
        <f>LOOKUP($A25,'GDP data'!$A$2:$A$192,'GDP data'!V$2:V$192)</f>
        <v>4.3046357615894149E-2</v>
      </c>
      <c r="I25" s="133">
        <f>LOOKUP($A25,'GDP data'!$A$2:$A$192,'GDP data'!W$2:W$192)</f>
        <v>4.2063492063491914E-2</v>
      </c>
      <c r="L25" s="158">
        <f>LOOKUP($A25,'GDP data'!$A$2:$A$192,'GDP data'!D$2:D$192)</f>
        <v>0.97499999999999998</v>
      </c>
      <c r="M25" s="158">
        <f>LOOKUP($A25,'GDP data'!$A$2:$A$192,'GDP data'!E$2:E$192)</f>
        <v>1.002</v>
      </c>
      <c r="N25" s="158">
        <f>LOOKUP($A25,'GDP data'!$A$2:$A$192,'GDP data'!F$2:F$192)</f>
        <v>1.087</v>
      </c>
      <c r="O25" s="158">
        <f>LOOKUP($A25,'GDP data'!$A$2:$A$192,'GDP data'!G$2:G$192)</f>
        <v>1.1299999999999999</v>
      </c>
      <c r="P25" s="158">
        <f>LOOKUP($A25,'GDP data'!$A$2:$A$192,'GDP data'!H$2:H$192)</f>
        <v>1.163</v>
      </c>
      <c r="Q25" s="158">
        <f>LOOKUP($A25,'GDP data'!$A$2:$A$192,'GDP data'!I$2:I$192)</f>
        <v>1.208</v>
      </c>
      <c r="R25" s="158">
        <f>LOOKUP($A25,'GDP data'!$A$2:$A$192,'GDP data'!J$2:J$192)</f>
        <v>1.26</v>
      </c>
      <c r="S25" s="158">
        <f>LOOKUP($A25,'GDP data'!$A$2:$A$192,'GDP data'!K$2:K$192)</f>
        <v>1.3129999999999999</v>
      </c>
      <c r="V25" s="133">
        <f t="shared" si="0"/>
        <v>2.1034447370162283E-5</v>
      </c>
      <c r="W25" s="133">
        <f t="shared" si="1"/>
        <v>2.0428193696299788E-5</v>
      </c>
      <c r="X25" s="133">
        <f t="shared" si="2"/>
        <v>2.0873810346435348E-5</v>
      </c>
      <c r="Y25" s="133">
        <f t="shared" si="3"/>
        <v>2.0294891964273444E-5</v>
      </c>
      <c r="Z25" s="133">
        <f t="shared" si="4"/>
        <v>1.9507204733632061E-5</v>
      </c>
      <c r="AA25" s="133">
        <f t="shared" si="5"/>
        <v>1.8871611661100038E-5</v>
      </c>
      <c r="AB25" s="133">
        <f t="shared" si="6"/>
        <v>1.8343245091260262E-5</v>
      </c>
      <c r="AC25" s="133">
        <f t="shared" si="7"/>
        <v>1.7810723259966265E-5</v>
      </c>
      <c r="AF25" s="159">
        <f t="shared" si="9"/>
        <v>6.2192663818853746E-7</v>
      </c>
      <c r="AG25" s="159">
        <f t="shared" si="10"/>
        <v>5.6570382543599395E-7</v>
      </c>
      <c r="AH25" s="159">
        <f t="shared" si="11"/>
        <v>1.7707324146177671E-6</v>
      </c>
      <c r="AI25" s="159">
        <f t="shared" si="12"/>
        <v>8.0283381275414764E-7</v>
      </c>
      <c r="AJ25" s="159">
        <f t="shared" si="13"/>
        <v>5.6967943027421458E-7</v>
      </c>
      <c r="AK25" s="159">
        <f t="shared" si="14"/>
        <v>7.3019993529621747E-7</v>
      </c>
      <c r="AL25" s="159">
        <f t="shared" si="15"/>
        <v>7.8960988803438414E-7</v>
      </c>
      <c r="AM25" s="159">
        <f t="shared" si="16"/>
        <v>7.4918121649064183E-7</v>
      </c>
    </row>
    <row r="26" spans="1:39" hidden="1" outlineLevel="1">
      <c r="A26" s="160" t="s">
        <v>358</v>
      </c>
      <c r="B26" s="133">
        <f>LOOKUP($A26,'GDP data'!$A$2:$A$192,'GDP data'!P$2:P$192)</f>
        <v>5.431250939879595E-2</v>
      </c>
      <c r="C26" s="133">
        <f>LOOKUP($A26,'GDP data'!$A$2:$A$192,'GDP data'!Q$2:Q$192)</f>
        <v>3.0378865973811564E-2</v>
      </c>
      <c r="D26" s="133">
        <f>LOOKUP($A26,'GDP data'!$A$2:$A$192,'GDP data'!R$2:R$192)</f>
        <v>3.297537648391291E-2</v>
      </c>
      <c r="E26" s="133">
        <f>LOOKUP($A26,'GDP data'!$A$2:$A$192,'GDP data'!S$2:S$192)</f>
        <v>4.3130789316591756E-2</v>
      </c>
      <c r="F26" s="133">
        <f>LOOKUP($A26,'GDP data'!$A$2:$A$192,'GDP data'!T$2:T$192)</f>
        <v>4.6137765112585161E-2</v>
      </c>
      <c r="G26" s="133">
        <f>LOOKUP($A26,'GDP data'!$A$2:$A$192,'GDP data'!U$2:U$192)</f>
        <v>4.8218708077261585E-2</v>
      </c>
      <c r="H26" s="133">
        <f>LOOKUP($A26,'GDP data'!$A$2:$A$192,'GDP data'!V$2:V$192)</f>
        <v>4.7990457290339128E-2</v>
      </c>
      <c r="I26" s="133">
        <f>LOOKUP($A26,'GDP data'!$A$2:$A$192,'GDP data'!W$2:W$192)</f>
        <v>4.762041876835621E-2</v>
      </c>
      <c r="L26" s="158">
        <f>LOOKUP($A26,'GDP data'!$A$2:$A$192,'GDP data'!D$2:D$192)</f>
        <v>462.72300000000001</v>
      </c>
      <c r="M26" s="158">
        <f>LOOKUP($A26,'GDP data'!$A$2:$A$192,'GDP data'!E$2:E$192)</f>
        <v>476.78</v>
      </c>
      <c r="N26" s="158">
        <f>LOOKUP($A26,'GDP data'!$A$2:$A$192,'GDP data'!F$2:F$192)</f>
        <v>492.50200000000001</v>
      </c>
      <c r="O26" s="158">
        <f>LOOKUP($A26,'GDP data'!$A$2:$A$192,'GDP data'!G$2:G$192)</f>
        <v>513.74400000000003</v>
      </c>
      <c r="P26" s="158">
        <f>LOOKUP($A26,'GDP data'!$A$2:$A$192,'GDP data'!H$2:H$192)</f>
        <v>537.447</v>
      </c>
      <c r="Q26" s="158">
        <f>LOOKUP($A26,'GDP data'!$A$2:$A$192,'GDP data'!I$2:I$192)</f>
        <v>563.36199999999997</v>
      </c>
      <c r="R26" s="158">
        <f>LOOKUP($A26,'GDP data'!$A$2:$A$192,'GDP data'!J$2:J$192)</f>
        <v>590.39800000000002</v>
      </c>
      <c r="S26" s="158">
        <f>LOOKUP($A26,'GDP data'!$A$2:$A$192,'GDP data'!K$2:K$192)</f>
        <v>618.51300000000003</v>
      </c>
      <c r="V26" s="133">
        <f t="shared" si="0"/>
        <v>9.9826898363729252E-3</v>
      </c>
      <c r="W26" s="133">
        <f t="shared" si="1"/>
        <v>9.7203135633950229E-3</v>
      </c>
      <c r="X26" s="133">
        <f t="shared" si="2"/>
        <v>9.4575835724379966E-3</v>
      </c>
      <c r="Y26" s="133">
        <f t="shared" si="3"/>
        <v>9.2268840507023879E-3</v>
      </c>
      <c r="Z26" s="133">
        <f t="shared" si="4"/>
        <v>9.0146936048807816E-3</v>
      </c>
      <c r="AA26" s="133">
        <f t="shared" si="5"/>
        <v>8.8009510667389386E-3</v>
      </c>
      <c r="AB26" s="133">
        <f t="shared" si="6"/>
        <v>8.5950914407856155E-3</v>
      </c>
      <c r="AC26" s="133">
        <f t="shared" si="7"/>
        <v>8.3900714970994023E-3</v>
      </c>
      <c r="AF26" s="159">
        <f t="shared" si="9"/>
        <v>5.4218493556326935E-4</v>
      </c>
      <c r="AG26" s="159">
        <f t="shared" si="10"/>
        <v>2.9529210296580012E-4</v>
      </c>
      <c r="AH26" s="159">
        <f t="shared" si="11"/>
        <v>3.1186737892921295E-4</v>
      </c>
      <c r="AI26" s="159">
        <f t="shared" si="12"/>
        <v>3.979627920394654E-4</v>
      </c>
      <c r="AJ26" s="159">
        <f t="shared" si="13"/>
        <v>4.159178161039131E-4</v>
      </c>
      <c r="AK26" s="159">
        <f t="shared" si="14"/>
        <v>4.2437049028934881E-4</v>
      </c>
      <c r="AL26" s="159">
        <f t="shared" si="15"/>
        <v>4.1248236869558148E-4</v>
      </c>
      <c r="AM26" s="159">
        <f t="shared" si="16"/>
        <v>3.9953871818832284E-4</v>
      </c>
    </row>
    <row r="27" spans="1:39" hidden="1" outlineLevel="1">
      <c r="A27" s="160" t="s">
        <v>361</v>
      </c>
      <c r="B27" s="133">
        <f>LOOKUP($A27,'GDP data'!$A$2:$A$192,'GDP data'!P$2:P$192)</f>
        <v>4.1292639138240439E-2</v>
      </c>
      <c r="C27" s="133">
        <f>LOOKUP($A27,'GDP data'!$A$2:$A$192,'GDP data'!Q$2:Q$192)</f>
        <v>3.6206896551724155E-2</v>
      </c>
      <c r="D27" s="133">
        <f>LOOKUP($A27,'GDP data'!$A$2:$A$192,'GDP data'!R$2:R$192)</f>
        <v>4.5757071547420924E-2</v>
      </c>
      <c r="E27" s="133">
        <f>LOOKUP($A27,'GDP data'!$A$2:$A$192,'GDP data'!S$2:S$192)</f>
        <v>4.7732696897374804E-2</v>
      </c>
      <c r="F27" s="133">
        <f>LOOKUP($A27,'GDP data'!$A$2:$A$192,'GDP data'!T$2:T$192)</f>
        <v>5.0873196659073638E-2</v>
      </c>
      <c r="G27" s="133">
        <f>LOOKUP($A27,'GDP data'!$A$2:$A$192,'GDP data'!U$2:U$192)</f>
        <v>4.9855491329479973E-2</v>
      </c>
      <c r="H27" s="133">
        <f>LOOKUP($A27,'GDP data'!$A$2:$A$192,'GDP data'!V$2:V$192)</f>
        <v>4.8864418444597435E-2</v>
      </c>
      <c r="I27" s="133">
        <f>LOOKUP($A27,'GDP data'!$A$2:$A$192,'GDP data'!W$2:W$192)</f>
        <v>4.790026246719159E-2</v>
      </c>
      <c r="L27" s="158">
        <f>LOOKUP($A27,'GDP data'!$A$2:$A$192,'GDP data'!D$2:D$192)</f>
        <v>1.1599999999999999</v>
      </c>
      <c r="M27" s="158">
        <f>LOOKUP($A27,'GDP data'!$A$2:$A$192,'GDP data'!E$2:E$192)</f>
        <v>1.202</v>
      </c>
      <c r="N27" s="158">
        <f>LOOKUP($A27,'GDP data'!$A$2:$A$192,'GDP data'!F$2:F$192)</f>
        <v>1.2569999999999999</v>
      </c>
      <c r="O27" s="158">
        <f>LOOKUP($A27,'GDP data'!$A$2:$A$192,'GDP data'!G$2:G$192)</f>
        <v>1.3169999999999999</v>
      </c>
      <c r="P27" s="158">
        <f>LOOKUP($A27,'GDP data'!$A$2:$A$192,'GDP data'!H$2:H$192)</f>
        <v>1.3839999999999999</v>
      </c>
      <c r="Q27" s="158">
        <f>LOOKUP($A27,'GDP data'!$A$2:$A$192,'GDP data'!I$2:I$192)</f>
        <v>1.4530000000000001</v>
      </c>
      <c r="R27" s="158">
        <f>LOOKUP($A27,'GDP data'!$A$2:$A$192,'GDP data'!J$2:J$192)</f>
        <v>1.524</v>
      </c>
      <c r="S27" s="158">
        <f>LOOKUP($A27,'GDP data'!$A$2:$A$192,'GDP data'!K$2:K$192)</f>
        <v>1.597</v>
      </c>
      <c r="V27" s="133">
        <f t="shared" si="0"/>
        <v>2.5025598922449482E-5</v>
      </c>
      <c r="W27" s="133">
        <f t="shared" si="1"/>
        <v>2.450567746801631E-5</v>
      </c>
      <c r="X27" s="133">
        <f t="shared" si="2"/>
        <v>2.4138343703283562E-5</v>
      </c>
      <c r="Y27" s="133">
        <f t="shared" si="3"/>
        <v>2.3653427183139935E-5</v>
      </c>
      <c r="Z27" s="133">
        <f t="shared" si="4"/>
        <v>2.3214076828329121E-5</v>
      </c>
      <c r="AA27" s="133">
        <f t="shared" si="5"/>
        <v>2.2699049456604601E-5</v>
      </c>
      <c r="AB27" s="133">
        <f t="shared" si="6"/>
        <v>2.218659168181003E-5</v>
      </c>
      <c r="AC27" s="133">
        <f t="shared" si="7"/>
        <v>2.1663156927773133E-5</v>
      </c>
      <c r="AF27" s="159">
        <f t="shared" si="9"/>
        <v>1.0333730255230452E-6</v>
      </c>
      <c r="AG27" s="159">
        <f t="shared" si="10"/>
        <v>8.872745290143841E-7</v>
      </c>
      <c r="AH27" s="159">
        <f t="shared" si="11"/>
        <v>1.1044999198673833E-6</v>
      </c>
      <c r="AI27" s="159">
        <f t="shared" si="12"/>
        <v>1.1290418703169444E-6</v>
      </c>
      <c r="AJ27" s="159">
        <f t="shared" si="13"/>
        <v>1.1809742957464317E-6</v>
      </c>
      <c r="AK27" s="159">
        <f t="shared" si="14"/>
        <v>1.1316722633711878E-6</v>
      </c>
      <c r="AL27" s="159">
        <f t="shared" si="15"/>
        <v>1.0841348997993901E-6</v>
      </c>
      <c r="AM27" s="159">
        <f t="shared" si="16"/>
        <v>1.0376709027082929E-6</v>
      </c>
    </row>
    <row r="28" spans="1:39" hidden="1" outlineLevel="1">
      <c r="A28" s="160" t="s">
        <v>365</v>
      </c>
      <c r="B28" s="133">
        <f>LOOKUP($A28,'GDP data'!$A$2:$A$192,'GDP data'!P$2:P$192)</f>
        <v>3.1990442246339068E-2</v>
      </c>
      <c r="C28" s="133">
        <f>LOOKUP($A28,'GDP data'!$A$2:$A$192,'GDP data'!Q$2:Q$192)</f>
        <v>4.3215904901726221E-2</v>
      </c>
      <c r="D28" s="133">
        <f>LOOKUP($A28,'GDP data'!$A$2:$A$192,'GDP data'!R$2:R$192)</f>
        <v>4.5529785928171584E-2</v>
      </c>
      <c r="E28" s="133">
        <f>LOOKUP($A28,'GDP data'!$A$2:$A$192,'GDP data'!S$2:S$192)</f>
        <v>4.8694002193957697E-2</v>
      </c>
      <c r="F28" s="133">
        <f>LOOKUP($A28,'GDP data'!$A$2:$A$192,'GDP data'!T$2:T$192)</f>
        <v>4.4985496757267374E-2</v>
      </c>
      <c r="G28" s="133">
        <f>LOOKUP($A28,'GDP data'!$A$2:$A$192,'GDP data'!U$2:U$192)</f>
        <v>4.1912636015864591E-2</v>
      </c>
      <c r="H28" s="133">
        <f>LOOKUP($A28,'GDP data'!$A$2:$A$192,'GDP data'!V$2:V$192)</f>
        <v>4.0070835432257201E-2</v>
      </c>
      <c r="I28" s="133">
        <f>LOOKUP($A28,'GDP data'!$A$2:$A$192,'GDP data'!W$2:W$192)</f>
        <v>3.76981650230932E-2</v>
      </c>
      <c r="L28" s="158">
        <f>LOOKUP($A28,'GDP data'!$A$2:$A$192,'GDP data'!D$2:D$192)</f>
        <v>1546.19</v>
      </c>
      <c r="M28" s="158">
        <f>LOOKUP($A28,'GDP data'!$A$2:$A$192,'GDP data'!E$2:E$192)</f>
        <v>1613.01</v>
      </c>
      <c r="N28" s="158">
        <f>LOOKUP($A28,'GDP data'!$A$2:$A$192,'GDP data'!F$2:F$192)</f>
        <v>1686.45</v>
      </c>
      <c r="O28" s="158">
        <f>LOOKUP($A28,'GDP data'!$A$2:$A$192,'GDP data'!G$2:G$192)</f>
        <v>1768.57</v>
      </c>
      <c r="P28" s="158">
        <f>LOOKUP($A28,'GDP data'!$A$2:$A$192,'GDP data'!H$2:H$192)</f>
        <v>1848.13</v>
      </c>
      <c r="Q28" s="158">
        <f>LOOKUP($A28,'GDP data'!$A$2:$A$192,'GDP data'!I$2:I$192)</f>
        <v>1925.59</v>
      </c>
      <c r="R28" s="158">
        <f>LOOKUP($A28,'GDP data'!$A$2:$A$192,'GDP data'!J$2:J$192)</f>
        <v>2002.75</v>
      </c>
      <c r="S28" s="158">
        <f>LOOKUP($A28,'GDP data'!$A$2:$A$192,'GDP data'!K$2:K$192)</f>
        <v>2078.25</v>
      </c>
      <c r="V28" s="133">
        <f t="shared" si="0"/>
        <v>3.335718172232946E-2</v>
      </c>
      <c r="W28" s="133">
        <f t="shared" si="1"/>
        <v>3.2885110493082355E-2</v>
      </c>
      <c r="X28" s="133">
        <f t="shared" si="2"/>
        <v>3.2385131056803955E-2</v>
      </c>
      <c r="Y28" s="133">
        <f t="shared" si="3"/>
        <v>3.1763661133854058E-2</v>
      </c>
      <c r="Z28" s="133">
        <f t="shared" si="4"/>
        <v>3.0999011422499931E-2</v>
      </c>
      <c r="AA28" s="133">
        <f t="shared" si="5"/>
        <v>3.0081942631206639E-2</v>
      </c>
      <c r="AB28" s="133">
        <f t="shared" si="6"/>
        <v>2.9156296909937689E-2</v>
      </c>
      <c r="AC28" s="133">
        <f t="shared" si="7"/>
        <v>2.8191268556759245E-2</v>
      </c>
      <c r="AF28" s="159">
        <f t="shared" si="9"/>
        <v>1.0671109953888178E-3</v>
      </c>
      <c r="AG28" s="159">
        <f t="shared" si="10"/>
        <v>1.4211598077518062E-3</v>
      </c>
      <c r="AH28" s="159">
        <f t="shared" si="11"/>
        <v>1.4744880842720652E-3</v>
      </c>
      <c r="AI28" s="159">
        <f t="shared" si="12"/>
        <v>1.5466997849400183E-3</v>
      </c>
      <c r="AJ28" s="159">
        <f t="shared" si="13"/>
        <v>1.3945059278253648E-3</v>
      </c>
      <c r="AK28" s="159">
        <f t="shared" si="14"/>
        <v>1.2608135121518838E-3</v>
      </c>
      <c r="AL28" s="159">
        <f t="shared" si="15"/>
        <v>1.1683171752921422E-3</v>
      </c>
      <c r="AM28" s="159">
        <f t="shared" si="16"/>
        <v>1.0627590942630485E-3</v>
      </c>
    </row>
    <row r="29" spans="1:39" s="156" customFormat="1" hidden="1" outlineLevel="1">
      <c r="A29" s="160" t="s">
        <v>374</v>
      </c>
      <c r="B29" s="133">
        <f>LOOKUP($A29,'GDP data'!$A$2:$A$192,'GDP data'!P$2:P$192)</f>
        <v>5.8885095810550236E-2</v>
      </c>
      <c r="C29" s="133">
        <f>LOOKUP($A29,'GDP data'!$A$2:$A$192,'GDP data'!Q$2:Q$192)</f>
        <v>1.8114971409568525E-2</v>
      </c>
      <c r="D29" s="133">
        <f>LOOKUP($A29,'GDP data'!$A$2:$A$192,'GDP data'!R$2:R$192)</f>
        <v>2.7746021376594543E-2</v>
      </c>
      <c r="E29" s="133">
        <f>LOOKUP($A29,'GDP data'!$A$2:$A$192,'GDP data'!S$2:S$192)</f>
        <v>3.7599759870047267E-2</v>
      </c>
      <c r="F29" s="133">
        <f>LOOKUP($A29,'GDP data'!$A$2:$A$192,'GDP data'!T$2:T$192)</f>
        <v>3.8423905182462637E-2</v>
      </c>
      <c r="G29" s="133">
        <f>LOOKUP($A29,'GDP data'!$A$2:$A$192,'GDP data'!U$2:U$192)</f>
        <v>4.1942858079264678E-2</v>
      </c>
      <c r="H29" s="133">
        <f>LOOKUP($A29,'GDP data'!$A$2:$A$192,'GDP data'!V$2:V$192)</f>
        <v>4.4241385275938461E-2</v>
      </c>
      <c r="I29" s="133">
        <f>LOOKUP($A29,'GDP data'!$A$2:$A$192,'GDP data'!W$2:W$192)</f>
        <v>4.4166817278149084E-2</v>
      </c>
      <c r="L29" s="158">
        <f>LOOKUP($A29,'GDP data'!$A$2:$A$192,'GDP data'!D$2:D$192)</f>
        <v>1082.53</v>
      </c>
      <c r="M29" s="158">
        <f>LOOKUP($A29,'GDP data'!$A$2:$A$192,'GDP data'!E$2:E$192)</f>
        <v>1102.1400000000001</v>
      </c>
      <c r="N29" s="158">
        <f>LOOKUP($A29,'GDP data'!$A$2:$A$192,'GDP data'!F$2:F$192)</f>
        <v>1132.72</v>
      </c>
      <c r="O29" s="158">
        <f>LOOKUP($A29,'GDP data'!$A$2:$A$192,'GDP data'!G$2:G$192)</f>
        <v>1175.31</v>
      </c>
      <c r="P29" s="158">
        <f>LOOKUP($A29,'GDP data'!$A$2:$A$192,'GDP data'!H$2:H$192)</f>
        <v>1220.47</v>
      </c>
      <c r="Q29" s="158">
        <f>LOOKUP($A29,'GDP data'!$A$2:$A$192,'GDP data'!I$2:I$192)</f>
        <v>1271.6600000000001</v>
      </c>
      <c r="R29" s="158">
        <f>LOOKUP($A29,'GDP data'!$A$2:$A$192,'GDP data'!J$2:J$192)</f>
        <v>1327.92</v>
      </c>
      <c r="S29" s="158">
        <f>LOOKUP($A29,'GDP data'!$A$2:$A$192,'GDP data'!K$2:K$192)</f>
        <v>1386.57</v>
      </c>
      <c r="V29" s="133">
        <f t="shared" si="0"/>
        <v>2.3354277242689001E-2</v>
      </c>
      <c r="W29" s="133">
        <f t="shared" si="1"/>
        <v>2.2469789820798253E-2</v>
      </c>
      <c r="X29" s="133">
        <f t="shared" si="2"/>
        <v>2.1751777788053588E-2</v>
      </c>
      <c r="Y29" s="133">
        <f t="shared" si="3"/>
        <v>2.1108663251796656E-2</v>
      </c>
      <c r="Z29" s="133">
        <f t="shared" si="4"/>
        <v>2.0471159210022287E-2</v>
      </c>
      <c r="AA29" s="133">
        <f t="shared" si="5"/>
        <v>1.9866120600127875E-2</v>
      </c>
      <c r="AB29" s="133">
        <f t="shared" si="6"/>
        <v>1.9332033350465339E-2</v>
      </c>
      <c r="AC29" s="133">
        <f t="shared" si="7"/>
        <v>1.8808693488630176E-2</v>
      </c>
      <c r="AF29" s="159">
        <f t="shared" ref="AF29:AM29" si="17">V29*B29</f>
        <v>1.3752188530218948E-3</v>
      </c>
      <c r="AG29" s="159">
        <f t="shared" si="17"/>
        <v>4.0703960018277424E-4</v>
      </c>
      <c r="AH29" s="159">
        <f t="shared" si="17"/>
        <v>6.035252914862692E-4</v>
      </c>
      <c r="AI29" s="159">
        <f t="shared" si="17"/>
        <v>7.9368066944524539E-4</v>
      </c>
      <c r="AJ29" s="159">
        <f t="shared" si="17"/>
        <v>7.8658188046099313E-4</v>
      </c>
      <c r="AK29" s="159">
        <f t="shared" si="17"/>
        <v>8.3324187691671988E-4</v>
      </c>
      <c r="AL29" s="159">
        <f t="shared" si="17"/>
        <v>8.5527593562522851E-4</v>
      </c>
      <c r="AM29" s="159">
        <f t="shared" si="17"/>
        <v>8.3072012855304144E-4</v>
      </c>
    </row>
    <row r="30" spans="1:39" hidden="1" outlineLevel="1">
      <c r="A30" s="160" t="s">
        <v>377</v>
      </c>
      <c r="B30" s="133">
        <f>LOOKUP($A30,'GDP data'!$A$2:$A$192,'GDP data'!P$2:P$192)</f>
        <v>2.7261474096321736E-2</v>
      </c>
      <c r="C30" s="133">
        <f>LOOKUP($A30,'GDP data'!$A$2:$A$192,'GDP data'!Q$2:Q$192)</f>
        <v>4.0568311319520989E-2</v>
      </c>
      <c r="D30" s="133">
        <f>LOOKUP($A30,'GDP data'!$A$2:$A$192,'GDP data'!R$2:R$192)</f>
        <v>4.5548802930061028E-2</v>
      </c>
      <c r="E30" s="133">
        <f>LOOKUP($A30,'GDP data'!$A$2:$A$192,'GDP data'!S$2:S$192)</f>
        <v>5.5146774733624726E-2</v>
      </c>
      <c r="F30" s="133">
        <f>LOOKUP($A30,'GDP data'!$A$2:$A$192,'GDP data'!T$2:T$192)</f>
        <v>5.4648721662570843E-2</v>
      </c>
      <c r="G30" s="133">
        <f>LOOKUP($A30,'GDP data'!$A$2:$A$192,'GDP data'!U$2:U$192)</f>
        <v>5.5983334619242431E-2</v>
      </c>
      <c r="H30" s="133">
        <f>LOOKUP($A30,'GDP data'!$A$2:$A$192,'GDP data'!V$2:V$192)</f>
        <v>5.2788859176128522E-2</v>
      </c>
      <c r="I30" s="133">
        <f>LOOKUP($A30,'GDP data'!$A$2:$A$192,'GDP data'!W$2:W$192)</f>
        <v>5.173813770464486E-2</v>
      </c>
      <c r="L30" s="158">
        <f>LOOKUP($A30,'GDP data'!$A$2:$A$192,'GDP data'!D$2:D$192)</f>
        <v>1070.54</v>
      </c>
      <c r="M30" s="158">
        <f>LOOKUP($A30,'GDP data'!$A$2:$A$192,'GDP data'!E$2:E$192)</f>
        <v>1113.97</v>
      </c>
      <c r="N30" s="158">
        <f>LOOKUP($A30,'GDP data'!$A$2:$A$192,'GDP data'!F$2:F$192)</f>
        <v>1164.71</v>
      </c>
      <c r="O30" s="158">
        <f>LOOKUP($A30,'GDP data'!$A$2:$A$192,'GDP data'!G$2:G$192)</f>
        <v>1228.94</v>
      </c>
      <c r="P30" s="158">
        <f>LOOKUP($A30,'GDP data'!$A$2:$A$192,'GDP data'!H$2:H$192)</f>
        <v>1296.0999999999999</v>
      </c>
      <c r="Q30" s="158">
        <f>LOOKUP($A30,'GDP data'!$A$2:$A$192,'GDP data'!I$2:I$192)</f>
        <v>1368.66</v>
      </c>
      <c r="R30" s="158">
        <f>LOOKUP($A30,'GDP data'!$A$2:$A$192,'GDP data'!J$2:J$192)</f>
        <v>1440.91</v>
      </c>
      <c r="S30" s="158">
        <f>LOOKUP($A30,'GDP data'!$A$2:$A$192,'GDP data'!K$2:K$192)</f>
        <v>1515.46</v>
      </c>
      <c r="V30" s="133">
        <f t="shared" si="0"/>
        <v>2.3095607474516441E-2</v>
      </c>
      <c r="W30" s="133">
        <f t="shared" si="1"/>
        <v>2.2710972985895285E-2</v>
      </c>
      <c r="X30" s="133">
        <f t="shared" si="2"/>
        <v>2.2366086153262847E-2</v>
      </c>
      <c r="Y30" s="133">
        <f t="shared" si="3"/>
        <v>2.2071862416437354E-2</v>
      </c>
      <c r="Z30" s="133">
        <f t="shared" si="4"/>
        <v>2.1739714578899838E-2</v>
      </c>
      <c r="AA30" s="133">
        <f t="shared" si="5"/>
        <v>2.1381473523246011E-2</v>
      </c>
      <c r="AB30" s="133">
        <f t="shared" si="6"/>
        <v>2.0976956574958593E-2</v>
      </c>
      <c r="AC30" s="133">
        <f t="shared" si="7"/>
        <v>2.055707438807957E-2</v>
      </c>
      <c r="AF30" s="159">
        <f t="shared" si="9"/>
        <v>6.2962030490534458E-4</v>
      </c>
      <c r="AG30" s="159">
        <f t="shared" si="10"/>
        <v>9.2134582246103109E-4</v>
      </c>
      <c r="AH30" s="159">
        <f t="shared" si="11"/>
        <v>1.0187484505117361E-3</v>
      </c>
      <c r="AI30" s="159">
        <f t="shared" si="12"/>
        <v>1.2171920246308286E-3</v>
      </c>
      <c r="AJ30" s="159">
        <f t="shared" si="13"/>
        <v>1.1880476110460308E-3</v>
      </c>
      <c r="AK30" s="159">
        <f t="shared" si="14"/>
        <v>1.1970061869043538E-3</v>
      </c>
      <c r="AL30" s="159">
        <f t="shared" si="15"/>
        <v>1.1073496065792524E-3</v>
      </c>
      <c r="AM30" s="159">
        <f t="shared" si="16"/>
        <v>1.0635847454950889E-3</v>
      </c>
    </row>
    <row r="31" spans="1:39" hidden="1" outlineLevel="1">
      <c r="A31" s="160" t="s">
        <v>378</v>
      </c>
      <c r="B31" s="133">
        <f>LOOKUP($A31,'GDP data'!$A$2:$A$192,'GDP data'!P$2:P$192)</f>
        <v>-0.24717935416936854</v>
      </c>
      <c r="C31" s="133">
        <f>LOOKUP($A31,'GDP data'!$A$2:$A$192,'GDP data'!Q$2:Q$192)</f>
        <v>0.22187769164513349</v>
      </c>
      <c r="D31" s="133">
        <f>LOOKUP($A31,'GDP data'!$A$2:$A$192,'GDP data'!R$2:R$192)</f>
        <v>-6.9928098124911853E-2</v>
      </c>
      <c r="E31" s="133">
        <f>LOOKUP($A31,'GDP data'!$A$2:$A$192,'GDP data'!S$2:S$192)</f>
        <v>-5.8511444596028528E-2</v>
      </c>
      <c r="F31" s="133">
        <f>LOOKUP($A31,'GDP data'!$A$2:$A$192,'GDP data'!T$2:T$192)</f>
        <v>1.8837546288842377E-2</v>
      </c>
      <c r="G31" s="133">
        <f>LOOKUP($A31,'GDP data'!$A$2:$A$192,'GDP data'!U$2:U$192)</f>
        <v>-2.3388116308470375E-2</v>
      </c>
      <c r="H31" s="133">
        <f>LOOKUP($A31,'GDP data'!$A$2:$A$192,'GDP data'!V$2:V$192)</f>
        <v>-1.6019417475727993E-2</v>
      </c>
      <c r="I31" s="133">
        <f>LOOKUP($A31,'GDP data'!$A$2:$A$192,'GDP data'!W$2:W$192)</f>
        <v>-4.275612563723219E-3</v>
      </c>
      <c r="L31" s="158">
        <f>LOOKUP($A31,'GDP data'!$A$2:$A$192,'GDP data'!D$2:D$192)</f>
        <v>5.8049999999999997</v>
      </c>
      <c r="M31" s="158">
        <f>LOOKUP($A31,'GDP data'!$A$2:$A$192,'GDP data'!E$2:E$192)</f>
        <v>7.093</v>
      </c>
      <c r="N31" s="158">
        <f>LOOKUP($A31,'GDP data'!$A$2:$A$192,'GDP data'!F$2:F$192)</f>
        <v>6.5970000000000004</v>
      </c>
      <c r="O31" s="158">
        <f>LOOKUP($A31,'GDP data'!$A$2:$A$192,'GDP data'!G$2:G$192)</f>
        <v>6.2110000000000003</v>
      </c>
      <c r="P31" s="158">
        <f>LOOKUP($A31,'GDP data'!$A$2:$A$192,'GDP data'!H$2:H$192)</f>
        <v>6.3280000000000003</v>
      </c>
      <c r="Q31" s="158">
        <f>LOOKUP($A31,'GDP data'!$A$2:$A$192,'GDP data'!I$2:I$192)</f>
        <v>6.18</v>
      </c>
      <c r="R31" s="158">
        <f>LOOKUP($A31,'GDP data'!$A$2:$A$192,'GDP data'!J$2:J$192)</f>
        <v>6.0810000000000004</v>
      </c>
      <c r="S31" s="158">
        <f>LOOKUP($A31,'GDP data'!$A$2:$A$192,'GDP data'!K$2:K$192)</f>
        <v>6.0549999999999997</v>
      </c>
      <c r="V31" s="133">
        <f t="shared" si="0"/>
        <v>1.2523586357312004E-4</v>
      </c>
      <c r="W31" s="133">
        <f t="shared" si="1"/>
        <v>1.4460796196392653E-4</v>
      </c>
      <c r="X31" s="133">
        <f t="shared" si="2"/>
        <v>1.2668309738310396E-4</v>
      </c>
      <c r="Y31" s="133">
        <f t="shared" si="3"/>
        <v>1.115500654779667E-4</v>
      </c>
      <c r="Z31" s="133">
        <f t="shared" si="4"/>
        <v>1.0614066341738923E-4</v>
      </c>
      <c r="AA31" s="133">
        <f t="shared" si="5"/>
        <v>9.6545165617217075E-5</v>
      </c>
      <c r="AB31" s="133">
        <f t="shared" si="6"/>
        <v>8.8527994761867986E-5</v>
      </c>
      <c r="AC31" s="133">
        <f t="shared" si="7"/>
        <v>8.2135513586516169E-5</v>
      </c>
      <c r="AF31" s="159">
        <f t="shared" si="9"/>
        <v>-3.095571987684696E-5</v>
      </c>
      <c r="AG31" s="159">
        <f t="shared" si="10"/>
        <v>3.2085280794063282E-5</v>
      </c>
      <c r="AH31" s="159">
        <f t="shared" si="11"/>
        <v>-8.8587080645734574E-6</v>
      </c>
      <c r="AI31" s="159">
        <f t="shared" si="12"/>
        <v>-6.5269554758974033E-6</v>
      </c>
      <c r="AJ31" s="159">
        <f t="shared" si="13"/>
        <v>1.9994296602535084E-6</v>
      </c>
      <c r="AK31" s="159">
        <f t="shared" si="14"/>
        <v>-2.2580095624760079E-6</v>
      </c>
      <c r="AL31" s="159">
        <f t="shared" si="15"/>
        <v>-1.4181669063794242E-6</v>
      </c>
      <c r="AM31" s="159">
        <f t="shared" si="16"/>
        <v>-3.511796338183677E-7</v>
      </c>
    </row>
    <row r="32" spans="1:39" hidden="1" outlineLevel="1">
      <c r="A32" s="160" t="s">
        <v>380</v>
      </c>
      <c r="B32" s="133">
        <f>LOOKUP($A32,'GDP data'!$A$2:$A$192,'GDP data'!P$2:P$192)</f>
        <v>4.7034764826175968E-2</v>
      </c>
      <c r="C32" s="133">
        <f>LOOKUP($A32,'GDP data'!$A$2:$A$192,'GDP data'!Q$2:Q$192)</f>
        <v>4.6875E-2</v>
      </c>
      <c r="D32" s="133">
        <f>LOOKUP($A32,'GDP data'!$A$2:$A$192,'GDP data'!R$2:R$192)</f>
        <v>4.4776119402985204E-2</v>
      </c>
      <c r="E32" s="133">
        <f>LOOKUP($A32,'GDP data'!$A$2:$A$192,'GDP data'!S$2:S$192)</f>
        <v>4.8214285714285543E-2</v>
      </c>
      <c r="F32" s="133">
        <f>LOOKUP($A32,'GDP data'!$A$2:$A$192,'GDP data'!T$2:T$192)</f>
        <v>5.110732538330498E-2</v>
      </c>
      <c r="G32" s="133">
        <f>LOOKUP($A32,'GDP data'!$A$2:$A$192,'GDP data'!U$2:U$192)</f>
        <v>5.1863857374392364E-2</v>
      </c>
      <c r="H32" s="133">
        <f>LOOKUP($A32,'GDP data'!$A$2:$A$192,'GDP data'!V$2:V$192)</f>
        <v>4.4684129429892083E-2</v>
      </c>
      <c r="I32" s="133">
        <f>LOOKUP($A32,'GDP data'!$A$2:$A$192,'GDP data'!W$2:W$192)</f>
        <v>3.834808259586997E-2</v>
      </c>
      <c r="L32" s="158">
        <f>LOOKUP($A32,'GDP data'!$A$2:$A$192,'GDP data'!D$2:D$192)</f>
        <v>0.51200000000000001</v>
      </c>
      <c r="M32" s="158">
        <f>LOOKUP($A32,'GDP data'!$A$2:$A$192,'GDP data'!E$2:E$192)</f>
        <v>0.53600000000000003</v>
      </c>
      <c r="N32" s="158">
        <f>LOOKUP($A32,'GDP data'!$A$2:$A$192,'GDP data'!F$2:F$192)</f>
        <v>0.56000000000000005</v>
      </c>
      <c r="O32" s="158">
        <f>LOOKUP($A32,'GDP data'!$A$2:$A$192,'GDP data'!G$2:G$192)</f>
        <v>0.58699999999999997</v>
      </c>
      <c r="P32" s="158">
        <f>LOOKUP($A32,'GDP data'!$A$2:$A$192,'GDP data'!H$2:H$192)</f>
        <v>0.61699999999999999</v>
      </c>
      <c r="Q32" s="158">
        <f>LOOKUP($A32,'GDP data'!$A$2:$A$192,'GDP data'!I$2:I$192)</f>
        <v>0.64900000000000002</v>
      </c>
      <c r="R32" s="158">
        <f>LOOKUP($A32,'GDP data'!$A$2:$A$192,'GDP data'!J$2:J$192)</f>
        <v>0.67800000000000005</v>
      </c>
      <c r="S32" s="158">
        <f>LOOKUP($A32,'GDP data'!$A$2:$A$192,'GDP data'!K$2:K$192)</f>
        <v>0.70399999999999996</v>
      </c>
      <c r="V32" s="133">
        <f t="shared" si="0"/>
        <v>1.1045781593357015E-5</v>
      </c>
      <c r="W32" s="133">
        <f t="shared" si="1"/>
        <v>1.0927656508200287E-5</v>
      </c>
      <c r="X32" s="133">
        <f t="shared" si="2"/>
        <v>1.0753756940205885E-5</v>
      </c>
      <c r="Y32" s="133">
        <f t="shared" si="3"/>
        <v>1.0542567772591603E-5</v>
      </c>
      <c r="Z32" s="133">
        <f t="shared" si="4"/>
        <v>1.0349050146733431E-5</v>
      </c>
      <c r="AA32" s="133">
        <f t="shared" si="5"/>
        <v>1.0138804609316162E-5</v>
      </c>
      <c r="AB32" s="133">
        <f t="shared" si="6"/>
        <v>9.8704128348209979E-6</v>
      </c>
      <c r="AC32" s="133">
        <f t="shared" si="7"/>
        <v>9.5496947258311126E-6</v>
      </c>
      <c r="AF32" s="159">
        <f t="shared" si="9"/>
        <v>5.1953573956485049E-7</v>
      </c>
      <c r="AG32" s="159">
        <f t="shared" si="10"/>
        <v>5.1223389882188844E-7</v>
      </c>
      <c r="AH32" s="159">
        <f t="shared" si="11"/>
        <v>4.8151150478533949E-7</v>
      </c>
      <c r="AI32" s="159">
        <f t="shared" si="12"/>
        <v>5.0830237474995048E-7</v>
      </c>
      <c r="AJ32" s="159">
        <f t="shared" si="13"/>
        <v>5.2891227325724558E-7</v>
      </c>
      <c r="AK32" s="159">
        <f t="shared" si="14"/>
        <v>5.2583751620440529E-7</v>
      </c>
      <c r="AL32" s="159">
        <f t="shared" si="15"/>
        <v>4.410508046376095E-7</v>
      </c>
      <c r="AM32" s="159">
        <f t="shared" si="16"/>
        <v>3.6621248211151533E-7</v>
      </c>
    </row>
    <row r="33" spans="1:39" hidden="1" outlineLevel="1">
      <c r="A33" s="160" t="s">
        <v>385</v>
      </c>
      <c r="B33" s="133">
        <f>LOOKUP($A33,'GDP data'!$A$2:$A$192,'GDP data'!P$2:P$192)</f>
        <v>3.0303030303030276E-2</v>
      </c>
      <c r="C33" s="133">
        <f>LOOKUP($A33,'GDP data'!$A$2:$A$192,'GDP data'!Q$2:Q$192)</f>
        <v>0.11764705882352922</v>
      </c>
      <c r="D33" s="133">
        <f>LOOKUP($A33,'GDP data'!$A$2:$A$192,'GDP data'!R$2:R$192)</f>
        <v>5.2631578947368363E-2</v>
      </c>
      <c r="E33" s="133">
        <f>LOOKUP($A33,'GDP data'!$A$2:$A$192,'GDP data'!S$2:S$192)</f>
        <v>5.0000000000000044E-2</v>
      </c>
      <c r="F33" s="133">
        <f>LOOKUP($A33,'GDP data'!$A$2:$A$192,'GDP data'!T$2:T$192)</f>
        <v>2.3809523809523725E-2</v>
      </c>
      <c r="G33" s="133">
        <f>LOOKUP($A33,'GDP data'!$A$2:$A$192,'GDP data'!U$2:U$192)</f>
        <v>4.6511627906976827E-2</v>
      </c>
      <c r="H33" s="133">
        <f>LOOKUP($A33,'GDP data'!$A$2:$A$192,'GDP data'!V$2:V$192)</f>
        <v>4.4444444444444509E-2</v>
      </c>
      <c r="I33" s="133">
        <f>LOOKUP($A33,'GDP data'!$A$2:$A$192,'GDP data'!W$2:W$192)</f>
        <v>4.2553191489361764E-2</v>
      </c>
      <c r="L33" s="158">
        <f>LOOKUP($A33,'GDP data'!$A$2:$A$192,'GDP data'!D$2:D$192)</f>
        <v>3.4000000000000002E-2</v>
      </c>
      <c r="M33" s="158">
        <f>LOOKUP($A33,'GDP data'!$A$2:$A$192,'GDP data'!E$2:E$192)</f>
        <v>3.7999999999999999E-2</v>
      </c>
      <c r="N33" s="158">
        <f>LOOKUP($A33,'GDP data'!$A$2:$A$192,'GDP data'!F$2:F$192)</f>
        <v>0.04</v>
      </c>
      <c r="O33" s="158">
        <f>LOOKUP($A33,'GDP data'!$A$2:$A$192,'GDP data'!G$2:G$192)</f>
        <v>4.2000000000000003E-2</v>
      </c>
      <c r="P33" s="158">
        <f>LOOKUP($A33,'GDP data'!$A$2:$A$192,'GDP data'!H$2:H$192)</f>
        <v>4.2999999999999997E-2</v>
      </c>
      <c r="Q33" s="158">
        <f>LOOKUP($A33,'GDP data'!$A$2:$A$192,'GDP data'!I$2:I$192)</f>
        <v>4.4999999999999998E-2</v>
      </c>
      <c r="R33" s="158">
        <f>LOOKUP($A33,'GDP data'!$A$2:$A$192,'GDP data'!J$2:J$192)</f>
        <v>4.7E-2</v>
      </c>
      <c r="S33" s="158">
        <f>LOOKUP($A33,'GDP data'!$A$2:$A$192,'GDP data'!K$2:K$192)</f>
        <v>4.9000000000000002E-2</v>
      </c>
      <c r="V33" s="133">
        <f t="shared" si="0"/>
        <v>7.3350893393386426E-7</v>
      </c>
      <c r="W33" s="133">
        <f t="shared" si="1"/>
        <v>7.7472191662613963E-7</v>
      </c>
      <c r="X33" s="133">
        <f t="shared" si="2"/>
        <v>7.6812549572899176E-7</v>
      </c>
      <c r="Y33" s="133">
        <f t="shared" si="3"/>
        <v>7.5432341814113692E-7</v>
      </c>
      <c r="Z33" s="133">
        <f t="shared" si="4"/>
        <v>7.2124660666051465E-7</v>
      </c>
      <c r="AA33" s="133">
        <f t="shared" si="5"/>
        <v>7.0299877876614373E-7</v>
      </c>
      <c r="AB33" s="133">
        <f t="shared" si="6"/>
        <v>6.8423215816605734E-7</v>
      </c>
      <c r="AC33" s="133">
        <f t="shared" si="7"/>
        <v>6.6468045676949503E-7</v>
      </c>
      <c r="AF33" s="159">
        <f t="shared" si="9"/>
        <v>2.222754345254132E-8</v>
      </c>
      <c r="AG33" s="159">
        <f t="shared" si="10"/>
        <v>9.1143754897192749E-8</v>
      </c>
      <c r="AH33" s="159">
        <f t="shared" si="11"/>
        <v>4.0427657669946889E-8</v>
      </c>
      <c r="AI33" s="159">
        <f t="shared" si="12"/>
        <v>3.7716170907056878E-8</v>
      </c>
      <c r="AJ33" s="159">
        <f t="shared" si="13"/>
        <v>1.7172538253821717E-8</v>
      </c>
      <c r="AK33" s="159">
        <f t="shared" si="14"/>
        <v>3.2697617617029998E-8</v>
      </c>
      <c r="AL33" s="159">
        <f t="shared" si="15"/>
        <v>3.04103181407137E-8</v>
      </c>
      <c r="AM33" s="159">
        <f t="shared" si="16"/>
        <v>2.8284274756148765E-8</v>
      </c>
    </row>
    <row r="34" spans="1:39" hidden="1" outlineLevel="1">
      <c r="A34" s="160" t="s">
        <v>393</v>
      </c>
      <c r="B34" s="133">
        <f>LOOKUP($A34,'GDP data'!$A$2:$A$192,'GDP data'!P$2:P$192)</f>
        <v>4.1095890410958846E-2</v>
      </c>
      <c r="C34" s="133">
        <f>LOOKUP($A34,'GDP data'!$A$2:$A$192,'GDP data'!Q$2:Q$192)</f>
        <v>2.7777777777777679E-2</v>
      </c>
      <c r="D34" s="133">
        <f>LOOKUP($A34,'GDP data'!$A$2:$A$192,'GDP data'!R$2:R$192)</f>
        <v>5.2631578947368363E-2</v>
      </c>
      <c r="E34" s="133">
        <f>LOOKUP($A34,'GDP data'!$A$2:$A$192,'GDP data'!S$2:S$192)</f>
        <v>6.3513513513513642E-2</v>
      </c>
      <c r="F34" s="133">
        <f>LOOKUP($A34,'GDP data'!$A$2:$A$192,'GDP data'!T$2:T$192)</f>
        <v>5.9720457433290797E-2</v>
      </c>
      <c r="G34" s="133">
        <f>LOOKUP($A34,'GDP data'!$A$2:$A$192,'GDP data'!U$2:U$192)</f>
        <v>5.755395683453246E-2</v>
      </c>
      <c r="H34" s="133">
        <f>LOOKUP($A34,'GDP data'!$A$2:$A$192,'GDP data'!V$2:V$192)</f>
        <v>5.2154195011338E-2</v>
      </c>
      <c r="I34" s="133">
        <f>LOOKUP($A34,'GDP data'!$A$2:$A$192,'GDP data'!W$2:W$192)</f>
        <v>5.06465517241379E-2</v>
      </c>
      <c r="L34" s="158">
        <f>LOOKUP($A34,'GDP data'!$A$2:$A$192,'GDP data'!D$2:D$192)</f>
        <v>0.68400000000000005</v>
      </c>
      <c r="M34" s="158">
        <f>LOOKUP($A34,'GDP data'!$A$2:$A$192,'GDP data'!E$2:E$192)</f>
        <v>0.70299999999999996</v>
      </c>
      <c r="N34" s="158">
        <f>LOOKUP($A34,'GDP data'!$A$2:$A$192,'GDP data'!F$2:F$192)</f>
        <v>0.74</v>
      </c>
      <c r="O34" s="158">
        <f>LOOKUP($A34,'GDP data'!$A$2:$A$192,'GDP data'!G$2:G$192)</f>
        <v>0.78700000000000003</v>
      </c>
      <c r="P34" s="158">
        <f>LOOKUP($A34,'GDP data'!$A$2:$A$192,'GDP data'!H$2:H$192)</f>
        <v>0.83399999999999996</v>
      </c>
      <c r="Q34" s="158">
        <f>LOOKUP($A34,'GDP data'!$A$2:$A$192,'GDP data'!I$2:I$192)</f>
        <v>0.88200000000000001</v>
      </c>
      <c r="R34" s="158">
        <f>LOOKUP($A34,'GDP data'!$A$2:$A$192,'GDP data'!J$2:J$192)</f>
        <v>0.92800000000000005</v>
      </c>
      <c r="S34" s="158">
        <f>LOOKUP($A34,'GDP data'!$A$2:$A$192,'GDP data'!K$2:K$192)</f>
        <v>0.97499999999999998</v>
      </c>
      <c r="V34" s="133">
        <f t="shared" si="0"/>
        <v>1.4756473847375387E-5</v>
      </c>
      <c r="W34" s="133">
        <f t="shared" si="1"/>
        <v>1.4332355457583582E-5</v>
      </c>
      <c r="X34" s="133">
        <f t="shared" si="2"/>
        <v>1.4210321670986345E-5</v>
      </c>
      <c r="Y34" s="133">
        <f t="shared" si="3"/>
        <v>1.4134584049454161E-5</v>
      </c>
      <c r="Z34" s="133">
        <f t="shared" si="4"/>
        <v>1.3988829533834168E-5</v>
      </c>
      <c r="AA34" s="133">
        <f t="shared" si="5"/>
        <v>1.3778776063816418E-5</v>
      </c>
      <c r="AB34" s="133">
        <f t="shared" si="6"/>
        <v>1.3509945591023431E-5</v>
      </c>
      <c r="AC34" s="133">
        <f t="shared" si="7"/>
        <v>1.322578459898485E-5</v>
      </c>
      <c r="AF34" s="159">
        <f t="shared" si="9"/>
        <v>6.0643043208391914E-7</v>
      </c>
      <c r="AG34" s="159">
        <f t="shared" si="10"/>
        <v>3.9812098493287586E-7</v>
      </c>
      <c r="AH34" s="159">
        <f t="shared" si="11"/>
        <v>7.4791166689401738E-7</v>
      </c>
      <c r="AI34" s="159">
        <f t="shared" si="12"/>
        <v>8.9773709503290118E-7</v>
      </c>
      <c r="AJ34" s="159">
        <f t="shared" si="13"/>
        <v>8.3541929871690454E-7</v>
      </c>
      <c r="AK34" s="159">
        <f t="shared" si="14"/>
        <v>7.9302308280957921E-7</v>
      </c>
      <c r="AL34" s="159">
        <f t="shared" si="15"/>
        <v>7.0460033694680204E-7</v>
      </c>
      <c r="AM34" s="159">
        <f t="shared" si="16"/>
        <v>6.6984038378479263E-7</v>
      </c>
    </row>
    <row r="35" spans="1:39" hidden="1" outlineLevel="1">
      <c r="A35" s="160" t="s">
        <v>395</v>
      </c>
      <c r="B35" s="133">
        <f>LOOKUP($A35,'GDP data'!$A$2:$A$192,'GDP data'!P$2:P$192)</f>
        <v>1.6028486415296861E-2</v>
      </c>
      <c r="C35" s="133">
        <f>LOOKUP($A35,'GDP data'!$A$2:$A$192,'GDP data'!Q$2:Q$192)</f>
        <v>-0.27316895187617629</v>
      </c>
      <c r="D35" s="133">
        <f>LOOKUP($A35,'GDP data'!$A$2:$A$192,'GDP data'!R$2:R$192)</f>
        <v>-8.6277048270759993E-2</v>
      </c>
      <c r="E35" s="133">
        <f>LOOKUP($A35,'GDP data'!$A$2:$A$192,'GDP data'!S$2:S$192)</f>
        <v>-3.0795032313098991E-3</v>
      </c>
      <c r="F35" s="133">
        <f>LOOKUP($A35,'GDP data'!$A$2:$A$192,'GDP data'!T$2:T$192)</f>
        <v>0.10649128404443542</v>
      </c>
      <c r="G35" s="133">
        <f>LOOKUP($A35,'GDP data'!$A$2:$A$192,'GDP data'!U$2:U$192)</f>
        <v>0.15885290378389727</v>
      </c>
      <c r="H35" s="133">
        <f>LOOKUP($A35,'GDP data'!$A$2:$A$192,'GDP data'!V$2:V$192)</f>
        <v>9.6384179512989387E-2</v>
      </c>
      <c r="I35" s="133">
        <f>LOOKUP($A35,'GDP data'!$A$2:$A$192,'GDP data'!W$2:W$192)</f>
        <v>7.7120663510042542E-2</v>
      </c>
      <c r="L35" s="158">
        <f>LOOKUP($A35,'GDP data'!$A$2:$A$192,'GDP data'!D$2:D$192)</f>
        <v>104.148</v>
      </c>
      <c r="M35" s="158">
        <f>LOOKUP($A35,'GDP data'!$A$2:$A$192,'GDP data'!E$2:E$192)</f>
        <v>75.697999999999993</v>
      </c>
      <c r="N35" s="158">
        <f>LOOKUP($A35,'GDP data'!$A$2:$A$192,'GDP data'!F$2:F$192)</f>
        <v>69.167000000000002</v>
      </c>
      <c r="O35" s="158">
        <f>LOOKUP($A35,'GDP data'!$A$2:$A$192,'GDP data'!G$2:G$192)</f>
        <v>68.953999999999994</v>
      </c>
      <c r="P35" s="158">
        <f>LOOKUP($A35,'GDP data'!$A$2:$A$192,'GDP data'!H$2:H$192)</f>
        <v>76.296999999999997</v>
      </c>
      <c r="Q35" s="158">
        <f>LOOKUP($A35,'GDP data'!$A$2:$A$192,'GDP data'!I$2:I$192)</f>
        <v>88.417000000000002</v>
      </c>
      <c r="R35" s="158">
        <f>LOOKUP($A35,'GDP data'!$A$2:$A$192,'GDP data'!J$2:J$192)</f>
        <v>96.938999999999993</v>
      </c>
      <c r="S35" s="158">
        <f>LOOKUP($A35,'GDP data'!$A$2:$A$192,'GDP data'!K$2:K$192)</f>
        <v>104.41500000000001</v>
      </c>
      <c r="V35" s="133">
        <f t="shared" si="0"/>
        <v>2.2468673073924731E-3</v>
      </c>
      <c r="W35" s="133">
        <f t="shared" si="1"/>
        <v>1.5432868327569871E-3</v>
      </c>
      <c r="X35" s="133">
        <f t="shared" si="2"/>
        <v>1.3282234040771792E-3</v>
      </c>
      <c r="Y35" s="133">
        <f t="shared" si="3"/>
        <v>1.2384194517739036E-3</v>
      </c>
      <c r="Z35" s="133">
        <f t="shared" si="4"/>
        <v>1.2797430778692391E-3</v>
      </c>
      <c r="AA35" s="133">
        <f t="shared" si="5"/>
        <v>1.3812676227148029E-3</v>
      </c>
      <c r="AB35" s="133">
        <f t="shared" si="6"/>
        <v>1.4112506634140305E-3</v>
      </c>
      <c r="AC35" s="133">
        <f t="shared" si="7"/>
        <v>1.4163797937466699E-3</v>
      </c>
      <c r="AF35" s="159">
        <f t="shared" si="9"/>
        <v>3.6013882113514892E-5</v>
      </c>
      <c r="AG35" s="159">
        <f t="shared" si="10"/>
        <v>-4.2157804654852993E-4</v>
      </c>
      <c r="AH35" s="159">
        <f t="shared" si="11"/>
        <v>-1.1459519474791995E-4</v>
      </c>
      <c r="AI35" s="159">
        <f t="shared" si="12"/>
        <v>-3.81371670345477E-6</v>
      </c>
      <c r="AJ35" s="159">
        <f t="shared" si="13"/>
        <v>1.3628148360927318E-4</v>
      </c>
      <c r="AK35" s="159">
        <f t="shared" si="14"/>
        <v>2.1941837277092711E-4</v>
      </c>
      <c r="AL35" s="159">
        <f t="shared" si="15"/>
        <v>1.3602223728032329E-4</v>
      </c>
      <c r="AM35" s="159">
        <f t="shared" si="16"/>
        <v>1.0923214947596039E-4</v>
      </c>
    </row>
    <row r="36" spans="1:39" s="1131" customFormat="1" ht="38.1" hidden="1" customHeight="1" outlineLevel="1">
      <c r="B36" s="1132"/>
      <c r="V36" s="1132"/>
      <c r="W36" s="1132"/>
      <c r="X36" s="1132"/>
      <c r="Y36" s="1132"/>
      <c r="Z36" s="1132"/>
      <c r="AA36" s="1132"/>
      <c r="AB36" s="1132"/>
      <c r="AC36" s="1132"/>
      <c r="AE36" s="1133" t="s">
        <v>403</v>
      </c>
      <c r="AF36" s="1134">
        <f t="shared" ref="AF36:AM36" si="18">SUM(AF2:AF35)</f>
        <v>6.9065081391391364E-2</v>
      </c>
      <c r="AG36" s="1134">
        <f t="shared" si="18"/>
        <v>5.9474344662494079E-2</v>
      </c>
      <c r="AH36" s="1134">
        <f t="shared" si="18"/>
        <v>6.2368729827008751E-2</v>
      </c>
      <c r="AI36" s="1134">
        <f t="shared" si="18"/>
        <v>6.9689496274861484E-2</v>
      </c>
      <c r="AJ36" s="1134">
        <f t="shared" si="18"/>
        <v>7.1319414412331555E-2</v>
      </c>
      <c r="AK36" s="1134">
        <f t="shared" si="18"/>
        <v>7.4234829048826154E-2</v>
      </c>
      <c r="AL36" s="1134">
        <f t="shared" si="18"/>
        <v>7.3680383429939433E-2</v>
      </c>
      <c r="AM36" s="1134">
        <f t="shared" si="18"/>
        <v>7.3762789459533157E-2</v>
      </c>
    </row>
    <row r="37" spans="1:39" ht="21.95" hidden="1" customHeight="1" outlineLevel="1">
      <c r="V37" s="133"/>
      <c r="W37" s="133"/>
      <c r="X37" s="133"/>
      <c r="Y37" s="133"/>
      <c r="Z37" s="133"/>
      <c r="AA37" s="133"/>
      <c r="AB37" s="133"/>
      <c r="AC37" s="133"/>
      <c r="AE37" s="1133" t="s">
        <v>404</v>
      </c>
      <c r="AF37" s="167">
        <f>AF36^1/4</f>
        <v>1.7266270347847841E-2</v>
      </c>
      <c r="AG37" s="167">
        <f t="shared" ref="AG37:AM37" si="19">AG36^1/4</f>
        <v>1.486858616562352E-2</v>
      </c>
      <c r="AH37" s="167">
        <f t="shared" si="19"/>
        <v>1.5592182456752188E-2</v>
      </c>
      <c r="AI37" s="167">
        <f t="shared" si="19"/>
        <v>1.7422374068715371E-2</v>
      </c>
      <c r="AJ37" s="167">
        <f t="shared" si="19"/>
        <v>1.7829853603082889E-2</v>
      </c>
      <c r="AK37" s="167">
        <f t="shared" si="19"/>
        <v>1.8558707262206538E-2</v>
      </c>
      <c r="AL37" s="167">
        <f t="shared" si="19"/>
        <v>1.8420095857484858E-2</v>
      </c>
      <c r="AM37" s="167">
        <f t="shared" si="19"/>
        <v>1.8440697364883289E-2</v>
      </c>
    </row>
    <row r="38" spans="1:39" s="152" customFormat="1" hidden="1" outlineLevel="1">
      <c r="V38" s="949"/>
      <c r="W38" s="949"/>
      <c r="X38" s="949"/>
      <c r="Y38" s="949"/>
      <c r="Z38" s="949"/>
      <c r="AA38" s="949"/>
      <c r="AB38" s="949"/>
      <c r="AC38" s="949"/>
      <c r="AF38" s="950"/>
      <c r="AG38" s="950"/>
      <c r="AH38" s="950"/>
      <c r="AI38" s="950"/>
      <c r="AJ38" s="950"/>
      <c r="AK38" s="950"/>
      <c r="AL38" s="950"/>
      <c r="AM38" s="950"/>
    </row>
    <row r="39" spans="1:39" s="851" customFormat="1" collapsed="1">
      <c r="A39" s="2" t="s">
        <v>172</v>
      </c>
      <c r="B39"/>
      <c r="C39"/>
      <c r="D39"/>
      <c r="E39"/>
      <c r="F39"/>
      <c r="G39"/>
      <c r="H39"/>
      <c r="I39"/>
      <c r="V39" s="133"/>
      <c r="W39" s="133"/>
      <c r="X39" s="133"/>
      <c r="Y39" s="133"/>
      <c r="Z39" s="133"/>
      <c r="AA39" s="133"/>
      <c r="AB39" s="133"/>
      <c r="AC39" s="133"/>
    </row>
    <row r="40" spans="1:39" s="851" customFormat="1" hidden="1" outlineLevel="1">
      <c r="A40" s="1" t="s">
        <v>406</v>
      </c>
      <c r="B40" s="133">
        <f>LOOKUP($A39,'GDP data'!$A$2:$A$192,'GDP data'!P$2:P$192)</f>
        <v>4.4458707843766598E-2</v>
      </c>
      <c r="C40" s="133">
        <f>LOOKUP($A39,'GDP data'!$A$2:$A$192,'GDP data'!Q$2:Q$192)</f>
        <v>5.2133508113807681E-2</v>
      </c>
      <c r="D40" s="133">
        <f>LOOKUP($A39,'GDP data'!$A$2:$A$192,'GDP data'!R$2:R$192)</f>
        <v>4.4942757915039211E-2</v>
      </c>
      <c r="E40" s="133">
        <f>LOOKUP($A39,'GDP data'!$A$2:$A$192,'GDP data'!S$2:S$192)</f>
        <v>4.8941192555775448E-2</v>
      </c>
      <c r="F40" s="133">
        <f>LOOKUP($A39,'GDP data'!$A$2:$A$192,'GDP data'!T$2:T$192)</f>
        <v>4.3747951381367889E-2</v>
      </c>
      <c r="G40" s="133">
        <f>LOOKUP($A39,'GDP data'!$A$2:$A$192,'GDP data'!U$2:U$192)</f>
        <v>4.2430341808137984E-2</v>
      </c>
      <c r="H40" s="133">
        <f>LOOKUP($A39,'GDP data'!$A$2:$A$192,'GDP data'!V$2:V$192)</f>
        <v>4.0997498326345028E-2</v>
      </c>
      <c r="I40" s="133">
        <f>LOOKUP($A39,'GDP data'!$A$2:$A$192,'GDP data'!W$2:W$192)</f>
        <v>3.9557211059230823E-2</v>
      </c>
      <c r="V40" s="133"/>
      <c r="W40" s="133"/>
      <c r="X40" s="133"/>
      <c r="Y40" s="133"/>
      <c r="Z40" s="133"/>
      <c r="AA40" s="133"/>
      <c r="AB40" s="133"/>
      <c r="AC40" s="133"/>
    </row>
    <row r="41" spans="1:39" s="851" customFormat="1" hidden="1" outlineLevel="1">
      <c r="A41" s="161" t="s">
        <v>405</v>
      </c>
      <c r="B41" s="133">
        <f>B40^1/4</f>
        <v>1.111467696094165E-2</v>
      </c>
      <c r="C41" s="133">
        <f t="shared" ref="C41:I41" si="20">C40^1/4</f>
        <v>1.303337702845192E-2</v>
      </c>
      <c r="D41" s="133">
        <f t="shared" si="20"/>
        <v>1.1235689478759803E-2</v>
      </c>
      <c r="E41" s="133">
        <f t="shared" si="20"/>
        <v>1.2235298138943862E-2</v>
      </c>
      <c r="F41" s="133">
        <f t="shared" si="20"/>
        <v>1.0936987845341972E-2</v>
      </c>
      <c r="G41" s="133">
        <f t="shared" si="20"/>
        <v>1.0607585452034496E-2</v>
      </c>
      <c r="H41" s="133">
        <f t="shared" si="20"/>
        <v>1.0249374581586257E-2</v>
      </c>
      <c r="I41" s="133">
        <f t="shared" si="20"/>
        <v>9.8893027648077059E-3</v>
      </c>
      <c r="V41" s="133"/>
      <c r="W41" s="133"/>
      <c r="X41" s="133"/>
      <c r="Y41" s="133"/>
      <c r="Z41" s="133"/>
      <c r="AA41" s="133"/>
      <c r="AB41" s="133"/>
      <c r="AC41" s="133"/>
    </row>
    <row r="42" spans="1:39" s="152" customFormat="1" hidden="1" outlineLevel="1">
      <c r="V42" s="949"/>
      <c r="W42" s="949"/>
      <c r="X42" s="949"/>
      <c r="Y42" s="949"/>
      <c r="Z42" s="949"/>
      <c r="AA42" s="949"/>
      <c r="AB42" s="949"/>
      <c r="AC42" s="949"/>
    </row>
    <row r="43" spans="1:39" collapsed="1">
      <c r="A43" s="2" t="s">
        <v>173</v>
      </c>
      <c r="V43" s="133"/>
      <c r="W43" s="133"/>
      <c r="X43" s="133"/>
      <c r="Y43" s="133"/>
      <c r="Z43" s="133"/>
      <c r="AA43" s="133"/>
      <c r="AB43" s="133"/>
      <c r="AC43" s="133"/>
    </row>
    <row r="44" spans="1:39" hidden="1" outlineLevel="2">
      <c r="A44" s="160" t="s">
        <v>210</v>
      </c>
      <c r="B44" s="133">
        <f>LOOKUP($A44,'GDP data'!$A$2:$A$192,'GDP data'!P$2:P$192)</f>
        <v>3.5999208808597638E-2</v>
      </c>
      <c r="C44" s="133">
        <f>LOOKUP($A44,'GDP data'!$A$2:$A$192,'GDP data'!Q$2:Q$192)</f>
        <v>3.3380003818494375E-2</v>
      </c>
      <c r="D44" s="133">
        <f>LOOKUP($A44,'GDP data'!$A$2:$A$192,'GDP data'!R$2:R$192)</f>
        <v>4.6866820631254802E-2</v>
      </c>
      <c r="E44" s="133">
        <f>LOOKUP($A44,'GDP data'!$A$2:$A$192,'GDP data'!S$2:S$192)</f>
        <v>5.509309644968674E-2</v>
      </c>
      <c r="F44" s="133">
        <f>LOOKUP($A44,'GDP data'!$A$2:$A$192,'GDP data'!T$2:T$192)</f>
        <v>5.7234457764148372E-2</v>
      </c>
      <c r="G44" s="133">
        <f>LOOKUP($A44,'GDP data'!$A$2:$A$192,'GDP data'!U$2:U$192)</f>
        <v>5.9858133586477846E-2</v>
      </c>
      <c r="H44" s="133">
        <f>LOOKUP($A44,'GDP data'!$A$2:$A$192,'GDP data'!V$2:V$192)</f>
        <v>6.0657328390515852E-2</v>
      </c>
      <c r="I44" s="133">
        <f>LOOKUP($A44,'GDP data'!$A$2:$A$192,'GDP data'!W$2:W$192)</f>
        <v>6.0589711712134342E-2</v>
      </c>
      <c r="J44" s="851"/>
      <c r="K44" s="133"/>
      <c r="L44" s="158">
        <f>LOOKUP($A44,'GDP data'!$A$2:$A$192,'GDP data'!D$2:D$192)</f>
        <v>31.425999999999998</v>
      </c>
      <c r="M44" s="158">
        <f>LOOKUP($A44,'GDP data'!$A$2:$A$192,'GDP data'!E$2:E$192)</f>
        <v>32.475000000000001</v>
      </c>
      <c r="N44" s="158">
        <f>LOOKUP($A44,'GDP data'!$A$2:$A$192,'GDP data'!F$2:F$192)</f>
        <v>33.997</v>
      </c>
      <c r="O44" s="158">
        <f>LOOKUP($A44,'GDP data'!$A$2:$A$192,'GDP data'!G$2:G$192)</f>
        <v>35.869999999999997</v>
      </c>
      <c r="P44" s="158">
        <f>LOOKUP($A44,'GDP data'!$A$2:$A$192,'GDP data'!H$2:H$192)</f>
        <v>37.923000000000002</v>
      </c>
      <c r="Q44" s="158">
        <f>LOOKUP($A44,'GDP data'!$A$2:$A$192,'GDP data'!I$2:I$192)</f>
        <v>40.192999999999998</v>
      </c>
      <c r="R44" s="158">
        <f>LOOKUP($A44,'GDP data'!$A$2:$A$192,'GDP data'!J$2:J$192)</f>
        <v>42.631</v>
      </c>
      <c r="S44" s="158">
        <f>LOOKUP($A44,'GDP data'!$A$2:$A$192,'GDP data'!K$2:K$192)</f>
        <v>45.213999999999999</v>
      </c>
      <c r="T44" s="156"/>
      <c r="U44" s="156"/>
      <c r="V44" s="133">
        <f>L44/SUM(L$44:L$144)</f>
        <v>7.1403920453769556E-4</v>
      </c>
      <c r="W44" s="133">
        <f t="shared" ref="W44:AC44" si="21">M44/SUM(M$44:M$144)</f>
        <v>6.9778401630470369E-4</v>
      </c>
      <c r="X44" s="133">
        <f t="shared" si="21"/>
        <v>6.9288513133563558E-4</v>
      </c>
      <c r="Y44" s="133">
        <f t="shared" si="21"/>
        <v>6.890284276571051E-4</v>
      </c>
      <c r="Z44" s="133">
        <f t="shared" si="21"/>
        <v>6.8536244871619106E-4</v>
      </c>
      <c r="AA44" s="133">
        <f t="shared" si="21"/>
        <v>6.8281818583364206E-4</v>
      </c>
      <c r="AB44" s="133">
        <f t="shared" si="21"/>
        <v>6.8081598968799516E-4</v>
      </c>
      <c r="AC44" s="133">
        <f t="shared" si="21"/>
        <v>6.7926942255488738E-4</v>
      </c>
      <c r="AD44" s="156"/>
      <c r="AE44" s="156"/>
      <c r="AF44" s="159">
        <f t="shared" ref="AF44:AM44" si="22">V44*B44</f>
        <v>2.5704846421677461E-5</v>
      </c>
      <c r="AG44" s="159">
        <f t="shared" si="22"/>
        <v>2.3292033128735351E-5</v>
      </c>
      <c r="AH44" s="159">
        <f t="shared" si="22"/>
        <v>3.2473323168370657E-5</v>
      </c>
      <c r="AI44" s="159">
        <f t="shared" si="22"/>
        <v>3.7960709621488892E-5</v>
      </c>
      <c r="AJ44" s="159">
        <f t="shared" si="22"/>
        <v>3.9226348124180145E-5</v>
      </c>
      <c r="AK44" s="159">
        <f t="shared" si="22"/>
        <v>4.0872222182906599E-5</v>
      </c>
      <c r="AL44" s="159">
        <f t="shared" si="22"/>
        <v>4.1296479060018779E-5</v>
      </c>
      <c r="AM44" s="159">
        <f t="shared" si="22"/>
        <v>4.1156738487468589E-5</v>
      </c>
    </row>
    <row r="45" spans="1:39" hidden="1" outlineLevel="2">
      <c r="A45" s="160" t="s">
        <v>211</v>
      </c>
      <c r="B45" s="133">
        <f>LOOKUP($A45,'GDP data'!$A$2:$A$192,'GDP data'!P$2:P$192)</f>
        <v>5.6628986240023105E-2</v>
      </c>
      <c r="C45" s="133">
        <f>LOOKUP($A45,'GDP data'!$A$2:$A$192,'GDP data'!Q$2:Q$192)</f>
        <v>4.8243965007024769E-2</v>
      </c>
      <c r="D45" s="133">
        <f>LOOKUP($A45,'GDP data'!$A$2:$A$192,'GDP data'!R$2:R$192)</f>
        <v>4.6179773159819471E-2</v>
      </c>
      <c r="E45" s="133">
        <f>LOOKUP($A45,'GDP data'!$A$2:$A$192,'GDP data'!S$2:S$192)</f>
        <v>3.2241925165269469E-2</v>
      </c>
      <c r="F45" s="133">
        <f>LOOKUP($A45,'GDP data'!$A$2:$A$192,'GDP data'!T$2:T$192)</f>
        <v>2.7185684886335659E-2</v>
      </c>
      <c r="G45" s="133">
        <f>LOOKUP($A45,'GDP data'!$A$2:$A$192,'GDP data'!U$2:U$192)</f>
        <v>3.6101501921494084E-2</v>
      </c>
      <c r="H45" s="133">
        <f>LOOKUP($A45,'GDP data'!$A$2:$A$192,'GDP data'!V$2:V$192)</f>
        <v>3.9502349534946024E-2</v>
      </c>
      <c r="I45" s="133">
        <f>LOOKUP($A45,'GDP data'!$A$2:$A$192,'GDP data'!W$2:W$192)</f>
        <v>4.4244012169581071E-2</v>
      </c>
      <c r="J45" s="851"/>
      <c r="K45" s="156"/>
      <c r="L45" s="158">
        <f>LOOKUP($A45,'GDP data'!$A$2:$A$192,'GDP data'!D$2:D$192)</f>
        <v>555.88300000000004</v>
      </c>
      <c r="M45" s="158">
        <f>LOOKUP($A45,'GDP data'!$A$2:$A$192,'GDP data'!E$2:E$192)</f>
        <v>582.70100000000002</v>
      </c>
      <c r="N45" s="158">
        <f>LOOKUP($A45,'GDP data'!$A$2:$A$192,'GDP data'!F$2:F$192)</f>
        <v>609.61</v>
      </c>
      <c r="O45" s="158">
        <f>LOOKUP($A45,'GDP data'!$A$2:$A$192,'GDP data'!G$2:G$192)</f>
        <v>629.26499999999999</v>
      </c>
      <c r="P45" s="158">
        <f>LOOKUP($A45,'GDP data'!$A$2:$A$192,'GDP data'!H$2:H$192)</f>
        <v>646.37199999999996</v>
      </c>
      <c r="Q45" s="158">
        <f>LOOKUP($A45,'GDP data'!$A$2:$A$192,'GDP data'!I$2:I$192)</f>
        <v>669.70699999999999</v>
      </c>
      <c r="R45" s="158">
        <f>LOOKUP($A45,'GDP data'!$A$2:$A$192,'GDP data'!J$2:J$192)</f>
        <v>696.16200000000003</v>
      </c>
      <c r="S45" s="158">
        <f>LOOKUP($A45,'GDP data'!$A$2:$A$192,'GDP data'!K$2:K$192)</f>
        <v>726.96299999999997</v>
      </c>
      <c r="T45" s="156"/>
      <c r="U45" s="156"/>
      <c r="V45" s="133">
        <f t="shared" ref="V45:V108" si="23">L45/SUM(L$44:L$144)</f>
        <v>1.263037787615439E-2</v>
      </c>
      <c r="W45" s="133">
        <f t="shared" ref="W45:W108" si="24">M45/SUM(M$44:M$144)</f>
        <v>1.2520383189677202E-2</v>
      </c>
      <c r="X45" s="133">
        <f t="shared" ref="X45:X108" si="25">N45/SUM(N$44:N$144)</f>
        <v>1.2424322878886866E-2</v>
      </c>
      <c r="Y45" s="133">
        <f t="shared" ref="Y45:Y108" si="26">O45/SUM(O$44:O$144)</f>
        <v>1.2087579412591254E-2</v>
      </c>
      <c r="Z45" s="133">
        <f t="shared" ref="Z45:Z108" si="27">P45/SUM(P$44:P$144)</f>
        <v>1.1681541457732295E-2</v>
      </c>
      <c r="AA45" s="133">
        <f t="shared" ref="AA45:AA108" si="28">Q45/SUM(Q$44:Q$144)</f>
        <v>1.1377307461002935E-2</v>
      </c>
      <c r="AB45" s="133">
        <f t="shared" ref="AB45:AB108" si="29">R45/SUM(R$44:R$144)</f>
        <v>1.1117689498561472E-2</v>
      </c>
      <c r="AC45" s="133">
        <f t="shared" ref="AC45:AC108" si="30">S45/SUM(S$44:S$144)</f>
        <v>1.0921478684229853E-2</v>
      </c>
      <c r="AD45" s="156"/>
      <c r="AE45" s="156"/>
      <c r="AF45" s="159">
        <f t="shared" ref="AF45:AF78" si="31">V45*B45</f>
        <v>7.1524549495503918E-4</v>
      </c>
      <c r="AG45" s="159">
        <f t="shared" ref="AG45:AG78" si="32">W45*C45</f>
        <v>6.0403292847732812E-4</v>
      </c>
      <c r="AH45" s="159">
        <f t="shared" ref="AH45:AH78" si="33">X45*D45</f>
        <v>5.7375241221135063E-4</v>
      </c>
      <c r="AI45" s="159">
        <f t="shared" ref="AI45:AI78" si="34">Y45*E45</f>
        <v>3.8972683085001912E-4</v>
      </c>
      <c r="AJ45" s="159">
        <f t="shared" ref="AJ45:AJ78" si="35">Z45*F45</f>
        <v>3.1757070505657626E-4</v>
      </c>
      <c r="AK45" s="159">
        <f t="shared" ref="AK45:AK78" si="36">AA45*G45</f>
        <v>4.1073788716482646E-4</v>
      </c>
      <c r="AL45" s="159">
        <f t="shared" ref="AL45:AL78" si="37">AB45*H45</f>
        <v>4.3917485659317407E-4</v>
      </c>
      <c r="AM45" s="159">
        <f t="shared" ref="AM45:AM78" si="38">AC45*I45</f>
        <v>4.8321003581488592E-4</v>
      </c>
    </row>
    <row r="46" spans="1:39" hidden="1" outlineLevel="2">
      <c r="A46" s="160" t="s">
        <v>212</v>
      </c>
      <c r="B46" s="133">
        <f>LOOKUP($A46,'GDP data'!$A$2:$A$192,'GDP data'!P$2:P$192)</f>
        <v>6.6854158779378281E-2</v>
      </c>
      <c r="C46" s="133">
        <f>LOOKUP($A46,'GDP data'!$A$2:$A$192,'GDP data'!Q$2:Q$192)</f>
        <v>4.1237636031814073E-2</v>
      </c>
      <c r="D46" s="133">
        <f>LOOKUP($A46,'GDP data'!$A$2:$A$192,'GDP data'!R$2:R$192)</f>
        <v>6.0210004706442444E-3</v>
      </c>
      <c r="E46" s="133">
        <f>LOOKUP($A46,'GDP data'!$A$2:$A$192,'GDP data'!S$2:S$192)</f>
        <v>3.2441414021918025E-2</v>
      </c>
      <c r="F46" s="133">
        <f>LOOKUP($A46,'GDP data'!$A$2:$A$192,'GDP data'!T$2:T$192)</f>
        <v>3.5239766873785827E-2</v>
      </c>
      <c r="G46" s="133">
        <f>LOOKUP($A46,'GDP data'!$A$2:$A$192,'GDP data'!U$2:U$192)</f>
        <v>3.5614922144240779E-2</v>
      </c>
      <c r="H46" s="133">
        <f>LOOKUP($A46,'GDP data'!$A$2:$A$192,'GDP data'!V$2:V$192)</f>
        <v>3.6508229533044556E-2</v>
      </c>
      <c r="I46" s="133">
        <f>LOOKUP($A46,'GDP data'!$A$2:$A$192,'GDP data'!W$2:W$192)</f>
        <v>3.4650518609479874E-2</v>
      </c>
      <c r="J46" s="851"/>
      <c r="K46" s="156"/>
      <c r="L46" s="158">
        <f>LOOKUP($A46,'GDP data'!$A$2:$A$192,'GDP data'!D$2:D$192)</f>
        <v>177.53200000000001</v>
      </c>
      <c r="M46" s="158">
        <f>LOOKUP($A46,'GDP data'!$A$2:$A$192,'GDP data'!E$2:E$192)</f>
        <v>184.85300000000001</v>
      </c>
      <c r="N46" s="158">
        <f>LOOKUP($A46,'GDP data'!$A$2:$A$192,'GDP data'!F$2:F$192)</f>
        <v>185.96600000000001</v>
      </c>
      <c r="O46" s="158">
        <f>LOOKUP($A46,'GDP data'!$A$2:$A$192,'GDP data'!G$2:G$192)</f>
        <v>191.999</v>
      </c>
      <c r="P46" s="158">
        <f>LOOKUP($A46,'GDP data'!$A$2:$A$192,'GDP data'!H$2:H$192)</f>
        <v>198.76499999999999</v>
      </c>
      <c r="Q46" s="158">
        <f>LOOKUP($A46,'GDP data'!$A$2:$A$192,'GDP data'!I$2:I$192)</f>
        <v>205.84399999999999</v>
      </c>
      <c r="R46" s="158">
        <f>LOOKUP($A46,'GDP data'!$A$2:$A$192,'GDP data'!J$2:J$192)</f>
        <v>213.35900000000001</v>
      </c>
      <c r="S46" s="158">
        <f>LOOKUP($A46,'GDP data'!$A$2:$A$192,'GDP data'!K$2:K$192)</f>
        <v>220.75200000000001</v>
      </c>
      <c r="T46" s="156"/>
      <c r="U46" s="156"/>
      <c r="V46" s="133">
        <f t="shared" si="23"/>
        <v>4.0337557455605612E-3</v>
      </c>
      <c r="W46" s="133">
        <f t="shared" si="24"/>
        <v>3.9719005008767789E-3</v>
      </c>
      <c r="X46" s="133">
        <f t="shared" si="25"/>
        <v>3.7901307860682652E-3</v>
      </c>
      <c r="Y46" s="133">
        <f t="shared" si="26"/>
        <v>3.6881173426745618E-3</v>
      </c>
      <c r="Z46" s="133">
        <f t="shared" si="27"/>
        <v>3.592175384834367E-3</v>
      </c>
      <c r="AA46" s="133">
        <f t="shared" si="28"/>
        <v>3.4969777484820793E-3</v>
      </c>
      <c r="AB46" s="133">
        <f t="shared" si="29"/>
        <v>3.4073378232704131E-3</v>
      </c>
      <c r="AC46" s="133">
        <f t="shared" si="30"/>
        <v>3.3164525051496553E-3</v>
      </c>
      <c r="AD46" s="156"/>
      <c r="AE46" s="156"/>
      <c r="AF46" s="159">
        <f t="shared" si="31"/>
        <v>2.6967334709093515E-4</v>
      </c>
      <c r="AG46" s="159">
        <f t="shared" si="32"/>
        <v>1.6379178720973662E-4</v>
      </c>
      <c r="AH46" s="159">
        <f t="shared" si="33"/>
        <v>2.2820379246720266E-5</v>
      </c>
      <c r="AI46" s="159">
        <f t="shared" si="34"/>
        <v>1.1964774167512157E-4</v>
      </c>
      <c r="AJ46" s="159">
        <f t="shared" si="35"/>
        <v>1.2658742313131498E-4</v>
      </c>
      <c r="AK46" s="159">
        <f t="shared" si="36"/>
        <v>1.2454459025233166E-4</v>
      </c>
      <c r="AL46" s="159">
        <f t="shared" si="37"/>
        <v>1.2439587134858065E-4</v>
      </c>
      <c r="AM46" s="159">
        <f t="shared" si="38"/>
        <v>1.1491679924714428E-4</v>
      </c>
    </row>
    <row r="47" spans="1:39" hidden="1" outlineLevel="2">
      <c r="A47" s="160" t="s">
        <v>217</v>
      </c>
      <c r="B47" s="133">
        <f>LOOKUP($A47,'GDP data'!$A$2:$A$192,'GDP data'!P$2:P$192)</f>
        <v>2.4511079451038364E-2</v>
      </c>
      <c r="C47" s="133">
        <f>LOOKUP($A47,'GDP data'!$A$2:$A$192,'GDP data'!Q$2:Q$192)</f>
        <v>2.0580136547093675E-2</v>
      </c>
      <c r="D47" s="133">
        <f>LOOKUP($A47,'GDP data'!$A$2:$A$192,'GDP data'!R$2:R$192)</f>
        <v>2.7754164726289776E-2</v>
      </c>
      <c r="E47" s="133">
        <f>LOOKUP($A47,'GDP data'!$A$2:$A$192,'GDP data'!S$2:S$192)</f>
        <v>4.0717982896721017E-2</v>
      </c>
      <c r="F47" s="133">
        <f>LOOKUP($A47,'GDP data'!$A$2:$A$192,'GDP data'!T$2:T$192)</f>
        <v>3.826794472203221E-2</v>
      </c>
      <c r="G47" s="133">
        <f>LOOKUP($A47,'GDP data'!$A$2:$A$192,'GDP data'!U$2:U$192)</f>
        <v>3.6660017882935714E-2</v>
      </c>
      <c r="H47" s="133">
        <f>LOOKUP($A47,'GDP data'!$A$2:$A$192,'GDP data'!V$2:V$192)</f>
        <v>3.6350249982877836E-2</v>
      </c>
      <c r="I47" s="133">
        <f>LOOKUP($A47,'GDP data'!$A$2:$A$192,'GDP data'!W$2:W$192)</f>
        <v>3.526318832917541E-2</v>
      </c>
      <c r="J47" s="851"/>
      <c r="K47" s="156"/>
      <c r="L47" s="158">
        <f>LOOKUP($A47,'GDP data'!$A$2:$A$192,'GDP data'!D$2:D$192)</f>
        <v>397.66500000000002</v>
      </c>
      <c r="M47" s="158">
        <f>LOOKUP($A47,'GDP data'!$A$2:$A$192,'GDP data'!E$2:E$192)</f>
        <v>405.84899999999999</v>
      </c>
      <c r="N47" s="158">
        <f>LOOKUP($A47,'GDP data'!$A$2:$A$192,'GDP data'!F$2:F$192)</f>
        <v>417.113</v>
      </c>
      <c r="O47" s="158">
        <f>LOOKUP($A47,'GDP data'!$A$2:$A$192,'GDP data'!G$2:G$192)</f>
        <v>434.09699999999998</v>
      </c>
      <c r="P47" s="158">
        <f>LOOKUP($A47,'GDP data'!$A$2:$A$192,'GDP data'!H$2:H$192)</f>
        <v>450.709</v>
      </c>
      <c r="Q47" s="158">
        <f>LOOKUP($A47,'GDP data'!$A$2:$A$192,'GDP data'!I$2:I$192)</f>
        <v>467.23200000000003</v>
      </c>
      <c r="R47" s="158">
        <f>LOOKUP($A47,'GDP data'!$A$2:$A$192,'GDP data'!J$2:J$192)</f>
        <v>484.21600000000001</v>
      </c>
      <c r="S47" s="158">
        <f>LOOKUP($A47,'GDP data'!$A$2:$A$192,'GDP data'!K$2:K$192)</f>
        <v>501.291</v>
      </c>
      <c r="T47" s="156"/>
      <c r="U47" s="156"/>
      <c r="V47" s="133">
        <f t="shared" si="23"/>
        <v>9.0354610918501471E-3</v>
      </c>
      <c r="W47" s="133">
        <f t="shared" si="24"/>
        <v>8.720398621501084E-3</v>
      </c>
      <c r="X47" s="133">
        <f t="shared" si="25"/>
        <v>8.50108526595879E-3</v>
      </c>
      <c r="Y47" s="133">
        <f t="shared" si="26"/>
        <v>8.3385886077687859E-3</v>
      </c>
      <c r="Z47" s="133">
        <f t="shared" si="27"/>
        <v>8.1454268886540018E-3</v>
      </c>
      <c r="AA47" s="133">
        <f t="shared" si="28"/>
        <v>7.9375639191755845E-3</v>
      </c>
      <c r="AB47" s="133">
        <f t="shared" si="29"/>
        <v>7.7329172494842316E-3</v>
      </c>
      <c r="AC47" s="133">
        <f t="shared" si="30"/>
        <v>7.5311108971106754E-3</v>
      </c>
      <c r="AD47" s="156"/>
      <c r="AE47" s="156"/>
      <c r="AF47" s="159">
        <f t="shared" si="31"/>
        <v>2.214689046991048E-4</v>
      </c>
      <c r="AG47" s="159">
        <f t="shared" si="32"/>
        <v>1.7946699437557977E-4</v>
      </c>
      <c r="AH47" s="159">
        <f t="shared" si="33"/>
        <v>2.3594052082365519E-4</v>
      </c>
      <c r="AI47" s="159">
        <f t="shared" si="34"/>
        <v>3.3953050831392215E-4</v>
      </c>
      <c r="AJ47" s="159">
        <f t="shared" si="35"/>
        <v>3.1170874591236617E-4</v>
      </c>
      <c r="AK47" s="159">
        <f t="shared" si="36"/>
        <v>2.909912352239222E-4</v>
      </c>
      <c r="AL47" s="159">
        <f t="shared" si="37"/>
        <v>2.8109347511565992E-4</v>
      </c>
      <c r="AM47" s="159">
        <f t="shared" si="38"/>
        <v>2.655709818927189E-4</v>
      </c>
    </row>
    <row r="48" spans="1:39" hidden="1" outlineLevel="2">
      <c r="A48" s="160" t="s">
        <v>220</v>
      </c>
      <c r="B48" s="133">
        <f>LOOKUP($A48,'GDP data'!$A$2:$A$192,'GDP data'!P$2:P$192)</f>
        <v>6.2240735321961616E-2</v>
      </c>
      <c r="C48" s="133">
        <f>LOOKUP($A48,'GDP data'!$A$2:$A$192,'GDP data'!Q$2:Q$192)</f>
        <v>3.978092136178768E-2</v>
      </c>
      <c r="D48" s="133">
        <f>LOOKUP($A48,'GDP data'!$A$2:$A$192,'GDP data'!R$2:R$192)</f>
        <v>4.2871836429372756E-2</v>
      </c>
      <c r="E48" s="133">
        <f>LOOKUP($A48,'GDP data'!$A$2:$A$192,'GDP data'!S$2:S$192)</f>
        <v>4.26485751430834E-2</v>
      </c>
      <c r="F48" s="133">
        <f>LOOKUP($A48,'GDP data'!$A$2:$A$192,'GDP data'!T$2:T$192)</f>
        <v>3.7163372651312088E-2</v>
      </c>
      <c r="G48" s="133">
        <f>LOOKUP($A48,'GDP data'!$A$2:$A$192,'GDP data'!U$2:U$192)</f>
        <v>3.8830389962136946E-2</v>
      </c>
      <c r="H48" s="133">
        <f>LOOKUP($A48,'GDP data'!$A$2:$A$192,'GDP data'!V$2:V$192)</f>
        <v>4.2766308396296804E-2</v>
      </c>
      <c r="I48" s="133">
        <f>LOOKUP($A48,'GDP data'!$A$2:$A$192,'GDP data'!W$2:W$192)</f>
        <v>4.3448865303414852E-2</v>
      </c>
      <c r="J48" s="851"/>
      <c r="K48" s="156"/>
      <c r="L48" s="158">
        <f>LOOKUP($A48,'GDP data'!$A$2:$A$192,'GDP data'!D$2:D$192)</f>
        <v>61.713000000000001</v>
      </c>
      <c r="M48" s="158">
        <f>LOOKUP($A48,'GDP data'!$A$2:$A$192,'GDP data'!E$2:E$192)</f>
        <v>64.168000000000006</v>
      </c>
      <c r="N48" s="158">
        <f>LOOKUP($A48,'GDP data'!$A$2:$A$192,'GDP data'!F$2:F$192)</f>
        <v>66.918999999999997</v>
      </c>
      <c r="O48" s="158">
        <f>LOOKUP($A48,'GDP data'!$A$2:$A$192,'GDP data'!G$2:G$192)</f>
        <v>69.772999999999996</v>
      </c>
      <c r="P48" s="158">
        <f>LOOKUP($A48,'GDP data'!$A$2:$A$192,'GDP data'!H$2:H$192)</f>
        <v>72.366</v>
      </c>
      <c r="Q48" s="158">
        <f>LOOKUP($A48,'GDP data'!$A$2:$A$192,'GDP data'!I$2:I$192)</f>
        <v>75.176000000000002</v>
      </c>
      <c r="R48" s="158">
        <f>LOOKUP($A48,'GDP data'!$A$2:$A$192,'GDP data'!J$2:J$192)</f>
        <v>78.391000000000005</v>
      </c>
      <c r="S48" s="158">
        <f>LOOKUP($A48,'GDP data'!$A$2:$A$192,'GDP data'!K$2:K$192)</f>
        <v>81.796999999999997</v>
      </c>
      <c r="T48" s="156"/>
      <c r="U48" s="156"/>
      <c r="V48" s="133">
        <f t="shared" si="23"/>
        <v>1.4021988617588879E-3</v>
      </c>
      <c r="W48" s="133">
        <f t="shared" si="24"/>
        <v>1.3787653505231787E-3</v>
      </c>
      <c r="X48" s="133">
        <f t="shared" si="25"/>
        <v>1.363860931960155E-3</v>
      </c>
      <c r="Y48" s="133">
        <f t="shared" si="26"/>
        <v>1.3402726647036296E-3</v>
      </c>
      <c r="Z48" s="133">
        <f t="shared" si="27"/>
        <v>1.3078326863327236E-3</v>
      </c>
      <c r="AA48" s="133">
        <f t="shared" si="28"/>
        <v>1.2771263637506502E-3</v>
      </c>
      <c r="AB48" s="133">
        <f t="shared" si="29"/>
        <v>1.2519022834939747E-3</v>
      </c>
      <c r="AC48" s="133">
        <f t="shared" si="30"/>
        <v>1.2288716096059212E-3</v>
      </c>
      <c r="AD48" s="156"/>
      <c r="AE48" s="156"/>
      <c r="AF48" s="159">
        <f t="shared" si="31"/>
        <v>8.7273888223490787E-5</v>
      </c>
      <c r="AG48" s="159">
        <f t="shared" si="32"/>
        <v>5.4848555985520197E-5</v>
      </c>
      <c r="AH48" s="159">
        <f t="shared" si="33"/>
        <v>5.8471222787407652E-5</v>
      </c>
      <c r="AI48" s="159">
        <f t="shared" si="34"/>
        <v>5.716071945283337E-5</v>
      </c>
      <c r="AJ48" s="159">
        <f t="shared" si="35"/>
        <v>4.860347348774956E-5</v>
      </c>
      <c r="AK48" s="159">
        <f t="shared" si="36"/>
        <v>4.9591314735363707E-5</v>
      </c>
      <c r="AL48" s="159">
        <f t="shared" si="37"/>
        <v>5.3539239137931513E-5</v>
      </c>
      <c r="AM48" s="159">
        <f t="shared" si="38"/>
        <v>5.3393077040958271E-5</v>
      </c>
    </row>
    <row r="49" spans="1:39" hidden="1" outlineLevel="2">
      <c r="A49" s="160" t="s">
        <v>223</v>
      </c>
      <c r="B49" s="133">
        <f>LOOKUP($A49,'GDP data'!$A$2:$A$192,'GDP data'!P$2:P$192)</f>
        <v>3.5487974098057373E-2</v>
      </c>
      <c r="C49" s="133">
        <f>LOOKUP($A49,'GDP data'!$A$2:$A$192,'GDP data'!Q$2:Q$192)</f>
        <v>-2.7867424538520869E-2</v>
      </c>
      <c r="D49" s="133">
        <f>LOOKUP($A49,'GDP data'!$A$2:$A$192,'GDP data'!R$2:R$192)</f>
        <v>-1.4066062823436254E-2</v>
      </c>
      <c r="E49" s="133">
        <f>LOOKUP($A49,'GDP data'!$A$2:$A$192,'GDP data'!S$2:S$192)</f>
        <v>2.4898344382434878E-2</v>
      </c>
      <c r="F49" s="133">
        <f>LOOKUP($A49,'GDP data'!$A$2:$A$192,'GDP data'!T$2:T$192)</f>
        <v>2.6112361594252453E-2</v>
      </c>
      <c r="G49" s="133">
        <f>LOOKUP($A49,'GDP data'!$A$2:$A$192,'GDP data'!U$2:U$192)</f>
        <v>3.0688100329038459E-2</v>
      </c>
      <c r="H49" s="133">
        <f>LOOKUP($A49,'GDP data'!$A$2:$A$192,'GDP data'!V$2:V$192)</f>
        <v>3.6879386884223875E-2</v>
      </c>
      <c r="I49" s="133">
        <f>LOOKUP($A49,'GDP data'!$A$2:$A$192,'GDP data'!W$2:W$192)</f>
        <v>3.9885345828495566E-2</v>
      </c>
      <c r="J49" s="851"/>
      <c r="K49" s="156"/>
      <c r="L49" s="158">
        <f>LOOKUP($A49,'GDP data'!$A$2:$A$192,'GDP data'!D$2:D$192)</f>
        <v>179.09800000000001</v>
      </c>
      <c r="M49" s="158">
        <f>LOOKUP($A49,'GDP data'!$A$2:$A$192,'GDP data'!E$2:E$192)</f>
        <v>174.107</v>
      </c>
      <c r="N49" s="158">
        <f>LOOKUP($A49,'GDP data'!$A$2:$A$192,'GDP data'!F$2:F$192)</f>
        <v>171.65799999999999</v>
      </c>
      <c r="O49" s="158">
        <f>LOOKUP($A49,'GDP data'!$A$2:$A$192,'GDP data'!G$2:G$192)</f>
        <v>175.93199999999999</v>
      </c>
      <c r="P49" s="158">
        <f>LOOKUP($A49,'GDP data'!$A$2:$A$192,'GDP data'!H$2:H$192)</f>
        <v>180.52600000000001</v>
      </c>
      <c r="Q49" s="158">
        <f>LOOKUP($A49,'GDP data'!$A$2:$A$192,'GDP data'!I$2:I$192)</f>
        <v>186.066</v>
      </c>
      <c r="R49" s="158">
        <f>LOOKUP($A49,'GDP data'!$A$2:$A$192,'GDP data'!J$2:J$192)</f>
        <v>192.928</v>
      </c>
      <c r="S49" s="158">
        <f>LOOKUP($A49,'GDP data'!$A$2:$A$192,'GDP data'!K$2:K$192)</f>
        <v>200.62299999999999</v>
      </c>
      <c r="T49" s="156"/>
      <c r="U49" s="156"/>
      <c r="V49" s="133">
        <f t="shared" si="23"/>
        <v>4.0693372829597218E-3</v>
      </c>
      <c r="W49" s="133">
        <f t="shared" si="24"/>
        <v>3.7410032864284232E-3</v>
      </c>
      <c r="X49" s="133">
        <f t="shared" si="25"/>
        <v>3.4985226894965003E-3</v>
      </c>
      <c r="Y49" s="133">
        <f t="shared" si="26"/>
        <v>3.3794856240471093E-3</v>
      </c>
      <c r="Z49" s="133">
        <f t="shared" si="27"/>
        <v>3.2625515232692325E-3</v>
      </c>
      <c r="AA49" s="133">
        <f t="shared" si="28"/>
        <v>3.1609794881029647E-3</v>
      </c>
      <c r="AB49" s="133">
        <f t="shared" si="29"/>
        <v>3.0810552710123043E-3</v>
      </c>
      <c r="AC49" s="133">
        <f t="shared" si="30"/>
        <v>3.0140458566202764E-3</v>
      </c>
      <c r="AD49" s="156"/>
      <c r="AE49" s="156"/>
      <c r="AF49" s="159">
        <f t="shared" si="31"/>
        <v>1.4441253609393377E-4</v>
      </c>
      <c r="AG49" s="159">
        <f t="shared" si="32"/>
        <v>-1.0425212678290265E-4</v>
      </c>
      <c r="AH49" s="159">
        <f t="shared" si="33"/>
        <v>-4.9210439939674939E-5</v>
      </c>
      <c r="AI49" s="159">
        <f t="shared" si="34"/>
        <v>8.4143596903012773E-5</v>
      </c>
      <c r="AJ49" s="159">
        <f t="shared" si="35"/>
        <v>8.5192925095485344E-5</v>
      </c>
      <c r="AK49" s="159">
        <f t="shared" si="36"/>
        <v>9.7004455668936416E-5</v>
      </c>
      <c r="AL49" s="159">
        <f t="shared" si="37"/>
        <v>1.1362742935134001E-4</v>
      </c>
      <c r="AM49" s="159">
        <f t="shared" si="38"/>
        <v>1.2021626133424388E-4</v>
      </c>
    </row>
    <row r="50" spans="1:39" hidden="1" outlineLevel="2">
      <c r="A50" s="160" t="s">
        <v>224</v>
      </c>
      <c r="B50" s="133">
        <f>LOOKUP($A50,'GDP data'!$A$2:$A$192,'GDP data'!P$2:P$192)</f>
        <v>3.4708970740015221E-2</v>
      </c>
      <c r="C50" s="133">
        <f>LOOKUP($A50,'GDP data'!$A$2:$A$192,'GDP data'!Q$2:Q$192)</f>
        <v>2.576514807318997E-2</v>
      </c>
      <c r="D50" s="133">
        <f>LOOKUP($A50,'GDP data'!$A$2:$A$192,'GDP data'!R$2:R$192)</f>
        <v>2.4838130365455013E-2</v>
      </c>
      <c r="E50" s="133">
        <f>LOOKUP($A50,'GDP data'!$A$2:$A$192,'GDP data'!S$2:S$192)</f>
        <v>3.4184424192537533E-2</v>
      </c>
      <c r="F50" s="133">
        <f>LOOKUP($A50,'GDP data'!$A$2:$A$192,'GDP data'!T$2:T$192)</f>
        <v>3.6099492054084692E-2</v>
      </c>
      <c r="G50" s="133">
        <f>LOOKUP($A50,'GDP data'!$A$2:$A$192,'GDP data'!U$2:U$192)</f>
        <v>3.6717280424172882E-2</v>
      </c>
      <c r="H50" s="133">
        <f>LOOKUP($A50,'GDP data'!$A$2:$A$192,'GDP data'!V$2:V$192)</f>
        <v>3.6553986542049444E-2</v>
      </c>
      <c r="I50" s="133">
        <f>LOOKUP($A50,'GDP data'!$A$2:$A$192,'GDP data'!W$2:W$192)</f>
        <v>3.6068482516826261E-2</v>
      </c>
      <c r="J50" s="851"/>
      <c r="K50" s="156"/>
      <c r="L50" s="158">
        <f>LOOKUP($A50,'GDP data'!$A$2:$A$192,'GDP data'!D$2:D$192)</f>
        <v>484.22</v>
      </c>
      <c r="M50" s="158">
        <f>LOOKUP($A50,'GDP data'!$A$2:$A$192,'GDP data'!E$2:E$192)</f>
        <v>496.69600000000003</v>
      </c>
      <c r="N50" s="158">
        <f>LOOKUP($A50,'GDP data'!$A$2:$A$192,'GDP data'!F$2:F$192)</f>
        <v>509.03300000000002</v>
      </c>
      <c r="O50" s="158">
        <f>LOOKUP($A50,'GDP data'!$A$2:$A$192,'GDP data'!G$2:G$192)</f>
        <v>526.43399999999997</v>
      </c>
      <c r="P50" s="158">
        <f>LOOKUP($A50,'GDP data'!$A$2:$A$192,'GDP data'!H$2:H$192)</f>
        <v>545.43799999999999</v>
      </c>
      <c r="Q50" s="158">
        <f>LOOKUP($A50,'GDP data'!$A$2:$A$192,'GDP data'!I$2:I$192)</f>
        <v>565.46500000000003</v>
      </c>
      <c r="R50" s="158">
        <f>LOOKUP($A50,'GDP data'!$A$2:$A$192,'GDP data'!J$2:J$192)</f>
        <v>586.13499999999999</v>
      </c>
      <c r="S50" s="158">
        <f>LOOKUP($A50,'GDP data'!$A$2:$A$192,'GDP data'!K$2:K$192)</f>
        <v>607.27599999999995</v>
      </c>
      <c r="T50" s="156"/>
      <c r="U50" s="156"/>
      <c r="V50" s="133">
        <f t="shared" si="23"/>
        <v>1.1002102196310157E-2</v>
      </c>
      <c r="W50" s="133">
        <f t="shared" si="24"/>
        <v>1.0672410462278095E-2</v>
      </c>
      <c r="X50" s="133">
        <f t="shared" si="25"/>
        <v>1.037448589755486E-2</v>
      </c>
      <c r="Y50" s="133">
        <f t="shared" si="26"/>
        <v>1.011229415347757E-2</v>
      </c>
      <c r="Z50" s="133">
        <f t="shared" si="27"/>
        <v>9.8574143211998463E-3</v>
      </c>
      <c r="AA50" s="133">
        <f t="shared" si="28"/>
        <v>9.6063937862916546E-3</v>
      </c>
      <c r="AB50" s="133">
        <f t="shared" si="29"/>
        <v>9.3605610967552495E-3</v>
      </c>
      <c r="AC50" s="133">
        <f t="shared" si="30"/>
        <v>9.123369262870832E-3</v>
      </c>
      <c r="AD50" s="156"/>
      <c r="AE50" s="156"/>
      <c r="AF50" s="159">
        <f t="shared" si="31"/>
        <v>3.8187164321038647E-4</v>
      </c>
      <c r="AG50" s="159">
        <f t="shared" si="32"/>
        <v>2.7497623585845692E-4</v>
      </c>
      <c r="AH50" s="159">
        <f t="shared" si="33"/>
        <v>2.5768283319804215E-4</v>
      </c>
      <c r="AI50" s="159">
        <f t="shared" si="34"/>
        <v>3.4568295290219448E-4</v>
      </c>
      <c r="AJ50" s="159">
        <f t="shared" si="35"/>
        <v>3.558476499619745E-4</v>
      </c>
      <c r="AK50" s="159">
        <f t="shared" si="36"/>
        <v>3.5272065451630259E-4</v>
      </c>
      <c r="AL50" s="159">
        <f t="shared" si="37"/>
        <v>3.4216582435682294E-4</v>
      </c>
      <c r="AM50" s="159">
        <f t="shared" si="38"/>
        <v>3.2906608475240668E-4</v>
      </c>
    </row>
    <row r="51" spans="1:39" hidden="1" outlineLevel="2">
      <c r="A51" s="160" t="s">
        <v>226</v>
      </c>
      <c r="B51" s="133">
        <f>LOOKUP($A51,'GDP data'!$A$2:$A$192,'GDP data'!P$2:P$192)</f>
        <v>8.2572013379262232E-2</v>
      </c>
      <c r="C51" s="133">
        <f>LOOKUP($A51,'GDP data'!$A$2:$A$192,'GDP data'!Q$2:Q$192)</f>
        <v>3.2049804011989869E-2</v>
      </c>
      <c r="D51" s="133">
        <f>LOOKUP($A51,'GDP data'!$A$2:$A$192,'GDP data'!R$2:R$192)</f>
        <v>5.3529937444146469E-2</v>
      </c>
      <c r="E51" s="133">
        <f>LOOKUP($A51,'GDP data'!$A$2:$A$192,'GDP data'!S$2:S$192)</f>
        <v>7.2397998133853614E-2</v>
      </c>
      <c r="F51" s="133">
        <f>LOOKUP($A51,'GDP data'!$A$2:$A$192,'GDP data'!T$2:T$192)</f>
        <v>8.0877990903697849E-2</v>
      </c>
      <c r="G51" s="133">
        <f>LOOKUP($A51,'GDP data'!$A$2:$A$192,'GDP data'!U$2:U$192)</f>
        <v>8.543724844493239E-2</v>
      </c>
      <c r="H51" s="133">
        <f>LOOKUP($A51,'GDP data'!$A$2:$A$192,'GDP data'!V$2:V$192)</f>
        <v>8.9061183212540085E-2</v>
      </c>
      <c r="I51" s="133">
        <f>LOOKUP($A51,'GDP data'!$A$2:$A$192,'GDP data'!W$2:W$192)</f>
        <v>9.276627356300482E-2</v>
      </c>
      <c r="J51" s="851"/>
      <c r="K51" s="156"/>
      <c r="L51" s="158">
        <f>LOOKUP($A51,'GDP data'!$A$2:$A$192,'GDP data'!D$2:D$192)</f>
        <v>21.684999999999999</v>
      </c>
      <c r="M51" s="158">
        <f>LOOKUP($A51,'GDP data'!$A$2:$A$192,'GDP data'!E$2:E$192)</f>
        <v>22.38</v>
      </c>
      <c r="N51" s="158">
        <f>LOOKUP($A51,'GDP data'!$A$2:$A$192,'GDP data'!F$2:F$192)</f>
        <v>23.577999999999999</v>
      </c>
      <c r="O51" s="158">
        <f>LOOKUP($A51,'GDP data'!$A$2:$A$192,'GDP data'!G$2:G$192)</f>
        <v>25.285</v>
      </c>
      <c r="P51" s="158">
        <f>LOOKUP($A51,'GDP data'!$A$2:$A$192,'GDP data'!H$2:H$192)</f>
        <v>27.33</v>
      </c>
      <c r="Q51" s="158">
        <f>LOOKUP($A51,'GDP data'!$A$2:$A$192,'GDP data'!I$2:I$192)</f>
        <v>29.664999999999999</v>
      </c>
      <c r="R51" s="158">
        <f>LOOKUP($A51,'GDP data'!$A$2:$A$192,'GDP data'!J$2:J$192)</f>
        <v>32.307000000000002</v>
      </c>
      <c r="S51" s="158">
        <f>LOOKUP($A51,'GDP data'!$A$2:$A$192,'GDP data'!K$2:K$192)</f>
        <v>35.304000000000002</v>
      </c>
      <c r="T51" s="156"/>
      <c r="U51" s="156"/>
      <c r="V51" s="133">
        <f t="shared" si="23"/>
        <v>4.9271113569655475E-4</v>
      </c>
      <c r="W51" s="133">
        <f t="shared" si="24"/>
        <v>4.8087471239104752E-4</v>
      </c>
      <c r="X51" s="133">
        <f t="shared" si="25"/>
        <v>4.805378600062245E-4</v>
      </c>
      <c r="Y51" s="133">
        <f t="shared" si="26"/>
        <v>4.8570069119904943E-4</v>
      </c>
      <c r="Z51" s="133">
        <f t="shared" si="27"/>
        <v>4.9392072682576539E-4</v>
      </c>
      <c r="AA51" s="133">
        <f t="shared" si="28"/>
        <v>5.0396341359826324E-4</v>
      </c>
      <c r="AB51" s="133">
        <f t="shared" si="29"/>
        <v>5.1594197130843897E-4</v>
      </c>
      <c r="AC51" s="133">
        <f t="shared" si="30"/>
        <v>5.3038721842521672E-4</v>
      </c>
      <c r="AD51" s="156"/>
      <c r="AE51" s="156"/>
      <c r="AF51" s="159">
        <f t="shared" si="31"/>
        <v>4.0684150488847409E-5</v>
      </c>
      <c r="AG51" s="159">
        <f t="shared" si="32"/>
        <v>1.5411940286455071E-5</v>
      </c>
      <c r="AH51" s="159">
        <f t="shared" si="33"/>
        <v>2.5723161585677213E-5</v>
      </c>
      <c r="AI51" s="159">
        <f t="shared" si="34"/>
        <v>3.5163757735040188E-5</v>
      </c>
      <c r="AJ51" s="159">
        <f t="shared" si="35"/>
        <v>3.9947316051362086E-5</v>
      </c>
      <c r="AK51" s="159">
        <f t="shared" si="36"/>
        <v>4.3057247374751032E-5</v>
      </c>
      <c r="AL51" s="159">
        <f t="shared" si="37"/>
        <v>4.5950402433739984E-5</v>
      </c>
      <c r="AM51" s="159">
        <f t="shared" si="38"/>
        <v>4.9202045798754845E-5</v>
      </c>
    </row>
    <row r="52" spans="1:39" hidden="1" outlineLevel="2">
      <c r="A52" s="160" t="s">
        <v>229</v>
      </c>
      <c r="B52" s="133">
        <f>LOOKUP($A52,'GDP data'!$A$2:$A$192,'GDP data'!P$2:P$192)</f>
        <v>2.895575034878517E-2</v>
      </c>
      <c r="C52" s="133">
        <f>LOOKUP($A52,'GDP data'!$A$2:$A$192,'GDP data'!Q$2:Q$192)</f>
        <v>4.1341553889841176E-2</v>
      </c>
      <c r="D52" s="133">
        <f>LOOKUP($A52,'GDP data'!$A$2:$A$192,'GDP data'!R$2:R$192)</f>
        <v>3.287065471072359E-2</v>
      </c>
      <c r="E52" s="133">
        <f>LOOKUP($A52,'GDP data'!$A$2:$A$192,'GDP data'!S$2:S$192)</f>
        <v>4.286088052707937E-2</v>
      </c>
      <c r="F52" s="133">
        <f>LOOKUP($A52,'GDP data'!$A$2:$A$192,'GDP data'!T$2:T$192)</f>
        <v>4.5911734519329395E-2</v>
      </c>
      <c r="G52" s="133">
        <f>LOOKUP($A52,'GDP data'!$A$2:$A$192,'GDP data'!U$2:U$192)</f>
        <v>4.8933664791312337E-2</v>
      </c>
      <c r="H52" s="133">
        <f>LOOKUP($A52,'GDP data'!$A$2:$A$192,'GDP data'!V$2:V$192)</f>
        <v>4.8584258450792062E-2</v>
      </c>
      <c r="I52" s="133">
        <f>LOOKUP($A52,'GDP data'!$A$2:$A$192,'GDP data'!W$2:W$192)</f>
        <v>4.936656158924646E-2</v>
      </c>
      <c r="J52" s="851"/>
      <c r="K52" s="156"/>
      <c r="L52" s="158">
        <f>LOOKUP($A52,'GDP data'!$A$2:$A$192,'GDP data'!D$2:D$192)</f>
        <v>39.088999999999999</v>
      </c>
      <c r="M52" s="158">
        <f>LOOKUP($A52,'GDP data'!$A$2:$A$192,'GDP data'!E$2:E$192)</f>
        <v>40.704999999999998</v>
      </c>
      <c r="N52" s="158">
        <f>LOOKUP($A52,'GDP data'!$A$2:$A$192,'GDP data'!F$2:F$192)</f>
        <v>42.042999999999999</v>
      </c>
      <c r="O52" s="158">
        <f>LOOKUP($A52,'GDP data'!$A$2:$A$192,'GDP data'!G$2:G$192)</f>
        <v>43.844999999999999</v>
      </c>
      <c r="P52" s="158">
        <f>LOOKUP($A52,'GDP data'!$A$2:$A$192,'GDP data'!H$2:H$192)</f>
        <v>45.857999999999997</v>
      </c>
      <c r="Q52" s="158">
        <f>LOOKUP($A52,'GDP data'!$A$2:$A$192,'GDP data'!I$2:I$192)</f>
        <v>48.101999999999997</v>
      </c>
      <c r="R52" s="158">
        <f>LOOKUP($A52,'GDP data'!$A$2:$A$192,'GDP data'!J$2:J$192)</f>
        <v>50.439</v>
      </c>
      <c r="S52" s="158">
        <f>LOOKUP($A52,'GDP data'!$A$2:$A$192,'GDP data'!K$2:K$192)</f>
        <v>52.929000000000002</v>
      </c>
      <c r="T52" s="156"/>
      <c r="U52" s="156"/>
      <c r="V52" s="133">
        <f t="shared" si="23"/>
        <v>8.8815243639578639E-4</v>
      </c>
      <c r="W52" s="133">
        <f t="shared" si="24"/>
        <v>8.7462042751910584E-4</v>
      </c>
      <c r="X52" s="133">
        <f t="shared" si="25"/>
        <v>8.5686882891855532E-4</v>
      </c>
      <c r="Y52" s="133">
        <f t="shared" si="26"/>
        <v>8.4222055786522924E-4</v>
      </c>
      <c r="Z52" s="133">
        <f t="shared" si="27"/>
        <v>8.2876753350808439E-4</v>
      </c>
      <c r="AA52" s="133">
        <f t="shared" si="28"/>
        <v>8.1718011531783767E-4</v>
      </c>
      <c r="AB52" s="133">
        <f t="shared" si="29"/>
        <v>8.0550955182549767E-4</v>
      </c>
      <c r="AC52" s="133">
        <f t="shared" si="30"/>
        <v>7.9517519499287034E-4</v>
      </c>
      <c r="AD52" s="156"/>
      <c r="AE52" s="156"/>
      <c r="AF52" s="159">
        <f t="shared" si="31"/>
        <v>2.5717120219941689E-5</v>
      </c>
      <c r="AG52" s="159">
        <f t="shared" si="32"/>
        <v>3.6158167537437044E-5</v>
      </c>
      <c r="AH52" s="159">
        <f t="shared" si="33"/>
        <v>2.8165839407763918E-5</v>
      </c>
      <c r="AI52" s="159">
        <f t="shared" si="34"/>
        <v>3.6098314708111729E-5</v>
      </c>
      <c r="AJ52" s="159">
        <f t="shared" si="35"/>
        <v>3.8050154976662596E-5</v>
      </c>
      <c r="AK52" s="159">
        <f t="shared" si="36"/>
        <v>3.9987617837089027E-5</v>
      </c>
      <c r="AL52" s="159">
        <f t="shared" si="37"/>
        <v>3.9135084250471661E-5</v>
      </c>
      <c r="AM52" s="159">
        <f t="shared" si="38"/>
        <v>3.9255065237856596E-5</v>
      </c>
    </row>
    <row r="53" spans="1:39" hidden="1" outlineLevel="2">
      <c r="A53" s="160" t="s">
        <v>230</v>
      </c>
      <c r="B53" s="133">
        <f>LOOKUP($A53,'GDP data'!$A$2:$A$192,'GDP data'!P$2:P$192)</f>
        <v>6.0199168635425737E-2</v>
      </c>
      <c r="C53" s="133">
        <f>LOOKUP($A53,'GDP data'!$A$2:$A$192,'GDP data'!Q$2:Q$192)</f>
        <v>-6.3466095001692979E-3</v>
      </c>
      <c r="D53" s="133">
        <f>LOOKUP($A53,'GDP data'!$A$2:$A$192,'GDP data'!R$2:R$192)</f>
        <v>5.6206886762994346E-2</v>
      </c>
      <c r="E53" s="133">
        <f>LOOKUP($A53,'GDP data'!$A$2:$A$192,'GDP data'!S$2:S$192)</f>
        <v>6.297202139382363E-2</v>
      </c>
      <c r="F53" s="133">
        <f>LOOKUP($A53,'GDP data'!$A$2:$A$192,'GDP data'!T$2:T$192)</f>
        <v>6.8596713021491729E-2</v>
      </c>
      <c r="G53" s="133">
        <f>LOOKUP($A53,'GDP data'!$A$2:$A$192,'GDP data'!U$2:U$192)</f>
        <v>6.7908099283060963E-2</v>
      </c>
      <c r="H53" s="133">
        <f>LOOKUP($A53,'GDP data'!$A$2:$A$192,'GDP data'!V$2:V$192)</f>
        <v>6.4919238694524983E-2</v>
      </c>
      <c r="I53" s="133">
        <f>LOOKUP($A53,'GDP data'!$A$2:$A$192,'GDP data'!W$2:W$192)</f>
        <v>6.4249006512286044E-2</v>
      </c>
      <c r="J53" s="851"/>
      <c r="K53" s="156"/>
      <c r="L53" s="158">
        <f>LOOKUP($A53,'GDP data'!$A$2:$A$192,'GDP data'!D$2:D$192)</f>
        <v>35.451999999999998</v>
      </c>
      <c r="M53" s="158">
        <f>LOOKUP($A53,'GDP data'!$A$2:$A$192,'GDP data'!E$2:E$192)</f>
        <v>35.226999999999997</v>
      </c>
      <c r="N53" s="158">
        <f>LOOKUP($A53,'GDP data'!$A$2:$A$192,'GDP data'!F$2:F$192)</f>
        <v>37.207000000000001</v>
      </c>
      <c r="O53" s="158">
        <f>LOOKUP($A53,'GDP data'!$A$2:$A$192,'GDP data'!G$2:G$192)</f>
        <v>39.549999999999997</v>
      </c>
      <c r="P53" s="158">
        <f>LOOKUP($A53,'GDP data'!$A$2:$A$192,'GDP data'!H$2:H$192)</f>
        <v>42.262999999999998</v>
      </c>
      <c r="Q53" s="158">
        <f>LOOKUP($A53,'GDP data'!$A$2:$A$192,'GDP data'!I$2:I$192)</f>
        <v>45.133000000000003</v>
      </c>
      <c r="R53" s="158">
        <f>LOOKUP($A53,'GDP data'!$A$2:$A$192,'GDP data'!J$2:J$192)</f>
        <v>48.063000000000002</v>
      </c>
      <c r="S53" s="158">
        <f>LOOKUP($A53,'GDP data'!$A$2:$A$192,'GDP data'!K$2:K$192)</f>
        <v>51.151000000000003</v>
      </c>
      <c r="T53" s="156"/>
      <c r="U53" s="156"/>
      <c r="V53" s="133">
        <f t="shared" si="23"/>
        <v>8.0551511103132392E-4</v>
      </c>
      <c r="W53" s="133">
        <f t="shared" si="24"/>
        <v>7.5691570569255716E-4</v>
      </c>
      <c r="X53" s="133">
        <f t="shared" si="25"/>
        <v>7.5830741187766549E-4</v>
      </c>
      <c r="Y53" s="133">
        <f t="shared" si="26"/>
        <v>7.5971771156505452E-4</v>
      </c>
      <c r="Z53" s="133">
        <f t="shared" si="27"/>
        <v>7.6379698784622471E-4</v>
      </c>
      <c r="AA53" s="133">
        <f t="shared" si="28"/>
        <v>7.6674130274499968E-4</v>
      </c>
      <c r="AB53" s="133">
        <f t="shared" si="29"/>
        <v>7.675648920357044E-4</v>
      </c>
      <c r="AC53" s="133">
        <f t="shared" si="30"/>
        <v>7.6846353415103833E-4</v>
      </c>
      <c r="AD53" s="156"/>
      <c r="AE53" s="156"/>
      <c r="AF53" s="159">
        <f t="shared" si="31"/>
        <v>4.8491340007358355E-5</v>
      </c>
      <c r="AG53" s="159">
        <f t="shared" si="32"/>
        <v>-4.8038484085757316E-6</v>
      </c>
      <c r="AH53" s="159">
        <f t="shared" si="33"/>
        <v>4.2622098830947257E-5</v>
      </c>
      <c r="AI53" s="159">
        <f t="shared" si="34"/>
        <v>4.7840959985941342E-5</v>
      </c>
      <c r="AJ53" s="159">
        <f t="shared" si="35"/>
        <v>5.2393962781967281E-5</v>
      </c>
      <c r="AK53" s="159">
        <f t="shared" si="36"/>
        <v>5.206794451123094E-5</v>
      </c>
      <c r="AL53" s="159">
        <f t="shared" si="37"/>
        <v>4.9829728439603193E-5</v>
      </c>
      <c r="AM53" s="159">
        <f t="shared" si="38"/>
        <v>4.9373018610124411E-5</v>
      </c>
    </row>
    <row r="54" spans="1:39" hidden="1" outlineLevel="2">
      <c r="A54" s="160" t="s">
        <v>233</v>
      </c>
      <c r="B54" s="133">
        <f>LOOKUP($A54,'GDP data'!$A$2:$A$192,'GDP data'!P$2:P$192)</f>
        <v>3.1474362487570628E-2</v>
      </c>
      <c r="C54" s="133">
        <f>LOOKUP($A54,'GDP data'!$A$2:$A$192,'GDP data'!Q$2:Q$192)</f>
        <v>4.7410488602810164E-2</v>
      </c>
      <c r="D54" s="133">
        <f>LOOKUP($A54,'GDP data'!$A$2:$A$192,'GDP data'!R$2:R$192)</f>
        <v>4.7626984759654878E-2</v>
      </c>
      <c r="E54" s="133">
        <f>LOOKUP($A54,'GDP data'!$A$2:$A$192,'GDP data'!S$2:S$192)</f>
        <v>5.4046388721715966E-2</v>
      </c>
      <c r="F54" s="133">
        <f>LOOKUP($A54,'GDP data'!$A$2:$A$192,'GDP data'!T$2:T$192)</f>
        <v>5.2029873862994958E-2</v>
      </c>
      <c r="G54" s="133">
        <f>LOOKUP($A54,'GDP data'!$A$2:$A$192,'GDP data'!U$2:U$192)</f>
        <v>5.0960062881311607E-2</v>
      </c>
      <c r="H54" s="133">
        <f>LOOKUP($A54,'GDP data'!$A$2:$A$192,'GDP data'!V$2:V$192)</f>
        <v>4.8601836517857544E-2</v>
      </c>
      <c r="I54" s="133">
        <f>LOOKUP($A54,'GDP data'!$A$2:$A$192,'GDP data'!W$2:W$192)</f>
        <v>4.6286914337792195E-2</v>
      </c>
      <c r="J54" s="851"/>
      <c r="K54" s="156"/>
      <c r="L54" s="158">
        <f>LOOKUP($A54,'GDP data'!$A$2:$A$192,'GDP data'!D$2:D$192)</f>
        <v>131.74299999999999</v>
      </c>
      <c r="M54" s="158">
        <f>LOOKUP($A54,'GDP data'!$A$2:$A$192,'GDP data'!E$2:E$192)</f>
        <v>137.989</v>
      </c>
      <c r="N54" s="158">
        <f>LOOKUP($A54,'GDP data'!$A$2:$A$192,'GDP data'!F$2:F$192)</f>
        <v>144.56100000000001</v>
      </c>
      <c r="O54" s="158">
        <f>LOOKUP($A54,'GDP data'!$A$2:$A$192,'GDP data'!G$2:G$192)</f>
        <v>152.374</v>
      </c>
      <c r="P54" s="158">
        <f>LOOKUP($A54,'GDP data'!$A$2:$A$192,'GDP data'!H$2:H$192)</f>
        <v>160.30199999999999</v>
      </c>
      <c r="Q54" s="158">
        <f>LOOKUP($A54,'GDP data'!$A$2:$A$192,'GDP data'!I$2:I$192)</f>
        <v>168.471</v>
      </c>
      <c r="R54" s="158">
        <f>LOOKUP($A54,'GDP data'!$A$2:$A$192,'GDP data'!J$2:J$192)</f>
        <v>176.65899999999999</v>
      </c>
      <c r="S54" s="158">
        <f>LOOKUP($A54,'GDP data'!$A$2:$A$192,'GDP data'!K$2:K$192)</f>
        <v>184.83600000000001</v>
      </c>
      <c r="T54" s="156"/>
      <c r="U54" s="156"/>
      <c r="V54" s="133">
        <f t="shared" si="23"/>
        <v>2.9933706778912249E-3</v>
      </c>
      <c r="W54" s="133">
        <f t="shared" si="24"/>
        <v>2.964942836824319E-3</v>
      </c>
      <c r="X54" s="133">
        <f t="shared" si="25"/>
        <v>2.9462648901670977E-3</v>
      </c>
      <c r="Y54" s="133">
        <f t="shared" si="26"/>
        <v>2.9269589527689916E-3</v>
      </c>
      <c r="Z54" s="133">
        <f t="shared" si="27"/>
        <v>2.8970537999130565E-3</v>
      </c>
      <c r="AA54" s="133">
        <f t="shared" si="28"/>
        <v>2.8620670909257711E-3</v>
      </c>
      <c r="AB54" s="133">
        <f t="shared" si="29"/>
        <v>2.8212397532849697E-3</v>
      </c>
      <c r="AC54" s="133">
        <f t="shared" si="30"/>
        <v>2.7768709467721319E-3</v>
      </c>
      <c r="AD54" s="156"/>
      <c r="AE54" s="156"/>
      <c r="AF54" s="159">
        <f t="shared" si="31"/>
        <v>9.4214433775613427E-5</v>
      </c>
      <c r="AG54" s="159">
        <f t="shared" si="32"/>
        <v>1.40569388573243E-4</v>
      </c>
      <c r="AH54" s="159">
        <f t="shared" si="33"/>
        <v>1.4032171302189462E-4</v>
      </c>
      <c r="AI54" s="159">
        <f t="shared" si="34"/>
        <v>1.5819156133385959E-4</v>
      </c>
      <c r="AJ54" s="159">
        <f t="shared" si="35"/>
        <v>1.5073334378378655E-4</v>
      </c>
      <c r="AK54" s="159">
        <f t="shared" si="36"/>
        <v>1.4585111892410988E-4</v>
      </c>
      <c r="AL54" s="159">
        <f t="shared" si="37"/>
        <v>1.3711743326683685E-4</v>
      </c>
      <c r="AM54" s="159">
        <f t="shared" si="38"/>
        <v>1.2853278764034557E-4</v>
      </c>
    </row>
    <row r="55" spans="1:39" hidden="1" outlineLevel="2">
      <c r="A55" s="160" t="s">
        <v>234</v>
      </c>
      <c r="B55" s="133">
        <f>LOOKUP($A55,'GDP data'!$A$2:$A$192,'GDP data'!P$2:P$192)</f>
        <v>6.0541207196749713E-2</v>
      </c>
      <c r="C55" s="133">
        <f>LOOKUP($A55,'GDP data'!$A$2:$A$192,'GDP data'!Q$2:Q$192)</f>
        <v>5.1612682559770251E-2</v>
      </c>
      <c r="D55" s="133">
        <f>LOOKUP($A55,'GDP data'!$A$2:$A$192,'GDP data'!R$2:R$192)</f>
        <v>7.2237038964418243E-2</v>
      </c>
      <c r="E55" s="133">
        <f>LOOKUP($A55,'GDP data'!$A$2:$A$192,'GDP data'!S$2:S$192)</f>
        <v>8.2385415718749133E-2</v>
      </c>
      <c r="F55" s="133">
        <f>LOOKUP($A55,'GDP data'!$A$2:$A$192,'GDP data'!T$2:T$192)</f>
        <v>8.6035366981475736E-2</v>
      </c>
      <c r="G55" s="133">
        <f>LOOKUP($A55,'GDP data'!$A$2:$A$192,'GDP data'!U$2:U$192)</f>
        <v>8.7270662916419273E-2</v>
      </c>
      <c r="H55" s="133">
        <f>LOOKUP($A55,'GDP data'!$A$2:$A$192,'GDP data'!V$2:V$192)</f>
        <v>8.7433250266998996E-2</v>
      </c>
      <c r="I55" s="133">
        <f>LOOKUP($A55,'GDP data'!$A$2:$A$192,'GDP data'!W$2:W$192)</f>
        <v>8.6841703223553557E-2</v>
      </c>
      <c r="J55" s="851"/>
      <c r="K55" s="156"/>
      <c r="L55" s="158">
        <f>LOOKUP($A55,'GDP data'!$A$2:$A$192,'GDP data'!D$2:D$192)</f>
        <v>29.236999999999998</v>
      </c>
      <c r="M55" s="158">
        <f>LOOKUP($A55,'GDP data'!$A$2:$A$192,'GDP data'!E$2:E$192)</f>
        <v>30.745999999999999</v>
      </c>
      <c r="N55" s="158">
        <f>LOOKUP($A55,'GDP data'!$A$2:$A$192,'GDP data'!F$2:F$192)</f>
        <v>32.966999999999999</v>
      </c>
      <c r="O55" s="158">
        <f>LOOKUP($A55,'GDP data'!$A$2:$A$192,'GDP data'!G$2:G$192)</f>
        <v>35.683</v>
      </c>
      <c r="P55" s="158">
        <f>LOOKUP($A55,'GDP data'!$A$2:$A$192,'GDP data'!H$2:H$192)</f>
        <v>38.753</v>
      </c>
      <c r="Q55" s="158">
        <f>LOOKUP($A55,'GDP data'!$A$2:$A$192,'GDP data'!I$2:I$192)</f>
        <v>42.134999999999998</v>
      </c>
      <c r="R55" s="158">
        <f>LOOKUP($A55,'GDP data'!$A$2:$A$192,'GDP data'!J$2:J$192)</f>
        <v>45.819000000000003</v>
      </c>
      <c r="S55" s="158">
        <f>LOOKUP($A55,'GDP data'!$A$2:$A$192,'GDP data'!K$2:K$192)</f>
        <v>49.798000000000002</v>
      </c>
      <c r="T55" s="156"/>
      <c r="U55" s="156"/>
      <c r="V55" s="133">
        <f t="shared" si="23"/>
        <v>6.643023045589195E-4</v>
      </c>
      <c r="W55" s="133">
        <f t="shared" si="24"/>
        <v>6.6063332918566342E-4</v>
      </c>
      <c r="X55" s="133">
        <f t="shared" si="25"/>
        <v>6.718929353984733E-4</v>
      </c>
      <c r="Y55" s="133">
        <f t="shared" si="26"/>
        <v>6.85436336328087E-4</v>
      </c>
      <c r="Z55" s="133">
        <f t="shared" si="27"/>
        <v>7.0036260251294866E-4</v>
      </c>
      <c r="AA55" s="133">
        <f t="shared" si="28"/>
        <v>7.158098241012243E-4</v>
      </c>
      <c r="AB55" s="133">
        <f t="shared" si="29"/>
        <v>7.3172826890089966E-4</v>
      </c>
      <c r="AC55" s="133">
        <f t="shared" si="30"/>
        <v>7.4813683160941929E-4</v>
      </c>
      <c r="AD55" s="156"/>
      <c r="AE55" s="156"/>
      <c r="AF55" s="159">
        <f t="shared" si="31"/>
        <v>4.0217663461579876E-5</v>
      </c>
      <c r="AG55" s="159">
        <f t="shared" si="32"/>
        <v>3.4097058307663848E-5</v>
      </c>
      <c r="AH55" s="159">
        <f t="shared" si="33"/>
        <v>4.8535556154296866E-5</v>
      </c>
      <c r="AI55" s="159">
        <f t="shared" si="34"/>
        <v>5.6469957517125793E-5</v>
      </c>
      <c r="AJ55" s="159">
        <f t="shared" si="35"/>
        <v>6.0255953527302958E-5</v>
      </c>
      <c r="AK55" s="159">
        <f t="shared" si="36"/>
        <v>6.246919787139932E-5</v>
      </c>
      <c r="AL55" s="159">
        <f t="shared" si="37"/>
        <v>6.3977380862250294E-5</v>
      </c>
      <c r="AM55" s="159">
        <f t="shared" si="38"/>
        <v>6.496947670123485E-5</v>
      </c>
    </row>
    <row r="56" spans="1:39" hidden="1" outlineLevel="2">
      <c r="A56" s="160" t="s">
        <v>235</v>
      </c>
      <c r="B56" s="133">
        <f>LOOKUP($A56,'GDP data'!$A$2:$A$192,'GDP data'!P$2:P$192)</f>
        <v>6.3695107477251822E-2</v>
      </c>
      <c r="C56" s="133">
        <f>LOOKUP($A56,'GDP data'!$A$2:$A$192,'GDP data'!Q$2:Q$192)</f>
        <v>-2.9134639226382375E-2</v>
      </c>
      <c r="D56" s="133">
        <f>LOOKUP($A56,'GDP data'!$A$2:$A$192,'GDP data'!R$2:R$192)</f>
        <v>2.2985570169837821E-3</v>
      </c>
      <c r="E56" s="133">
        <f>LOOKUP($A56,'GDP data'!$A$2:$A$192,'GDP data'!S$2:S$192)</f>
        <v>1.7327048031596348E-2</v>
      </c>
      <c r="F56" s="133">
        <f>LOOKUP($A56,'GDP data'!$A$2:$A$192,'GDP data'!T$2:T$192)</f>
        <v>2.1039448966812868E-2</v>
      </c>
      <c r="G56" s="133">
        <f>LOOKUP($A56,'GDP data'!$A$2:$A$192,'GDP data'!U$2:U$192)</f>
        <v>2.5512081442413903E-2</v>
      </c>
      <c r="H56" s="133">
        <f>LOOKUP($A56,'GDP data'!$A$2:$A$192,'GDP data'!V$2:V$192)</f>
        <v>2.6193039110154137E-2</v>
      </c>
      <c r="I56" s="133">
        <f>LOOKUP($A56,'GDP data'!$A$2:$A$192,'GDP data'!W$2:W$192)</f>
        <v>2.5874125874125742E-2</v>
      </c>
      <c r="J56" s="851"/>
      <c r="K56" s="156"/>
      <c r="L56" s="158">
        <f>LOOKUP($A56,'GDP data'!$A$2:$A$192,'GDP data'!D$2:D$192)</f>
        <v>8.0660000000000007</v>
      </c>
      <c r="M56" s="158">
        <f>LOOKUP($A56,'GDP data'!$A$2:$A$192,'GDP data'!E$2:E$192)</f>
        <v>7.8310000000000004</v>
      </c>
      <c r="N56" s="158">
        <f>LOOKUP($A56,'GDP data'!$A$2:$A$192,'GDP data'!F$2:F$192)</f>
        <v>7.8490000000000002</v>
      </c>
      <c r="O56" s="158">
        <f>LOOKUP($A56,'GDP data'!$A$2:$A$192,'GDP data'!G$2:G$192)</f>
        <v>7.9850000000000003</v>
      </c>
      <c r="P56" s="158">
        <f>LOOKUP($A56,'GDP data'!$A$2:$A$192,'GDP data'!H$2:H$192)</f>
        <v>8.1530000000000005</v>
      </c>
      <c r="Q56" s="158">
        <f>LOOKUP($A56,'GDP data'!$A$2:$A$192,'GDP data'!I$2:I$192)</f>
        <v>8.3610000000000007</v>
      </c>
      <c r="R56" s="158">
        <f>LOOKUP($A56,'GDP data'!$A$2:$A$192,'GDP data'!J$2:J$192)</f>
        <v>8.58</v>
      </c>
      <c r="S56" s="158">
        <f>LOOKUP($A56,'GDP data'!$A$2:$A$192,'GDP data'!K$2:K$192)</f>
        <v>8.8019999999999996</v>
      </c>
      <c r="T56" s="156"/>
      <c r="U56" s="156"/>
      <c r="V56" s="133">
        <f t="shared" si="23"/>
        <v>1.8326991102275356E-4</v>
      </c>
      <c r="W56" s="133">
        <f t="shared" si="24"/>
        <v>1.6826317572539291E-4</v>
      </c>
      <c r="X56" s="133">
        <f t="shared" si="25"/>
        <v>1.5996868535027807E-4</v>
      </c>
      <c r="Y56" s="133">
        <f t="shared" si="26"/>
        <v>1.5338422065352619E-4</v>
      </c>
      <c r="Z56" s="133">
        <f t="shared" si="27"/>
        <v>1.4734488422284909E-4</v>
      </c>
      <c r="AA56" s="133">
        <f t="shared" si="28"/>
        <v>1.4204072479673282E-4</v>
      </c>
      <c r="AB56" s="133">
        <f t="shared" si="29"/>
        <v>1.3702238257425346E-4</v>
      </c>
      <c r="AC56" s="133">
        <f t="shared" si="30"/>
        <v>1.322362422552333E-4</v>
      </c>
      <c r="AD56" s="156"/>
      <c r="AE56" s="156"/>
      <c r="AF56" s="159">
        <f t="shared" si="31"/>
        <v>1.1673396679940667E-5</v>
      </c>
      <c r="AG56" s="159">
        <f t="shared" si="32"/>
        <v>-4.9022869198447029E-6</v>
      </c>
      <c r="AH56" s="159">
        <f t="shared" si="33"/>
        <v>3.6769714420955241E-7</v>
      </c>
      <c r="AI56" s="159">
        <f t="shared" si="34"/>
        <v>2.6576957585526209E-6</v>
      </c>
      <c r="AJ56" s="159">
        <f t="shared" si="35"/>
        <v>3.1000551721275841E-6</v>
      </c>
      <c r="AK56" s="159">
        <f t="shared" si="36"/>
        <v>3.6237545391537478E-6</v>
      </c>
      <c r="AL56" s="159">
        <f t="shared" si="37"/>
        <v>3.5890326257339235E-6</v>
      </c>
      <c r="AM56" s="159">
        <f t="shared" si="38"/>
        <v>3.4214971772332915E-6</v>
      </c>
    </row>
    <row r="57" spans="1:39" hidden="1" outlineLevel="2">
      <c r="A57" s="160" t="s">
        <v>238</v>
      </c>
      <c r="B57" s="133">
        <f>LOOKUP($A57,'GDP data'!$A$2:$A$192,'GDP data'!P$2:P$192)</f>
        <v>7.8272861286794448E-2</v>
      </c>
      <c r="C57" s="133">
        <f>LOOKUP($A57,'GDP data'!$A$2:$A$192,'GDP data'!Q$2:Q$192)</f>
        <v>6.91216464535096E-2</v>
      </c>
      <c r="D57" s="133">
        <f>LOOKUP($A57,'GDP data'!$A$2:$A$192,'GDP data'!R$2:R$192)</f>
        <v>6.0073975277407321E-2</v>
      </c>
      <c r="E57" s="133">
        <f>LOOKUP($A57,'GDP data'!$A$2:$A$192,'GDP data'!S$2:S$192)</f>
        <v>5.7824011621874005E-2</v>
      </c>
      <c r="F57" s="133">
        <f>LOOKUP($A57,'GDP data'!$A$2:$A$192,'GDP data'!T$2:T$192)</f>
        <v>6.5993084336758434E-2</v>
      </c>
      <c r="G57" s="133">
        <f>LOOKUP($A57,'GDP data'!$A$2:$A$192,'GDP data'!U$2:U$192)</f>
        <v>7.2260053372595889E-2</v>
      </c>
      <c r="H57" s="133">
        <f>LOOKUP($A57,'GDP data'!$A$2:$A$192,'GDP data'!V$2:V$192)</f>
        <v>7.3354931451007355E-2</v>
      </c>
      <c r="I57" s="133">
        <f>LOOKUP($A57,'GDP data'!$A$2:$A$192,'GDP data'!W$2:W$192)</f>
        <v>7.6417206364435941E-2</v>
      </c>
      <c r="J57" s="851"/>
      <c r="K57" s="156"/>
      <c r="L57" s="158">
        <f>LOOKUP($A57,'GDP data'!$A$2:$A$192,'GDP data'!D$2:D$192)</f>
        <v>68.025000000000006</v>
      </c>
      <c r="M57" s="158">
        <f>LOOKUP($A57,'GDP data'!$A$2:$A$192,'GDP data'!E$2:E$192)</f>
        <v>72.727000000000004</v>
      </c>
      <c r="N57" s="158">
        <f>LOOKUP($A57,'GDP data'!$A$2:$A$192,'GDP data'!F$2:F$192)</f>
        <v>77.096000000000004</v>
      </c>
      <c r="O57" s="158">
        <f>LOOKUP($A57,'GDP data'!$A$2:$A$192,'GDP data'!G$2:G$192)</f>
        <v>81.554000000000002</v>
      </c>
      <c r="P57" s="158">
        <f>LOOKUP($A57,'GDP data'!$A$2:$A$192,'GDP data'!H$2:H$192)</f>
        <v>86.936000000000007</v>
      </c>
      <c r="Q57" s="158">
        <f>LOOKUP($A57,'GDP data'!$A$2:$A$192,'GDP data'!I$2:I$192)</f>
        <v>93.218000000000004</v>
      </c>
      <c r="R57" s="158">
        <f>LOOKUP($A57,'GDP data'!$A$2:$A$192,'GDP data'!J$2:J$192)</f>
        <v>100.056</v>
      </c>
      <c r="S57" s="158">
        <f>LOOKUP($A57,'GDP data'!$A$2:$A$192,'GDP data'!K$2:K$192)</f>
        <v>107.702</v>
      </c>
      <c r="T57" s="156"/>
      <c r="U57" s="156"/>
      <c r="V57" s="133">
        <f t="shared" si="23"/>
        <v>1.5456156331915213E-3</v>
      </c>
      <c r="W57" s="133">
        <f t="shared" si="24"/>
        <v>1.5626709208250097E-3</v>
      </c>
      <c r="X57" s="133">
        <f t="shared" si="25"/>
        <v>1.5712760562829708E-3</v>
      </c>
      <c r="Y57" s="133">
        <f t="shared" si="26"/>
        <v>1.5665744184317691E-3</v>
      </c>
      <c r="Z57" s="133">
        <f t="shared" si="27"/>
        <v>1.5711486391264083E-3</v>
      </c>
      <c r="AA57" s="133">
        <f t="shared" si="28"/>
        <v>1.5836326138143569E-3</v>
      </c>
      <c r="AB57" s="133">
        <f t="shared" si="29"/>
        <v>1.5978917844812941E-3</v>
      </c>
      <c r="AC57" s="133">
        <f t="shared" si="30"/>
        <v>1.6180535972930173E-3</v>
      </c>
      <c r="AD57" s="156"/>
      <c r="AE57" s="156"/>
      <c r="AF57" s="159">
        <f t="shared" si="31"/>
        <v>1.2097975805950092E-4</v>
      </c>
      <c r="AG57" s="159">
        <f t="shared" si="32"/>
        <v>1.0801438691244661E-4</v>
      </c>
      <c r="AH57" s="159">
        <f t="shared" si="33"/>
        <v>9.4392798959125259E-5</v>
      </c>
      <c r="AI57" s="159">
        <f t="shared" si="34"/>
        <v>9.0585617377929122E-5</v>
      </c>
      <c r="AJ57" s="159">
        <f t="shared" si="35"/>
        <v>1.0368494464745231E-4</v>
      </c>
      <c r="AK57" s="159">
        <f t="shared" si="36"/>
        <v>1.1443337719680896E-4</v>
      </c>
      <c r="AL57" s="159">
        <f t="shared" si="37"/>
        <v>1.1721324231675315E-4</v>
      </c>
      <c r="AM57" s="159">
        <f t="shared" si="38"/>
        <v>1.2364713565305842E-4</v>
      </c>
    </row>
    <row r="58" spans="1:39" hidden="1" outlineLevel="2">
      <c r="A58" s="160" t="s">
        <v>236</v>
      </c>
      <c r="B58" s="133">
        <f>LOOKUP($A58,'GDP data'!$A$2:$A$192,'GDP data'!P$2:P$192)</f>
        <v>2.4299065420560595E-2</v>
      </c>
      <c r="C58" s="133">
        <f>LOOKUP($A58,'GDP data'!$A$2:$A$192,'GDP data'!Q$2:Q$192)</f>
        <v>2.0985401459854058E-2</v>
      </c>
      <c r="D58" s="133">
        <f>LOOKUP($A58,'GDP data'!$A$2:$A$192,'GDP data'!R$2:R$192)</f>
        <v>5.1236222817992116E-2</v>
      </c>
      <c r="E58" s="133">
        <f>LOOKUP($A58,'GDP data'!$A$2:$A$192,'GDP data'!S$2:S$192)</f>
        <v>5.8090110512893256E-2</v>
      </c>
      <c r="F58" s="133">
        <f>LOOKUP($A58,'GDP data'!$A$2:$A$192,'GDP data'!T$2:T$192)</f>
        <v>6.1328334226031123E-2</v>
      </c>
      <c r="G58" s="133">
        <f>LOOKUP($A58,'GDP data'!$A$2:$A$192,'GDP data'!U$2:U$192)</f>
        <v>6.3588190764572339E-2</v>
      </c>
      <c r="H58" s="133">
        <f>LOOKUP($A58,'GDP data'!$A$2:$A$192,'GDP data'!V$2:V$192)</f>
        <v>6.2870699881376169E-2</v>
      </c>
      <c r="I58" s="133">
        <f>LOOKUP($A58,'GDP data'!$A$2:$A$192,'GDP data'!W$2:W$192)</f>
        <v>6.2946428571428292E-2</v>
      </c>
      <c r="J58" s="851"/>
      <c r="K58" s="156"/>
      <c r="L58" s="158">
        <f>LOOKUP($A58,'GDP data'!$A$2:$A$192,'GDP data'!D$2:D$192)</f>
        <v>3.2879999999999998</v>
      </c>
      <c r="M58" s="158">
        <f>LOOKUP($A58,'GDP data'!$A$2:$A$192,'GDP data'!E$2:E$192)</f>
        <v>3.3570000000000002</v>
      </c>
      <c r="N58" s="158">
        <f>LOOKUP($A58,'GDP data'!$A$2:$A$192,'GDP data'!F$2:F$192)</f>
        <v>3.5289999999999999</v>
      </c>
      <c r="O58" s="158">
        <f>LOOKUP($A58,'GDP data'!$A$2:$A$192,'GDP data'!G$2:G$192)</f>
        <v>3.734</v>
      </c>
      <c r="P58" s="158">
        <f>LOOKUP($A58,'GDP data'!$A$2:$A$192,'GDP data'!H$2:H$192)</f>
        <v>3.9630000000000001</v>
      </c>
      <c r="Q58" s="158">
        <f>LOOKUP($A58,'GDP data'!$A$2:$A$192,'GDP data'!I$2:I$192)</f>
        <v>4.2149999999999999</v>
      </c>
      <c r="R58" s="158">
        <f>LOOKUP($A58,'GDP data'!$A$2:$A$192,'GDP data'!J$2:J$192)</f>
        <v>4.4800000000000004</v>
      </c>
      <c r="S58" s="158">
        <f>LOOKUP($A58,'GDP data'!$A$2:$A$192,'GDP data'!K$2:K$192)</f>
        <v>4.7619999999999996</v>
      </c>
      <c r="T58" s="156"/>
      <c r="U58" s="156"/>
      <c r="V58" s="133">
        <f t="shared" si="23"/>
        <v>7.470759576528807E-5</v>
      </c>
      <c r="W58" s="133">
        <f t="shared" si="24"/>
        <v>7.2131206858657134E-5</v>
      </c>
      <c r="X58" s="133">
        <f t="shared" si="25"/>
        <v>7.1923747050723822E-5</v>
      </c>
      <c r="Y58" s="133">
        <f t="shared" si="26"/>
        <v>7.1726572313120449E-5</v>
      </c>
      <c r="Z58" s="133">
        <f t="shared" si="27"/>
        <v>7.1621216260904066E-5</v>
      </c>
      <c r="AA58" s="133">
        <f t="shared" si="28"/>
        <v>7.1606465137929521E-5</v>
      </c>
      <c r="AB58" s="133">
        <f t="shared" si="29"/>
        <v>7.1545486472337477E-5</v>
      </c>
      <c r="AC58" s="133">
        <f t="shared" si="30"/>
        <v>7.1541579824973975E-5</v>
      </c>
      <c r="AD58" s="156"/>
      <c r="AE58" s="156"/>
      <c r="AF58" s="159">
        <f t="shared" si="31"/>
        <v>1.8153247569135306E-6</v>
      </c>
      <c r="AG58" s="159">
        <f t="shared" si="32"/>
        <v>1.5137023337126985E-6</v>
      </c>
      <c r="AH58" s="159">
        <f t="shared" si="33"/>
        <v>3.685101129795789E-6</v>
      </c>
      <c r="AI58" s="159">
        <f t="shared" si="34"/>
        <v>4.1666045123801961E-6</v>
      </c>
      <c r="AJ58" s="159">
        <f t="shared" si="35"/>
        <v>4.3924098885235798E-6</v>
      </c>
      <c r="AK58" s="159">
        <f t="shared" si="36"/>
        <v>4.5533255651673614E-6</v>
      </c>
      <c r="AL58" s="159">
        <f t="shared" si="37"/>
        <v>4.4981148078693881E-6</v>
      </c>
      <c r="AM58" s="159">
        <f t="shared" si="38"/>
        <v>4.5032869443398599E-6</v>
      </c>
    </row>
    <row r="59" spans="1:39" hidden="1" outlineLevel="2">
      <c r="A59" s="160" t="s">
        <v>240</v>
      </c>
      <c r="B59" s="133">
        <f>LOOKUP($A59,'GDP data'!$A$2:$A$192,'GDP data'!P$2:P$192)</f>
        <v>2.8240405503258348E-2</v>
      </c>
      <c r="C59" s="133">
        <f>LOOKUP($A59,'GDP data'!$A$2:$A$192,'GDP data'!Q$2:Q$192)</f>
        <v>5.9507042253521103E-2</v>
      </c>
      <c r="D59" s="133">
        <f>LOOKUP($A59,'GDP data'!$A$2:$A$192,'GDP data'!R$2:R$192)</f>
        <v>5.849119308740458E-2</v>
      </c>
      <c r="E59" s="133">
        <f>LOOKUP($A59,'GDP data'!$A$2:$A$192,'GDP data'!S$2:S$192)</f>
        <v>6.5934065934065922E-2</v>
      </c>
      <c r="F59" s="133">
        <f>LOOKUP($A59,'GDP data'!$A$2:$A$192,'GDP data'!T$2:T$192)</f>
        <v>7.0692194403534581E-2</v>
      </c>
      <c r="G59" s="133">
        <f>LOOKUP($A59,'GDP data'!$A$2:$A$192,'GDP data'!U$2:U$192)</f>
        <v>7.4552957359009797E-2</v>
      </c>
      <c r="H59" s="133">
        <f>LOOKUP($A59,'GDP data'!$A$2:$A$192,'GDP data'!V$2:V$192)</f>
        <v>7.7060931899641583E-2</v>
      </c>
      <c r="I59" s="133">
        <f>LOOKUP($A59,'GDP data'!$A$2:$A$192,'GDP data'!W$2:W$192)</f>
        <v>7.8202995008319398E-2</v>
      </c>
      <c r="J59" s="851"/>
      <c r="K59" s="156"/>
      <c r="L59" s="158">
        <f>LOOKUP($A59,'GDP data'!$A$2:$A$192,'GDP data'!D$2:D$192)</f>
        <v>2.84</v>
      </c>
      <c r="M59" s="158">
        <f>LOOKUP($A59,'GDP data'!$A$2:$A$192,'GDP data'!E$2:E$192)</f>
        <v>3.0089999999999999</v>
      </c>
      <c r="N59" s="158">
        <f>LOOKUP($A59,'GDP data'!$A$2:$A$192,'GDP data'!F$2:F$192)</f>
        <v>3.1850000000000001</v>
      </c>
      <c r="O59" s="158">
        <f>LOOKUP($A59,'GDP data'!$A$2:$A$192,'GDP data'!G$2:G$192)</f>
        <v>3.395</v>
      </c>
      <c r="P59" s="158">
        <f>LOOKUP($A59,'GDP data'!$A$2:$A$192,'GDP data'!H$2:H$192)</f>
        <v>3.6349999999999998</v>
      </c>
      <c r="Q59" s="158">
        <f>LOOKUP($A59,'GDP data'!$A$2:$A$192,'GDP data'!I$2:I$192)</f>
        <v>3.9060000000000001</v>
      </c>
      <c r="R59" s="158">
        <f>LOOKUP($A59,'GDP data'!$A$2:$A$192,'GDP data'!J$2:J$192)</f>
        <v>4.2069999999999999</v>
      </c>
      <c r="S59" s="158">
        <f>LOOKUP($A59,'GDP data'!$A$2:$A$192,'GDP data'!K$2:K$192)</f>
        <v>4.5359999999999996</v>
      </c>
      <c r="T59" s="156"/>
      <c r="U59" s="156"/>
      <c r="V59" s="133">
        <f t="shared" si="23"/>
        <v>6.4528458629385083E-5</v>
      </c>
      <c r="W59" s="133">
        <f t="shared" si="24"/>
        <v>6.4653798462227969E-5</v>
      </c>
      <c r="X59" s="133">
        <f t="shared" si="25"/>
        <v>6.4912761223166727E-5</v>
      </c>
      <c r="Y59" s="133">
        <f t="shared" si="26"/>
        <v>6.5214706213991409E-5</v>
      </c>
      <c r="Z59" s="133">
        <f t="shared" si="27"/>
        <v>6.5693444640016723E-5</v>
      </c>
      <c r="AA59" s="133">
        <f t="shared" si="28"/>
        <v>6.635702320966851E-5</v>
      </c>
      <c r="AB59" s="133">
        <f t="shared" si="29"/>
        <v>6.7185683390429398E-5</v>
      </c>
      <c r="AC59" s="133">
        <f t="shared" si="30"/>
        <v>6.8146284352390166E-5</v>
      </c>
      <c r="AD59" s="156"/>
      <c r="AE59" s="156"/>
      <c r="AF59" s="159">
        <f t="shared" si="31"/>
        <v>1.8223098381940652E-6</v>
      </c>
      <c r="AG59" s="159">
        <f t="shared" si="32"/>
        <v>3.8473563169424378E-6</v>
      </c>
      <c r="AH59" s="159">
        <f t="shared" si="33"/>
        <v>3.7968248505408339E-6</v>
      </c>
      <c r="AI59" s="159">
        <f t="shared" si="34"/>
        <v>4.2998707393840481E-6</v>
      </c>
      <c r="AJ59" s="159">
        <f t="shared" si="35"/>
        <v>4.6440137595298991E-6</v>
      </c>
      <c r="AK59" s="159">
        <f t="shared" si="36"/>
        <v>4.9471123218212397E-6</v>
      </c>
      <c r="AL59" s="159">
        <f t="shared" si="37"/>
        <v>5.1773913723807602E-6</v>
      </c>
      <c r="AM59" s="159">
        <f t="shared" si="38"/>
        <v>5.3292435350454821E-6</v>
      </c>
    </row>
    <row r="60" spans="1:39" hidden="1" outlineLevel="2">
      <c r="A60" s="160" t="s">
        <v>241</v>
      </c>
      <c r="B60" s="133">
        <f>LOOKUP($A60,'GDP data'!$A$2:$A$192,'GDP data'!P$2:P$192)</f>
        <v>8.8118956929387648E-2</v>
      </c>
      <c r="C60" s="133">
        <f>LOOKUP($A60,'GDP data'!$A$2:$A$192,'GDP data'!Q$2:Q$192)</f>
        <v>2.8710871760349921E-2</v>
      </c>
      <c r="D60" s="133">
        <f>LOOKUP($A60,'GDP data'!$A$2:$A$192,'GDP data'!R$2:R$192)</f>
        <v>-5.2383601086280818E-2</v>
      </c>
      <c r="E60" s="133">
        <f>LOOKUP($A60,'GDP data'!$A$2:$A$192,'GDP data'!S$2:S$192)</f>
        <v>2.3548097507078092E-2</v>
      </c>
      <c r="F60" s="133">
        <f>LOOKUP($A60,'GDP data'!$A$2:$A$192,'GDP data'!T$2:T$192)</f>
        <v>4.4089866414788847E-2</v>
      </c>
      <c r="G60" s="133">
        <f>LOOKUP($A60,'GDP data'!$A$2:$A$192,'GDP data'!U$2:U$192)</f>
        <v>5.3245452489418588E-2</v>
      </c>
      <c r="H60" s="133">
        <f>LOOKUP($A60,'GDP data'!$A$2:$A$192,'GDP data'!V$2:V$192)</f>
        <v>6.135157520169332E-2</v>
      </c>
      <c r="I60" s="133">
        <f>LOOKUP($A60,'GDP data'!$A$2:$A$192,'GDP data'!W$2:W$192)</f>
        <v>5.7602820890777284E-2</v>
      </c>
      <c r="J60" s="851"/>
      <c r="K60" s="156"/>
      <c r="L60" s="158">
        <f>LOOKUP($A60,'GDP data'!$A$2:$A$192,'GDP data'!D$2:D$192)</f>
        <v>29.71</v>
      </c>
      <c r="M60" s="158">
        <f>LOOKUP($A60,'GDP data'!$A$2:$A$192,'GDP data'!E$2:E$192)</f>
        <v>30.562999999999999</v>
      </c>
      <c r="N60" s="158">
        <f>LOOKUP($A60,'GDP data'!$A$2:$A$192,'GDP data'!F$2:F$192)</f>
        <v>28.962</v>
      </c>
      <c r="O60" s="158">
        <f>LOOKUP($A60,'GDP data'!$A$2:$A$192,'GDP data'!G$2:G$192)</f>
        <v>29.643999999999998</v>
      </c>
      <c r="P60" s="158">
        <f>LOOKUP($A60,'GDP data'!$A$2:$A$192,'GDP data'!H$2:H$192)</f>
        <v>30.951000000000001</v>
      </c>
      <c r="Q60" s="158">
        <f>LOOKUP($A60,'GDP data'!$A$2:$A$192,'GDP data'!I$2:I$192)</f>
        <v>32.598999999999997</v>
      </c>
      <c r="R60" s="158">
        <f>LOOKUP($A60,'GDP data'!$A$2:$A$192,'GDP data'!J$2:J$192)</f>
        <v>34.598999999999997</v>
      </c>
      <c r="S60" s="158">
        <f>LOOKUP($A60,'GDP data'!$A$2:$A$192,'GDP data'!K$2:K$192)</f>
        <v>36.591999999999999</v>
      </c>
      <c r="T60" s="156"/>
      <c r="U60" s="156"/>
      <c r="V60" s="133">
        <f t="shared" si="23"/>
        <v>6.750494739010672E-4</v>
      </c>
      <c r="W60" s="133">
        <f t="shared" si="24"/>
        <v>6.56701243735817E-4</v>
      </c>
      <c r="X60" s="133">
        <f t="shared" si="25"/>
        <v>5.9026794051659495E-4</v>
      </c>
      <c r="Y60" s="133">
        <f t="shared" si="26"/>
        <v>5.6943291634979718E-4</v>
      </c>
      <c r="Z60" s="133">
        <f t="shared" si="27"/>
        <v>5.5936115682342716E-4</v>
      </c>
      <c r="AA60" s="133">
        <f t="shared" si="28"/>
        <v>5.5380762918893578E-4</v>
      </c>
      <c r="AB60" s="133">
        <f t="shared" si="29"/>
        <v>5.5254515322687584E-4</v>
      </c>
      <c r="AC60" s="133">
        <f t="shared" si="30"/>
        <v>5.497373979326854E-4</v>
      </c>
      <c r="AD60" s="156"/>
      <c r="AE60" s="156"/>
      <c r="AF60" s="159">
        <f t="shared" si="31"/>
        <v>5.9484655515893934E-5</v>
      </c>
      <c r="AG60" s="159">
        <f t="shared" si="32"/>
        <v>1.8854465193761339E-5</v>
      </c>
      <c r="AH60" s="159">
        <f t="shared" si="33"/>
        <v>-3.0920360330041841E-5</v>
      </c>
      <c r="AI60" s="159">
        <f t="shared" si="34"/>
        <v>1.3409061837944867E-5</v>
      </c>
      <c r="AJ60" s="159">
        <f t="shared" si="35"/>
        <v>2.4662158681966657E-5</v>
      </c>
      <c r="AK60" s="159">
        <f t="shared" si="36"/>
        <v>2.9487737808257026E-5</v>
      </c>
      <c r="AL60" s="159">
        <f t="shared" si="37"/>
        <v>3.3899515520529831E-5</v>
      </c>
      <c r="AM60" s="159">
        <f t="shared" si="38"/>
        <v>3.1666424870078435E-5</v>
      </c>
    </row>
    <row r="61" spans="1:39" hidden="1" outlineLevel="2">
      <c r="A61" s="160" t="s">
        <v>245</v>
      </c>
      <c r="B61" s="133">
        <f>LOOKUP($A61,'GDP data'!$A$2:$A$192,'GDP data'!P$2:P$192)</f>
        <v>3.7456445993031551E-2</v>
      </c>
      <c r="C61" s="133">
        <f>LOOKUP($A61,'GDP data'!$A$2:$A$192,'GDP data'!Q$2:Q$192)</f>
        <v>2.1830394626364491E-2</v>
      </c>
      <c r="D61" s="133">
        <f>LOOKUP($A61,'GDP data'!$A$2:$A$192,'GDP data'!R$2:R$192)</f>
        <v>3.4511092851273517E-2</v>
      </c>
      <c r="E61" s="133">
        <f>LOOKUP($A61,'GDP data'!$A$2:$A$192,'GDP data'!S$2:S$192)</f>
        <v>5.083399523431309E-2</v>
      </c>
      <c r="F61" s="133">
        <f>LOOKUP($A61,'GDP data'!$A$2:$A$192,'GDP data'!T$2:T$192)</f>
        <v>6.0468631897203418E-2</v>
      </c>
      <c r="G61" s="133">
        <f>LOOKUP($A61,'GDP data'!$A$2:$A$192,'GDP data'!U$2:U$192)</f>
        <v>6.2009978617248773E-2</v>
      </c>
      <c r="H61" s="133">
        <f>LOOKUP($A61,'GDP data'!$A$2:$A$192,'GDP data'!V$2:V$192)</f>
        <v>6.174496644295302E-2</v>
      </c>
      <c r="I61" s="133">
        <f>LOOKUP($A61,'GDP data'!$A$2:$A$192,'GDP data'!W$2:W$192)</f>
        <v>6.1314791403286995E-2</v>
      </c>
      <c r="J61" s="851"/>
      <c r="K61" s="156"/>
      <c r="L61" s="158">
        <f>LOOKUP($A61,'GDP data'!$A$2:$A$192,'GDP data'!D$2:D$192)</f>
        <v>1.1910000000000001</v>
      </c>
      <c r="M61" s="158">
        <f>LOOKUP($A61,'GDP data'!$A$2:$A$192,'GDP data'!E$2:E$192)</f>
        <v>1.2170000000000001</v>
      </c>
      <c r="N61" s="158">
        <f>LOOKUP($A61,'GDP data'!$A$2:$A$192,'GDP data'!F$2:F$192)</f>
        <v>1.2589999999999999</v>
      </c>
      <c r="O61" s="158">
        <f>LOOKUP($A61,'GDP data'!$A$2:$A$192,'GDP data'!G$2:G$192)</f>
        <v>1.323</v>
      </c>
      <c r="P61" s="158">
        <f>LOOKUP($A61,'GDP data'!$A$2:$A$192,'GDP data'!H$2:H$192)</f>
        <v>1.403</v>
      </c>
      <c r="Q61" s="158">
        <f>LOOKUP($A61,'GDP data'!$A$2:$A$192,'GDP data'!I$2:I$192)</f>
        <v>1.49</v>
      </c>
      <c r="R61" s="158">
        <f>LOOKUP($A61,'GDP data'!$A$2:$A$192,'GDP data'!J$2:J$192)</f>
        <v>1.5820000000000001</v>
      </c>
      <c r="S61" s="158">
        <f>LOOKUP($A61,'GDP data'!$A$2:$A$192,'GDP data'!K$2:K$192)</f>
        <v>1.679</v>
      </c>
      <c r="T61" s="156"/>
      <c r="U61" s="156"/>
      <c r="V61" s="133">
        <f t="shared" si="23"/>
        <v>2.7061054305492124E-5</v>
      </c>
      <c r="W61" s="133">
        <f t="shared" si="24"/>
        <v>2.6149442581765185E-5</v>
      </c>
      <c r="X61" s="133">
        <f t="shared" si="25"/>
        <v>2.5659392897948794E-5</v>
      </c>
      <c r="Y61" s="133">
        <f t="shared" si="26"/>
        <v>2.5413565926689434E-5</v>
      </c>
      <c r="Z61" s="133">
        <f t="shared" si="27"/>
        <v>2.5355681658856524E-5</v>
      </c>
      <c r="AA61" s="133">
        <f t="shared" si="28"/>
        <v>2.5312842955045075E-5</v>
      </c>
      <c r="AB61" s="133">
        <f t="shared" si="29"/>
        <v>2.5264499910544168E-5</v>
      </c>
      <c r="AC61" s="133">
        <f t="shared" si="30"/>
        <v>2.5224341143664706E-5</v>
      </c>
      <c r="AD61" s="156"/>
      <c r="AE61" s="156"/>
      <c r="AF61" s="159">
        <f t="shared" si="31"/>
        <v>1.0136109191081596E-6</v>
      </c>
      <c r="AG61" s="159">
        <f t="shared" si="32"/>
        <v>5.7085265081939351E-7</v>
      </c>
      <c r="AH61" s="159">
        <f t="shared" si="33"/>
        <v>8.855336908084191E-7</v>
      </c>
      <c r="AI61" s="159">
        <f t="shared" si="34"/>
        <v>1.2918730892042323E-6</v>
      </c>
      <c r="AJ61" s="159">
        <f t="shared" si="35"/>
        <v>1.5332233807320674E-6</v>
      </c>
      <c r="AK61" s="159">
        <f t="shared" si="36"/>
        <v>1.5696488503841213E-6</v>
      </c>
      <c r="AL61" s="159">
        <f t="shared" si="37"/>
        <v>1.5599556991745392E-6</v>
      </c>
      <c r="AM61" s="159">
        <f t="shared" si="38"/>
        <v>1.5466252155091511E-6</v>
      </c>
    </row>
    <row r="62" spans="1:39" hidden="1" outlineLevel="2">
      <c r="A62" s="160" t="s">
        <v>250</v>
      </c>
      <c r="B62" s="133">
        <f>LOOKUP($A62,'GDP data'!$A$2:$A$192,'GDP data'!P$2:P$192)</f>
        <v>1.2933494669071344E-2</v>
      </c>
      <c r="C62" s="133">
        <f>LOOKUP($A62,'GDP data'!$A$2:$A$192,'GDP data'!Q$2:Q$192)</f>
        <v>3.3549332281512356E-2</v>
      </c>
      <c r="D62" s="133">
        <f>LOOKUP($A62,'GDP data'!$A$2:$A$192,'GDP data'!R$2:R$192)</f>
        <v>4.2971475924633573E-2</v>
      </c>
      <c r="E62" s="133">
        <f>LOOKUP($A62,'GDP data'!$A$2:$A$192,'GDP data'!S$2:S$192)</f>
        <v>4.7337772991960403E-2</v>
      </c>
      <c r="F62" s="133">
        <f>LOOKUP($A62,'GDP data'!$A$2:$A$192,'GDP data'!T$2:T$192)</f>
        <v>4.666553538096041E-2</v>
      </c>
      <c r="G62" s="133">
        <f>LOOKUP($A62,'GDP data'!$A$2:$A$192,'GDP data'!U$2:U$192)</f>
        <v>4.6663996337834801E-2</v>
      </c>
      <c r="H62" s="133">
        <f>LOOKUP($A62,'GDP data'!$A$2:$A$192,'GDP data'!V$2:V$192)</f>
        <v>4.4191746621837114E-2</v>
      </c>
      <c r="I62" s="133">
        <f>LOOKUP($A62,'GDP data'!$A$2:$A$192,'GDP data'!W$2:W$192)</f>
        <v>4.2897407481740757E-2</v>
      </c>
      <c r="J62" s="851"/>
      <c r="K62" s="156"/>
      <c r="L62" s="158">
        <f>LOOKUP($A62,'GDP data'!$A$2:$A$192,'GDP data'!D$2:D$192)</f>
        <v>88.734999999999999</v>
      </c>
      <c r="M62" s="158">
        <f>LOOKUP($A62,'GDP data'!$A$2:$A$192,'GDP data'!E$2:E$192)</f>
        <v>91.712000000000003</v>
      </c>
      <c r="N62" s="158">
        <f>LOOKUP($A62,'GDP data'!$A$2:$A$192,'GDP data'!F$2:F$192)</f>
        <v>95.653000000000006</v>
      </c>
      <c r="O62" s="158">
        <f>LOOKUP($A62,'GDP data'!$A$2:$A$192,'GDP data'!G$2:G$192)</f>
        <v>100.181</v>
      </c>
      <c r="P62" s="158">
        <f>LOOKUP($A62,'GDP data'!$A$2:$A$192,'GDP data'!H$2:H$192)</f>
        <v>104.85599999999999</v>
      </c>
      <c r="Q62" s="158">
        <f>LOOKUP($A62,'GDP data'!$A$2:$A$192,'GDP data'!I$2:I$192)</f>
        <v>109.749</v>
      </c>
      <c r="R62" s="158">
        <f>LOOKUP($A62,'GDP data'!$A$2:$A$192,'GDP data'!J$2:J$192)</f>
        <v>114.599</v>
      </c>
      <c r="S62" s="158">
        <f>LOOKUP($A62,'GDP data'!$A$2:$A$192,'GDP data'!K$2:K$192)</f>
        <v>119.515</v>
      </c>
      <c r="T62" s="156"/>
      <c r="U62" s="156"/>
      <c r="V62" s="133">
        <f t="shared" si="23"/>
        <v>2.0161735128445372E-3</v>
      </c>
      <c r="W62" s="133">
        <f t="shared" si="24"/>
        <v>1.9705979277393989E-3</v>
      </c>
      <c r="X62" s="133">
        <f t="shared" si="25"/>
        <v>1.9494820562887183E-3</v>
      </c>
      <c r="Y62" s="133">
        <f t="shared" si="26"/>
        <v>1.9243812910821425E-3</v>
      </c>
      <c r="Z62" s="133">
        <f t="shared" si="27"/>
        <v>1.8950073813407411E-3</v>
      </c>
      <c r="AA62" s="133">
        <f t="shared" si="28"/>
        <v>1.8644692627337194E-3</v>
      </c>
      <c r="AB62" s="133">
        <f t="shared" si="29"/>
        <v>1.8301431259471878E-3</v>
      </c>
      <c r="AC62" s="133">
        <f t="shared" si="30"/>
        <v>1.7955253911763472E-3</v>
      </c>
      <c r="AD62" s="156"/>
      <c r="AE62" s="156"/>
      <c r="AF62" s="159">
        <f t="shared" si="31"/>
        <v>2.6076169380297666E-5</v>
      </c>
      <c r="AG62" s="159">
        <f t="shared" si="32"/>
        <v>6.6112244670988771E-5</v>
      </c>
      <c r="AH62" s="159">
        <f t="shared" si="33"/>
        <v>8.3772121247315814E-5</v>
      </c>
      <c r="AI62" s="159">
        <f t="shared" si="34"/>
        <v>9.1095924707222138E-5</v>
      </c>
      <c r="AJ62" s="159">
        <f t="shared" si="35"/>
        <v>8.8431534001137492E-5</v>
      </c>
      <c r="AK62" s="159">
        <f t="shared" si="36"/>
        <v>8.7003586848211838E-5</v>
      </c>
      <c r="AL62" s="159">
        <f t="shared" si="37"/>
        <v>8.0877221303555049E-5</v>
      </c>
      <c r="AM62" s="159">
        <f t="shared" si="38"/>
        <v>7.7023384349103743E-5</v>
      </c>
    </row>
    <row r="63" spans="1:39" hidden="1" outlineLevel="2">
      <c r="A63" s="160" t="s">
        <v>251</v>
      </c>
      <c r="B63" s="133">
        <f>LOOKUP($A63,'GDP data'!$A$2:$A$192,'GDP data'!P$2:P$192)</f>
        <v>9.2257960142365869E-2</v>
      </c>
      <c r="C63" s="133">
        <f>LOOKUP($A63,'GDP data'!$A$2:$A$192,'GDP data'!Q$2:Q$192)</f>
        <v>8.0590790674047508E-2</v>
      </c>
      <c r="D63" s="133">
        <f>LOOKUP($A63,'GDP data'!$A$2:$A$192,'GDP data'!R$2:R$192)</f>
        <v>8.0613841954327858E-2</v>
      </c>
      <c r="E63" s="133">
        <f>LOOKUP($A63,'GDP data'!$A$2:$A$192,'GDP data'!S$2:S$192)</f>
        <v>8.6246099581982261E-2</v>
      </c>
      <c r="F63" s="133">
        <f>LOOKUP($A63,'GDP data'!$A$2:$A$192,'GDP data'!T$2:T$192)</f>
        <v>8.5671111057290306E-2</v>
      </c>
      <c r="G63" s="133">
        <f>LOOKUP($A63,'GDP data'!$A$2:$A$192,'GDP data'!U$2:U$192)</f>
        <v>8.5684055878758381E-2</v>
      </c>
      <c r="H63" s="133">
        <f>LOOKUP($A63,'GDP data'!$A$2:$A$192,'GDP data'!V$2:V$192)</f>
        <v>8.4338573940406114E-2</v>
      </c>
      <c r="I63" s="133">
        <f>LOOKUP($A63,'GDP data'!$A$2:$A$192,'GDP data'!W$2:W$192)</f>
        <v>8.2014686460215147E-2</v>
      </c>
      <c r="J63" s="851"/>
      <c r="K63" s="156"/>
      <c r="L63" s="158">
        <f>LOOKUP($A63,'GDP data'!$A$2:$A$192,'GDP data'!D$2:D$192)</f>
        <v>18229.13</v>
      </c>
      <c r="M63" s="158">
        <f>LOOKUP($A63,'GDP data'!$A$2:$A$192,'GDP data'!E$2:E$192)</f>
        <v>19698.23</v>
      </c>
      <c r="N63" s="158">
        <f>LOOKUP($A63,'GDP data'!$A$2:$A$192,'GDP data'!F$2:F$192)</f>
        <v>21286.18</v>
      </c>
      <c r="O63" s="158">
        <f>LOOKUP($A63,'GDP data'!$A$2:$A$192,'GDP data'!G$2:G$192)</f>
        <v>23122.03</v>
      </c>
      <c r="P63" s="158">
        <f>LOOKUP($A63,'GDP data'!$A$2:$A$192,'GDP data'!H$2:H$192)</f>
        <v>25102.92</v>
      </c>
      <c r="Q63" s="158">
        <f>LOOKUP($A63,'GDP data'!$A$2:$A$192,'GDP data'!I$2:I$192)</f>
        <v>27253.84</v>
      </c>
      <c r="R63" s="158">
        <f>LOOKUP($A63,'GDP data'!$A$2:$A$192,'GDP data'!J$2:J$192)</f>
        <v>29552.39</v>
      </c>
      <c r="S63" s="158">
        <f>LOOKUP($A63,'GDP data'!$A$2:$A$192,'GDP data'!K$2:K$192)</f>
        <v>31976.12</v>
      </c>
      <c r="T63" s="156"/>
      <c r="U63" s="156"/>
      <c r="V63" s="133">
        <f t="shared" si="23"/>
        <v>0.41418931727277553</v>
      </c>
      <c r="W63" s="133">
        <f t="shared" si="24"/>
        <v>0.42325204137009403</v>
      </c>
      <c r="X63" s="133">
        <f t="shared" si="25"/>
        <v>0.43382879739194574</v>
      </c>
      <c r="Y63" s="133">
        <f t="shared" si="26"/>
        <v>0.44415210412992512</v>
      </c>
      <c r="Z63" s="133">
        <f t="shared" si="27"/>
        <v>0.45367188041891843</v>
      </c>
      <c r="AA63" s="133">
        <f t="shared" si="28"/>
        <v>0.46300145761203065</v>
      </c>
      <c r="AB63" s="133">
        <f t="shared" si="29"/>
        <v>0.47195091941300021</v>
      </c>
      <c r="AC63" s="133">
        <f t="shared" si="30"/>
        <v>0.48039104188848114</v>
      </c>
      <c r="AD63" s="156"/>
      <c r="AE63" s="156"/>
      <c r="AF63" s="159">
        <f t="shared" si="31"/>
        <v>3.8212261524345453E-2</v>
      </c>
      <c r="AG63" s="159">
        <f t="shared" si="32"/>
        <v>3.4110216668420547E-2</v>
      </c>
      <c r="AH63" s="159">
        <f t="shared" si="33"/>
        <v>3.4972606108190439E-2</v>
      </c>
      <c r="AI63" s="159">
        <f t="shared" si="34"/>
        <v>3.8306386602336477E-2</v>
      </c>
      <c r="AJ63" s="159">
        <f t="shared" si="35"/>
        <v>3.8866574050938886E-2</v>
      </c>
      <c r="AK63" s="159">
        <f t="shared" si="36"/>
        <v>3.9671842765975816E-2</v>
      </c>
      <c r="AL63" s="159">
        <f t="shared" si="37"/>
        <v>3.9803667513155963E-2</v>
      </c>
      <c r="AM63" s="159">
        <f t="shared" si="38"/>
        <v>3.9399120678779861E-2</v>
      </c>
    </row>
    <row r="64" spans="1:39" hidden="1" outlineLevel="2">
      <c r="A64" s="160" t="s">
        <v>252</v>
      </c>
      <c r="B64" s="133">
        <f>LOOKUP($A64,'GDP data'!$A$2:$A$192,'GDP data'!P$2:P$192)</f>
        <v>4.5584082827860417E-2</v>
      </c>
      <c r="C64" s="133">
        <f>LOOKUP($A64,'GDP data'!$A$2:$A$192,'GDP data'!Q$2:Q$192)</f>
        <v>6.4510583498993634E-2</v>
      </c>
      <c r="D64" s="133">
        <f>LOOKUP($A64,'GDP data'!$A$2:$A$192,'GDP data'!R$2:R$192)</f>
        <v>3.9025636357763904E-2</v>
      </c>
      <c r="E64" s="133">
        <f>LOOKUP($A64,'GDP data'!$A$2:$A$192,'GDP data'!S$2:S$192)</f>
        <v>5.3000887351566384E-2</v>
      </c>
      <c r="F64" s="133">
        <f>LOOKUP($A64,'GDP data'!$A$2:$A$192,'GDP data'!T$2:T$192)</f>
        <v>4.5701081807861588E-2</v>
      </c>
      <c r="G64" s="133">
        <f>LOOKUP($A64,'GDP data'!$A$2:$A$192,'GDP data'!U$2:U$192)</f>
        <v>4.4568659757831419E-2</v>
      </c>
      <c r="H64" s="133">
        <f>LOOKUP($A64,'GDP data'!$A$2:$A$192,'GDP data'!V$2:V$192)</f>
        <v>4.4195257142295663E-2</v>
      </c>
      <c r="I64" s="133">
        <f>LOOKUP($A64,'GDP data'!$A$2:$A$192,'GDP data'!W$2:W$192)</f>
        <v>4.4602352941176537E-2</v>
      </c>
      <c r="J64" s="851"/>
      <c r="K64" s="156"/>
      <c r="L64" s="158">
        <f>LOOKUP($A64,'GDP data'!$A$2:$A$192,'GDP data'!D$2:D$192)</f>
        <v>319.93200000000002</v>
      </c>
      <c r="M64" s="158">
        <f>LOOKUP($A64,'GDP data'!$A$2:$A$192,'GDP data'!E$2:E$192)</f>
        <v>340.57100000000003</v>
      </c>
      <c r="N64" s="158">
        <f>LOOKUP($A64,'GDP data'!$A$2:$A$192,'GDP data'!F$2:F$192)</f>
        <v>353.86200000000002</v>
      </c>
      <c r="O64" s="158">
        <f>LOOKUP($A64,'GDP data'!$A$2:$A$192,'GDP data'!G$2:G$192)</f>
        <v>372.61700000000002</v>
      </c>
      <c r="P64" s="158">
        <f>LOOKUP($A64,'GDP data'!$A$2:$A$192,'GDP data'!H$2:H$192)</f>
        <v>389.64600000000002</v>
      </c>
      <c r="Q64" s="158">
        <f>LOOKUP($A64,'GDP data'!$A$2:$A$192,'GDP data'!I$2:I$192)</f>
        <v>407.012</v>
      </c>
      <c r="R64" s="158">
        <f>LOOKUP($A64,'GDP data'!$A$2:$A$192,'GDP data'!J$2:J$192)</f>
        <v>425</v>
      </c>
      <c r="S64" s="158">
        <f>LOOKUP($A64,'GDP data'!$A$2:$A$192,'GDP data'!K$2:K$192)</f>
        <v>443.95600000000002</v>
      </c>
      <c r="T64" s="156"/>
      <c r="U64" s="156"/>
      <c r="V64" s="133">
        <f t="shared" si="23"/>
        <v>7.2692671923297288E-3</v>
      </c>
      <c r="W64" s="133">
        <f t="shared" si="24"/>
        <v>7.3177829166099851E-3</v>
      </c>
      <c r="X64" s="133">
        <f t="shared" si="25"/>
        <v>7.2119810084622371E-3</v>
      </c>
      <c r="Y64" s="133">
        <f t="shared" si="26"/>
        <v>7.1576165494370656E-3</v>
      </c>
      <c r="Z64" s="133">
        <f t="shared" si="27"/>
        <v>7.0418673810739912E-3</v>
      </c>
      <c r="AA64" s="133">
        <f t="shared" si="28"/>
        <v>6.9145173401468502E-3</v>
      </c>
      <c r="AB64" s="133">
        <f t="shared" si="29"/>
        <v>6.787239230076657E-3</v>
      </c>
      <c r="AC64" s="133">
        <f t="shared" si="30"/>
        <v>6.6697424638337156E-3</v>
      </c>
      <c r="AD64" s="156"/>
      <c r="AE64" s="156"/>
      <c r="AF64" s="159">
        <f t="shared" si="31"/>
        <v>3.3136287779300671E-4</v>
      </c>
      <c r="AG64" s="159">
        <f t="shared" si="32"/>
        <v>4.7207444586947763E-4</v>
      </c>
      <c r="AH64" s="159">
        <f t="shared" si="33"/>
        <v>2.8145214825534665E-4</v>
      </c>
      <c r="AI64" s="159">
        <f t="shared" si="34"/>
        <v>3.7936002844242119E-4</v>
      </c>
      <c r="AJ64" s="159">
        <f t="shared" si="35"/>
        <v>3.218209572625745E-4</v>
      </c>
      <c r="AK64" s="159">
        <f t="shared" si="36"/>
        <v>3.0817077072263044E-4</v>
      </c>
      <c r="AL64" s="159">
        <f t="shared" si="37"/>
        <v>2.9996378305951468E-4</v>
      </c>
      <c r="AM64" s="159">
        <f t="shared" si="38"/>
        <v>2.9748620739866374E-4</v>
      </c>
    </row>
    <row r="65" spans="1:39" hidden="1" outlineLevel="2">
      <c r="A65" s="160" t="s">
        <v>246</v>
      </c>
      <c r="B65" s="133">
        <f>LOOKUP($A65,'GDP data'!$A$2:$A$192,'GDP data'!P$2:P$192)</f>
        <v>4.5584082827860417E-2</v>
      </c>
      <c r="C65" s="133">
        <f>LOOKUP($A65,'GDP data'!$A$2:$A$192,'GDP data'!Q$2:Q$192)</f>
        <v>6.4510583498993634E-2</v>
      </c>
      <c r="D65" s="133">
        <f>LOOKUP($A65,'GDP data'!$A$2:$A$192,'GDP data'!R$2:R$192)</f>
        <v>3.9025636357763904E-2</v>
      </c>
      <c r="E65" s="133">
        <f>LOOKUP($A65,'GDP data'!$A$2:$A$192,'GDP data'!S$2:S$192)</f>
        <v>5.3000887351566384E-2</v>
      </c>
      <c r="F65" s="133">
        <f>LOOKUP($A65,'GDP data'!$A$2:$A$192,'GDP data'!T$2:T$192)</f>
        <v>4.5701081807861588E-2</v>
      </c>
      <c r="G65" s="133">
        <f>LOOKUP($A65,'GDP data'!$A$2:$A$192,'GDP data'!U$2:U$192)</f>
        <v>4.4568659757831419E-2</v>
      </c>
      <c r="H65" s="133">
        <f>LOOKUP($A65,'GDP data'!$A$2:$A$192,'GDP data'!V$2:V$192)</f>
        <v>4.4195257142295663E-2</v>
      </c>
      <c r="I65" s="133">
        <f>LOOKUP($A65,'GDP data'!$A$2:$A$192,'GDP data'!W$2:W$192)</f>
        <v>4.4602352941176537E-2</v>
      </c>
      <c r="J65" s="851"/>
      <c r="K65" s="156"/>
      <c r="L65" s="158">
        <f>LOOKUP($A65,'GDP data'!$A$2:$A$192,'GDP data'!D$2:D$192)</f>
        <v>319.93200000000002</v>
      </c>
      <c r="M65" s="158">
        <f>LOOKUP($A65,'GDP data'!$A$2:$A$192,'GDP data'!E$2:E$192)</f>
        <v>340.57100000000003</v>
      </c>
      <c r="N65" s="158">
        <f>LOOKUP($A65,'GDP data'!$A$2:$A$192,'GDP data'!F$2:F$192)</f>
        <v>353.86200000000002</v>
      </c>
      <c r="O65" s="158">
        <f>LOOKUP($A65,'GDP data'!$A$2:$A$192,'GDP data'!G$2:G$192)</f>
        <v>372.61700000000002</v>
      </c>
      <c r="P65" s="158">
        <f>LOOKUP($A65,'GDP data'!$A$2:$A$192,'GDP data'!H$2:H$192)</f>
        <v>389.64600000000002</v>
      </c>
      <c r="Q65" s="158">
        <f>LOOKUP($A65,'GDP data'!$A$2:$A$192,'GDP data'!I$2:I$192)</f>
        <v>407.012</v>
      </c>
      <c r="R65" s="158">
        <f>LOOKUP($A65,'GDP data'!$A$2:$A$192,'GDP data'!J$2:J$192)</f>
        <v>425</v>
      </c>
      <c r="S65" s="158">
        <f>LOOKUP($A65,'GDP data'!$A$2:$A$192,'GDP data'!K$2:K$192)</f>
        <v>443.95600000000002</v>
      </c>
      <c r="T65" s="156"/>
      <c r="U65" s="156"/>
      <c r="V65" s="133">
        <f t="shared" si="23"/>
        <v>7.2692671923297288E-3</v>
      </c>
      <c r="W65" s="133">
        <f t="shared" si="24"/>
        <v>7.3177829166099851E-3</v>
      </c>
      <c r="X65" s="133">
        <f t="shared" si="25"/>
        <v>7.2119810084622371E-3</v>
      </c>
      <c r="Y65" s="133">
        <f t="shared" si="26"/>
        <v>7.1576165494370656E-3</v>
      </c>
      <c r="Z65" s="133">
        <f t="shared" si="27"/>
        <v>7.0418673810739912E-3</v>
      </c>
      <c r="AA65" s="133">
        <f t="shared" si="28"/>
        <v>6.9145173401468502E-3</v>
      </c>
      <c r="AB65" s="133">
        <f t="shared" si="29"/>
        <v>6.787239230076657E-3</v>
      </c>
      <c r="AC65" s="133">
        <f t="shared" si="30"/>
        <v>6.6697424638337156E-3</v>
      </c>
      <c r="AD65" s="156"/>
      <c r="AE65" s="156"/>
      <c r="AF65" s="159">
        <f t="shared" si="31"/>
        <v>3.3136287779300671E-4</v>
      </c>
      <c r="AG65" s="159">
        <f t="shared" si="32"/>
        <v>4.7207444586947763E-4</v>
      </c>
      <c r="AH65" s="159">
        <f t="shared" si="33"/>
        <v>2.8145214825534665E-4</v>
      </c>
      <c r="AI65" s="159">
        <f t="shared" si="34"/>
        <v>3.7936002844242119E-4</v>
      </c>
      <c r="AJ65" s="159">
        <f t="shared" si="35"/>
        <v>3.218209572625745E-4</v>
      </c>
      <c r="AK65" s="159">
        <f t="shared" si="36"/>
        <v>3.0817077072263044E-4</v>
      </c>
      <c r="AL65" s="159">
        <f t="shared" si="37"/>
        <v>2.9996378305951468E-4</v>
      </c>
      <c r="AM65" s="159">
        <f t="shared" si="38"/>
        <v>2.9748620739866374E-4</v>
      </c>
    </row>
    <row r="66" spans="1:39" hidden="1" outlineLevel="2">
      <c r="A66" s="160" t="s">
        <v>253</v>
      </c>
      <c r="B66" s="133">
        <f>LOOKUP($A66,'GDP data'!$A$2:$A$192,'GDP data'!P$2:P$192)</f>
        <v>3.4999741508556115E-2</v>
      </c>
      <c r="C66" s="133">
        <f>LOOKUP($A66,'GDP data'!$A$2:$A$192,'GDP data'!Q$2:Q$192)</f>
        <v>2.7069084761392581E-2</v>
      </c>
      <c r="D66" s="133">
        <f>LOOKUP($A66,'GDP data'!$A$2:$A$192,'GDP data'!R$2:R$192)</f>
        <v>2.9763753016217587E-2</v>
      </c>
      <c r="E66" s="133">
        <f>LOOKUP($A66,'GDP data'!$A$2:$A$192,'GDP data'!S$2:S$192)</f>
        <v>3.7081170234795291E-2</v>
      </c>
      <c r="F66" s="133">
        <f>LOOKUP($A66,'GDP data'!$A$2:$A$192,'GDP data'!T$2:T$192)</f>
        <v>3.81934227303935E-2</v>
      </c>
      <c r="G66" s="133">
        <f>LOOKUP($A66,'GDP data'!$A$2:$A$192,'GDP data'!U$2:U$192)</f>
        <v>3.980483920491551E-2</v>
      </c>
      <c r="H66" s="133">
        <f>LOOKUP($A66,'GDP data'!$A$2:$A$192,'GDP data'!V$2:V$192)</f>
        <v>4.0221567456711904E-2</v>
      </c>
      <c r="I66" s="133">
        <f>LOOKUP($A66,'GDP data'!$A$2:$A$192,'GDP data'!W$2:W$192)</f>
        <v>3.9446224299123811E-2</v>
      </c>
      <c r="J66" s="851"/>
      <c r="K66" s="156"/>
      <c r="L66" s="158">
        <f>LOOKUP($A66,'GDP data'!$A$2:$A$192,'GDP data'!D$2:D$192)</f>
        <v>260.26</v>
      </c>
      <c r="M66" s="158">
        <f>LOOKUP($A66,'GDP data'!$A$2:$A$192,'GDP data'!E$2:E$192)</f>
        <v>267.30500000000001</v>
      </c>
      <c r="N66" s="158">
        <f>LOOKUP($A66,'GDP data'!$A$2:$A$192,'GDP data'!F$2:F$192)</f>
        <v>275.26100000000002</v>
      </c>
      <c r="O66" s="158">
        <f>LOOKUP($A66,'GDP data'!$A$2:$A$192,'GDP data'!G$2:G$192)</f>
        <v>285.46800000000002</v>
      </c>
      <c r="P66" s="158">
        <f>LOOKUP($A66,'GDP data'!$A$2:$A$192,'GDP data'!H$2:H$192)</f>
        <v>296.37099999999998</v>
      </c>
      <c r="Q66" s="158">
        <f>LOOKUP($A66,'GDP data'!$A$2:$A$192,'GDP data'!I$2:I$192)</f>
        <v>308.16800000000001</v>
      </c>
      <c r="R66" s="158">
        <f>LOOKUP($A66,'GDP data'!$A$2:$A$192,'GDP data'!J$2:J$192)</f>
        <v>320.56299999999999</v>
      </c>
      <c r="S66" s="158">
        <f>LOOKUP($A66,'GDP data'!$A$2:$A$192,'GDP data'!K$2:K$192)</f>
        <v>333.20800000000003</v>
      </c>
      <c r="T66" s="156"/>
      <c r="U66" s="156"/>
      <c r="V66" s="133">
        <f t="shared" si="23"/>
        <v>5.9134424798886484E-3</v>
      </c>
      <c r="W66" s="133">
        <f t="shared" si="24"/>
        <v>5.7435306074928045E-3</v>
      </c>
      <c r="X66" s="133">
        <f t="shared" si="25"/>
        <v>5.6100318891837047E-3</v>
      </c>
      <c r="Y66" s="133">
        <f t="shared" si="26"/>
        <v>5.4835675268028574E-3</v>
      </c>
      <c r="Z66" s="133">
        <f t="shared" si="27"/>
        <v>5.3561573263841526E-3</v>
      </c>
      <c r="AA66" s="133">
        <f t="shared" si="28"/>
        <v>5.2353075085706923E-3</v>
      </c>
      <c r="AB66" s="133">
        <f t="shared" si="29"/>
        <v>5.1193829866142664E-3</v>
      </c>
      <c r="AC66" s="133">
        <f t="shared" si="30"/>
        <v>5.0059274948172899E-3</v>
      </c>
      <c r="AD66" s="156"/>
      <c r="AE66" s="156"/>
      <c r="AF66" s="159">
        <f t="shared" si="31"/>
        <v>2.0696895822181773E-4</v>
      </c>
      <c r="AG66" s="159">
        <f t="shared" si="32"/>
        <v>1.5547211684387535E-4</v>
      </c>
      <c r="AH66" s="159">
        <f t="shared" si="33"/>
        <v>1.6697560356276835E-4</v>
      </c>
      <c r="AI66" s="159">
        <f t="shared" si="34"/>
        <v>2.0333710095537215E-4</v>
      </c>
      <c r="AJ66" s="159">
        <f t="shared" si="35"/>
        <v>2.0456998097708416E-4</v>
      </c>
      <c r="AK66" s="159">
        <f t="shared" si="36"/>
        <v>2.0839057356694324E-4</v>
      </c>
      <c r="AL66" s="159">
        <f t="shared" si="37"/>
        <v>2.0590960813284898E-4</v>
      </c>
      <c r="AM66" s="159">
        <f t="shared" si="38"/>
        <v>1.9746493878571378E-4</v>
      </c>
    </row>
    <row r="67" spans="1:39" hidden="1" outlineLevel="2">
      <c r="A67" s="160" t="s">
        <v>254</v>
      </c>
      <c r="B67" s="133">
        <f>LOOKUP($A67,'GDP data'!$A$2:$A$192,'GDP data'!P$2:P$192)</f>
        <v>7.9055826152116815E-2</v>
      </c>
      <c r="C67" s="133">
        <f>LOOKUP($A67,'GDP data'!$A$2:$A$192,'GDP data'!Q$2:Q$192)</f>
        <v>7.6388888888889062E-2</v>
      </c>
      <c r="D67" s="133">
        <f>LOOKUP($A67,'GDP data'!$A$2:$A$192,'GDP data'!R$2:R$192)</f>
        <v>7.8709677419354751E-2</v>
      </c>
      <c r="E67" s="133">
        <f>LOOKUP($A67,'GDP data'!$A$2:$A$192,'GDP data'!S$2:S$192)</f>
        <v>8.8516746411483327E-2</v>
      </c>
      <c r="F67" s="133">
        <f>LOOKUP($A67,'GDP data'!$A$2:$A$192,'GDP data'!T$2:T$192)</f>
        <v>9.0934065934065833E-2</v>
      </c>
      <c r="G67" s="133">
        <f>LOOKUP($A67,'GDP data'!$A$2:$A$192,'GDP data'!U$2:U$192)</f>
        <v>9.267187106522301E-2</v>
      </c>
      <c r="H67" s="133">
        <f>LOOKUP($A67,'GDP data'!$A$2:$A$192,'GDP data'!V$2:V$192)</f>
        <v>8.2277022355381257E-2</v>
      </c>
      <c r="I67" s="133">
        <f>LOOKUP($A67,'GDP data'!$A$2:$A$192,'GDP data'!W$2:W$192)</f>
        <v>8.2197614991482038E-2</v>
      </c>
      <c r="J67" s="851"/>
      <c r="K67" s="156"/>
      <c r="L67" s="158">
        <f>LOOKUP($A67,'GDP data'!$A$2:$A$192,'GDP data'!D$2:D$192)</f>
        <v>2.88</v>
      </c>
      <c r="M67" s="158">
        <f>LOOKUP($A67,'GDP data'!$A$2:$A$192,'GDP data'!E$2:E$192)</f>
        <v>3.1</v>
      </c>
      <c r="N67" s="158">
        <f>LOOKUP($A67,'GDP data'!$A$2:$A$192,'GDP data'!F$2:F$192)</f>
        <v>3.3439999999999999</v>
      </c>
      <c r="O67" s="158">
        <f>LOOKUP($A67,'GDP data'!$A$2:$A$192,'GDP data'!G$2:G$192)</f>
        <v>3.64</v>
      </c>
      <c r="P67" s="158">
        <f>LOOKUP($A67,'GDP data'!$A$2:$A$192,'GDP data'!H$2:H$192)</f>
        <v>3.9710000000000001</v>
      </c>
      <c r="Q67" s="158">
        <f>LOOKUP($A67,'GDP data'!$A$2:$A$192,'GDP data'!I$2:I$192)</f>
        <v>4.3390000000000004</v>
      </c>
      <c r="R67" s="158">
        <f>LOOKUP($A67,'GDP data'!$A$2:$A$192,'GDP data'!J$2:J$192)</f>
        <v>4.6959999999999997</v>
      </c>
      <c r="S67" s="158">
        <f>LOOKUP($A67,'GDP data'!$A$2:$A$192,'GDP data'!K$2:K$192)</f>
        <v>5.0819999999999999</v>
      </c>
      <c r="T67" s="156"/>
      <c r="U67" s="156"/>
      <c r="V67" s="133">
        <f t="shared" si="23"/>
        <v>6.5437310159376417E-5</v>
      </c>
      <c r="W67" s="133">
        <f t="shared" si="24"/>
        <v>6.6609097784282718E-5</v>
      </c>
      <c r="X67" s="133">
        <f t="shared" si="25"/>
        <v>6.8153304091136437E-5</v>
      </c>
      <c r="Y67" s="133">
        <f t="shared" si="26"/>
        <v>6.9920922126341303E-5</v>
      </c>
      <c r="Z67" s="133">
        <f t="shared" si="27"/>
        <v>7.1765796056535471E-5</v>
      </c>
      <c r="AA67" s="133">
        <f t="shared" si="28"/>
        <v>7.3713037303315836E-5</v>
      </c>
      <c r="AB67" s="133">
        <f t="shared" si="29"/>
        <v>7.4995000998682307E-5</v>
      </c>
      <c r="AC67" s="133">
        <f t="shared" si="30"/>
        <v>7.6349077839251955E-5</v>
      </c>
      <c r="AD67" s="156"/>
      <c r="AE67" s="156"/>
      <c r="AF67" s="159">
        <f t="shared" si="31"/>
        <v>5.1732006158218092E-6</v>
      </c>
      <c r="AG67" s="159">
        <f t="shared" si="32"/>
        <v>5.0881949696327189E-6</v>
      </c>
      <c r="AH67" s="159">
        <f t="shared" si="33"/>
        <v>5.364324580076539E-6</v>
      </c>
      <c r="AI67" s="159">
        <f t="shared" si="34"/>
        <v>6.1891725327144264E-6</v>
      </c>
      <c r="AJ67" s="159">
        <f t="shared" si="35"/>
        <v>6.5259556304157179E-6</v>
      </c>
      <c r="AK67" s="159">
        <f t="shared" si="36"/>
        <v>6.8311250887988589E-6</v>
      </c>
      <c r="AL67" s="159">
        <f t="shared" si="37"/>
        <v>6.1703653737104242E-6</v>
      </c>
      <c r="AM67" s="159">
        <f t="shared" si="38"/>
        <v>6.2757121051855257E-6</v>
      </c>
    </row>
    <row r="68" spans="1:39" hidden="1" outlineLevel="2">
      <c r="A68" s="160" t="s">
        <v>260</v>
      </c>
      <c r="B68" s="133">
        <f>LOOKUP($A68,'GDP data'!$A$2:$A$192,'GDP data'!P$2:P$192)</f>
        <v>1.0867492850333393E-2</v>
      </c>
      <c r="C68" s="133">
        <f>LOOKUP($A68,'GDP data'!$A$2:$A$192,'GDP data'!Q$2:Q$192)</f>
        <v>-8.1424799267122872E-2</v>
      </c>
      <c r="D68" s="133">
        <f>LOOKUP($A68,'GDP data'!$A$2:$A$192,'GDP data'!R$2:R$192)</f>
        <v>-8.5327936172709062E-2</v>
      </c>
      <c r="E68" s="133">
        <f>LOOKUP($A68,'GDP data'!$A$2:$A$192,'GDP data'!S$2:S$192)</f>
        <v>-5.7787897251707632E-2</v>
      </c>
      <c r="F68" s="133">
        <f>LOOKUP($A68,'GDP data'!$A$2:$A$192,'GDP data'!T$2:T$192)</f>
        <v>-6.0243014192845723E-2</v>
      </c>
      <c r="G68" s="133">
        <f>LOOKUP($A68,'GDP data'!$A$2:$A$192,'GDP data'!U$2:U$192)</f>
        <v>-1.5827025460867117E-2</v>
      </c>
      <c r="H68" s="133">
        <f>LOOKUP($A68,'GDP data'!$A$2:$A$192,'GDP data'!V$2:V$192)</f>
        <v>-1.3836755722381744E-2</v>
      </c>
      <c r="I68" s="133">
        <f>LOOKUP($A68,'GDP data'!$A$2:$A$192,'GDP data'!W$2:W$192)</f>
        <v>2.0859765654153373E-2</v>
      </c>
      <c r="J68" s="851"/>
      <c r="K68" s="156"/>
      <c r="L68" s="158">
        <f>LOOKUP($A68,'GDP data'!$A$2:$A$192,'GDP data'!D$2:D$192)</f>
        <v>37.113999999999997</v>
      </c>
      <c r="M68" s="158">
        <f>LOOKUP($A68,'GDP data'!$A$2:$A$192,'GDP data'!E$2:E$192)</f>
        <v>34.091999999999999</v>
      </c>
      <c r="N68" s="158">
        <f>LOOKUP($A68,'GDP data'!$A$2:$A$192,'GDP data'!F$2:F$192)</f>
        <v>31.183</v>
      </c>
      <c r="O68" s="158">
        <f>LOOKUP($A68,'GDP data'!$A$2:$A$192,'GDP data'!G$2:G$192)</f>
        <v>29.381</v>
      </c>
      <c r="P68" s="158">
        <f>LOOKUP($A68,'GDP data'!$A$2:$A$192,'GDP data'!H$2:H$192)</f>
        <v>27.611000000000001</v>
      </c>
      <c r="Q68" s="158">
        <f>LOOKUP($A68,'GDP data'!$A$2:$A$192,'GDP data'!I$2:I$192)</f>
        <v>27.173999999999999</v>
      </c>
      <c r="R68" s="158">
        <f>LOOKUP($A68,'GDP data'!$A$2:$A$192,'GDP data'!J$2:J$192)</f>
        <v>26.797999999999998</v>
      </c>
      <c r="S68" s="158">
        <f>LOOKUP($A68,'GDP data'!$A$2:$A$192,'GDP data'!K$2:K$192)</f>
        <v>27.356999999999999</v>
      </c>
      <c r="T68" s="156"/>
      <c r="U68" s="156"/>
      <c r="V68" s="133">
        <f t="shared" si="23"/>
        <v>8.4327789210246397E-4</v>
      </c>
      <c r="W68" s="133">
        <f t="shared" si="24"/>
        <v>7.3252818118121497E-4</v>
      </c>
      <c r="X68" s="133">
        <f t="shared" si="25"/>
        <v>6.3553363680439814E-4</v>
      </c>
      <c r="Y68" s="133">
        <f t="shared" si="26"/>
        <v>5.6438093763572358E-4</v>
      </c>
      <c r="Z68" s="133">
        <f t="shared" si="27"/>
        <v>4.9899909214731828E-4</v>
      </c>
      <c r="AA68" s="133">
        <f t="shared" si="28"/>
        <v>4.6164509695328514E-4</v>
      </c>
      <c r="AB68" s="133">
        <f t="shared" si="29"/>
        <v>4.2796338091198642E-4</v>
      </c>
      <c r="AC68" s="133">
        <f t="shared" si="30"/>
        <v>4.1099600992688224E-4</v>
      </c>
      <c r="AD68" s="156"/>
      <c r="AE68" s="156"/>
      <c r="AF68" s="159">
        <f t="shared" si="31"/>
        <v>9.1643164632677418E-6</v>
      </c>
      <c r="AG68" s="159">
        <f t="shared" si="32"/>
        <v>-5.964596011019104E-5</v>
      </c>
      <c r="AH68" s="159">
        <f t="shared" si="33"/>
        <v>-5.4228773596855347E-5</v>
      </c>
      <c r="AI68" s="159">
        <f t="shared" si="34"/>
        <v>-3.2614387634915604E-5</v>
      </c>
      <c r="AJ68" s="159">
        <f t="shared" si="35"/>
        <v>-3.0061209390448027E-5</v>
      </c>
      <c r="AK68" s="159">
        <f t="shared" si="36"/>
        <v>-7.3064687033641123E-6</v>
      </c>
      <c r="AL68" s="159">
        <f t="shared" si="37"/>
        <v>-5.9216247598037664E-6</v>
      </c>
      <c r="AM68" s="159">
        <f t="shared" si="38"/>
        <v>8.5732804518668561E-6</v>
      </c>
    </row>
    <row r="69" spans="1:39" hidden="1" outlineLevel="2">
      <c r="A69" s="160" t="s">
        <v>261</v>
      </c>
      <c r="B69" s="133">
        <f>LOOKUP($A69,'GDP data'!$A$2:$A$192,'GDP data'!P$2:P$192)</f>
        <v>6.8706248379569512E-2</v>
      </c>
      <c r="C69" s="133">
        <f>LOOKUP($A69,'GDP data'!$A$2:$A$192,'GDP data'!Q$2:Q$192)</f>
        <v>5.9073265405143127E-2</v>
      </c>
      <c r="D69" s="133">
        <f>LOOKUP($A69,'GDP data'!$A$2:$A$192,'GDP data'!R$2:R$192)</f>
        <v>4.9937006070324141E-2</v>
      </c>
      <c r="E69" s="133">
        <f>LOOKUP($A69,'GDP data'!$A$2:$A$192,'GDP data'!S$2:S$192)</f>
        <v>5.061634122395553E-2</v>
      </c>
      <c r="F69" s="133">
        <f>LOOKUP($A69,'GDP data'!$A$2:$A$192,'GDP data'!T$2:T$192)</f>
        <v>5.6588100924099161E-2</v>
      </c>
      <c r="G69" s="133">
        <f>LOOKUP($A69,'GDP data'!$A$2:$A$192,'GDP data'!U$2:U$192)</f>
        <v>5.8077830188679069E-2</v>
      </c>
      <c r="H69" s="133">
        <f>LOOKUP($A69,'GDP data'!$A$2:$A$192,'GDP data'!V$2:V$192)</f>
        <v>5.971951332776082E-2</v>
      </c>
      <c r="I69" s="133">
        <f>LOOKUP($A69,'GDP data'!$A$2:$A$192,'GDP data'!W$2:W$192)</f>
        <v>6.0736196319018276E-2</v>
      </c>
      <c r="J69" s="851"/>
      <c r="K69" s="156"/>
      <c r="L69" s="158">
        <f>LOOKUP($A69,'GDP data'!$A$2:$A$192,'GDP data'!D$2:D$192)</f>
        <v>8.2439999999999998</v>
      </c>
      <c r="M69" s="158">
        <f>LOOKUP($A69,'GDP data'!$A$2:$A$192,'GDP data'!E$2:E$192)</f>
        <v>8.7309999999999999</v>
      </c>
      <c r="N69" s="158">
        <f>LOOKUP($A69,'GDP data'!$A$2:$A$192,'GDP data'!F$2:F$192)</f>
        <v>9.1669999999999998</v>
      </c>
      <c r="O69" s="158">
        <f>LOOKUP($A69,'GDP data'!$A$2:$A$192,'GDP data'!G$2:G$192)</f>
        <v>9.6310000000000002</v>
      </c>
      <c r="P69" s="158">
        <f>LOOKUP($A69,'GDP data'!$A$2:$A$192,'GDP data'!H$2:H$192)</f>
        <v>10.176</v>
      </c>
      <c r="Q69" s="158">
        <f>LOOKUP($A69,'GDP data'!$A$2:$A$192,'GDP data'!I$2:I$192)</f>
        <v>10.766999999999999</v>
      </c>
      <c r="R69" s="158">
        <f>LOOKUP($A69,'GDP data'!$A$2:$A$192,'GDP data'!J$2:J$192)</f>
        <v>11.41</v>
      </c>
      <c r="S69" s="158">
        <f>LOOKUP($A69,'GDP data'!$A$2:$A$192,'GDP data'!K$2:K$192)</f>
        <v>12.103</v>
      </c>
      <c r="T69" s="156"/>
      <c r="U69" s="156"/>
      <c r="V69" s="133">
        <f t="shared" si="23"/>
        <v>1.8731430033121501E-4</v>
      </c>
      <c r="W69" s="133">
        <f t="shared" si="24"/>
        <v>1.8760130088857176E-4</v>
      </c>
      <c r="X69" s="133">
        <f t="shared" si="25"/>
        <v>1.8683054384074392E-4</v>
      </c>
      <c r="Y69" s="133">
        <f t="shared" si="26"/>
        <v>1.850023079667014E-4</v>
      </c>
      <c r="Z69" s="133">
        <f t="shared" si="27"/>
        <v>1.83905500043139E-4</v>
      </c>
      <c r="AA69" s="133">
        <f t="shared" si="28"/>
        <v>1.8291502019930893E-4</v>
      </c>
      <c r="AB69" s="133">
        <f t="shared" si="29"/>
        <v>1.8221741085923447E-4</v>
      </c>
      <c r="AC69" s="133">
        <f t="shared" si="30"/>
        <v>1.8182858895876946E-4</v>
      </c>
      <c r="AD69" s="156"/>
      <c r="AE69" s="156"/>
      <c r="AF69" s="159">
        <f t="shared" si="31"/>
        <v>1.2869662843601738E-5</v>
      </c>
      <c r="AG69" s="159">
        <f t="shared" si="32"/>
        <v>1.1082221437740713E-5</v>
      </c>
      <c r="AH69" s="159">
        <f t="shared" si="33"/>
        <v>9.3297580018971896E-6</v>
      </c>
      <c r="AI69" s="159">
        <f t="shared" si="34"/>
        <v>9.3641399472618653E-6</v>
      </c>
      <c r="AJ69" s="159">
        <f t="shared" si="35"/>
        <v>1.0406862996938071E-5</v>
      </c>
      <c r="AK69" s="159">
        <f t="shared" si="36"/>
        <v>1.0623307482094267E-5</v>
      </c>
      <c r="AL69" s="159">
        <f t="shared" si="37"/>
        <v>1.0881935096358121E-5</v>
      </c>
      <c r="AM69" s="159">
        <f t="shared" si="38"/>
        <v>1.1043576875409901E-5</v>
      </c>
    </row>
    <row r="70" spans="1:39" hidden="1" outlineLevel="2">
      <c r="A70" s="160" t="s">
        <v>262</v>
      </c>
      <c r="B70" s="133">
        <f>LOOKUP($A70,'GDP data'!$A$2:$A$192,'GDP data'!P$2:P$192)</f>
        <v>4.7348268373528235E-2</v>
      </c>
      <c r="C70" s="133">
        <f>LOOKUP($A70,'GDP data'!$A$2:$A$192,'GDP data'!Q$2:Q$192)</f>
        <v>2.7773988486617718E-2</v>
      </c>
      <c r="D70" s="133">
        <f>LOOKUP($A70,'GDP data'!$A$2:$A$192,'GDP data'!R$2:R$192)</f>
        <v>3.365984444267478E-2</v>
      </c>
      <c r="E70" s="133">
        <f>LOOKUP($A70,'GDP data'!$A$2:$A$192,'GDP data'!S$2:S$192)</f>
        <v>5.8116541256837628E-2</v>
      </c>
      <c r="F70" s="133">
        <f>LOOKUP($A70,'GDP data'!$A$2:$A$192,'GDP data'!T$2:T$192)</f>
        <v>5.7400126207465707E-2</v>
      </c>
      <c r="G70" s="133">
        <f>LOOKUP($A70,'GDP data'!$A$2:$A$192,'GDP data'!U$2:U$192)</f>
        <v>5.1988890674134147E-2</v>
      </c>
      <c r="H70" s="133">
        <f>LOOKUP($A70,'GDP data'!$A$2:$A$192,'GDP data'!V$2:V$192)</f>
        <v>5.1186943620177949E-2</v>
      </c>
      <c r="I70" s="133">
        <f>LOOKUP($A70,'GDP data'!$A$2:$A$192,'GDP data'!W$2:W$192)</f>
        <v>5.1039893727427454E-2</v>
      </c>
      <c r="J70" s="851"/>
      <c r="K70" s="156"/>
      <c r="L70" s="158">
        <f>LOOKUP($A70,'GDP data'!$A$2:$A$192,'GDP data'!D$2:D$192)</f>
        <v>36.652999999999999</v>
      </c>
      <c r="M70" s="158">
        <f>LOOKUP($A70,'GDP data'!$A$2:$A$192,'GDP data'!E$2:E$192)</f>
        <v>37.670999999999999</v>
      </c>
      <c r="N70" s="158">
        <f>LOOKUP($A70,'GDP data'!$A$2:$A$192,'GDP data'!F$2:F$192)</f>
        <v>38.939</v>
      </c>
      <c r="O70" s="158">
        <f>LOOKUP($A70,'GDP data'!$A$2:$A$192,'GDP data'!G$2:G$192)</f>
        <v>41.201999999999998</v>
      </c>
      <c r="P70" s="158">
        <f>LOOKUP($A70,'GDP data'!$A$2:$A$192,'GDP data'!H$2:H$192)</f>
        <v>43.567</v>
      </c>
      <c r="Q70" s="158">
        <f>LOOKUP($A70,'GDP data'!$A$2:$A$192,'GDP data'!I$2:I$192)</f>
        <v>45.832000000000001</v>
      </c>
      <c r="R70" s="158">
        <f>LOOKUP($A70,'GDP data'!$A$2:$A$192,'GDP data'!J$2:J$192)</f>
        <v>48.177999999999997</v>
      </c>
      <c r="S70" s="158">
        <f>LOOKUP($A70,'GDP data'!$A$2:$A$192,'GDP data'!K$2:K$192)</f>
        <v>50.637</v>
      </c>
      <c r="T70" s="156"/>
      <c r="U70" s="156"/>
      <c r="V70" s="133">
        <f t="shared" si="23"/>
        <v>8.3280337821931385E-4</v>
      </c>
      <c r="W70" s="133">
        <f t="shared" si="24"/>
        <v>8.0942945891345625E-4</v>
      </c>
      <c r="X70" s="133">
        <f t="shared" si="25"/>
        <v>7.9360691028850525E-4</v>
      </c>
      <c r="Y70" s="133">
        <f t="shared" si="26"/>
        <v>7.9145105314547097E-4</v>
      </c>
      <c r="Z70" s="133">
        <f t="shared" si="27"/>
        <v>7.8736349453414271E-4</v>
      </c>
      <c r="AA70" s="133">
        <f t="shared" si="28"/>
        <v>7.7861625390310469E-4</v>
      </c>
      <c r="AB70" s="133">
        <f t="shared" si="29"/>
        <v>7.6940143912148978E-4</v>
      </c>
      <c r="AC70" s="133">
        <f t="shared" si="30"/>
        <v>7.6074149046560433E-4</v>
      </c>
      <c r="AD70" s="156"/>
      <c r="AE70" s="156"/>
      <c r="AF70" s="159">
        <f t="shared" si="31"/>
        <v>3.943179785430901E-5</v>
      </c>
      <c r="AG70" s="159">
        <f t="shared" si="32"/>
        <v>2.2481084472591543E-5</v>
      </c>
      <c r="AH70" s="159">
        <f t="shared" si="33"/>
        <v>2.6712685148942848E-5</v>
      </c>
      <c r="AI70" s="159">
        <f t="shared" si="34"/>
        <v>4.5996397782896355E-5</v>
      </c>
      <c r="AJ70" s="159">
        <f t="shared" si="35"/>
        <v>4.5194763957411025E-5</v>
      </c>
      <c r="AK70" s="159">
        <f t="shared" si="36"/>
        <v>4.0479395301272384E-5</v>
      </c>
      <c r="AL70" s="159">
        <f t="shared" si="37"/>
        <v>3.9383308085595473E-5</v>
      </c>
      <c r="AM70" s="159">
        <f t="shared" si="38"/>
        <v>3.882816482740921E-5</v>
      </c>
    </row>
    <row r="71" spans="1:39" hidden="1" outlineLevel="2">
      <c r="A71" s="160" t="s">
        <v>263</v>
      </c>
      <c r="B71" s="133">
        <f>LOOKUP($A71,'GDP data'!$A$2:$A$192,'GDP data'!P$2:P$192)</f>
        <v>0.1227865598912683</v>
      </c>
      <c r="C71" s="133">
        <f>LOOKUP($A71,'GDP data'!$A$2:$A$192,'GDP data'!Q$2:Q$192)</f>
        <v>0.1160372232500877</v>
      </c>
      <c r="D71" s="133">
        <f>LOOKUP($A71,'GDP data'!$A$2:$A$192,'GDP data'!R$2:R$192)</f>
        <v>9.3354040329339805E-2</v>
      </c>
      <c r="E71" s="133">
        <f>LOOKUP($A71,'GDP data'!$A$2:$A$192,'GDP data'!S$2:S$192)</f>
        <v>0.10352738258967831</v>
      </c>
      <c r="F71" s="133">
        <f>LOOKUP($A71,'GDP data'!$A$2:$A$192,'GDP data'!T$2:T$192)</f>
        <v>0.105578228512762</v>
      </c>
      <c r="G71" s="133">
        <f>LOOKUP($A71,'GDP data'!$A$2:$A$192,'GDP data'!U$2:U$192)</f>
        <v>0.10383970357913408</v>
      </c>
      <c r="H71" s="133">
        <f>LOOKUP($A71,'GDP data'!$A$2:$A$192,'GDP data'!V$2:V$192)</f>
        <v>0.10062990478183531</v>
      </c>
      <c r="I71" s="133">
        <f>LOOKUP($A71,'GDP data'!$A$2:$A$192,'GDP data'!W$2:W$192)</f>
        <v>9.7061239390344056E-2</v>
      </c>
      <c r="J71" s="851"/>
      <c r="K71" s="156"/>
      <c r="L71" s="158">
        <f>LOOKUP($A71,'GDP data'!$A$2:$A$192,'GDP data'!D$2:D$192)</f>
        <v>145.393</v>
      </c>
      <c r="M71" s="158">
        <f>LOOKUP($A71,'GDP data'!$A$2:$A$192,'GDP data'!E$2:E$192)</f>
        <v>162.26400000000001</v>
      </c>
      <c r="N71" s="158">
        <f>LOOKUP($A71,'GDP data'!$A$2:$A$192,'GDP data'!F$2:F$192)</f>
        <v>177.41200000000001</v>
      </c>
      <c r="O71" s="158">
        <f>LOOKUP($A71,'GDP data'!$A$2:$A$192,'GDP data'!G$2:G$192)</f>
        <v>195.779</v>
      </c>
      <c r="P71" s="158">
        <f>LOOKUP($A71,'GDP data'!$A$2:$A$192,'GDP data'!H$2:H$192)</f>
        <v>216.44900000000001</v>
      </c>
      <c r="Q71" s="158">
        <f>LOOKUP($A71,'GDP data'!$A$2:$A$192,'GDP data'!I$2:I$192)</f>
        <v>238.92500000000001</v>
      </c>
      <c r="R71" s="158">
        <f>LOOKUP($A71,'GDP data'!$A$2:$A$192,'GDP data'!J$2:J$192)</f>
        <v>262.96800000000002</v>
      </c>
      <c r="S71" s="158">
        <f>LOOKUP($A71,'GDP data'!$A$2:$A$192,'GDP data'!K$2:K$192)</f>
        <v>288.49200000000002</v>
      </c>
      <c r="T71" s="156"/>
      <c r="U71" s="156"/>
      <c r="V71" s="133">
        <f t="shared" si="23"/>
        <v>3.3035162625007696E-3</v>
      </c>
      <c r="W71" s="133">
        <f t="shared" si="24"/>
        <v>3.4865350460867267E-3</v>
      </c>
      <c r="X71" s="133">
        <f t="shared" si="25"/>
        <v>3.6157936559260456E-3</v>
      </c>
      <c r="Y71" s="133">
        <f t="shared" si="26"/>
        <v>3.7607275310365313E-3</v>
      </c>
      <c r="Z71" s="133">
        <f t="shared" si="27"/>
        <v>3.9117690230775735E-3</v>
      </c>
      <c r="AA71" s="133">
        <f t="shared" si="28"/>
        <v>4.0589738275396943E-3</v>
      </c>
      <c r="AB71" s="133">
        <f t="shared" si="29"/>
        <v>4.1995922961289376E-3</v>
      </c>
      <c r="AC71" s="133">
        <f t="shared" si="30"/>
        <v>4.334139741047122E-3</v>
      </c>
      <c r="AD71" s="156"/>
      <c r="AE71" s="156"/>
      <c r="AF71" s="159">
        <f t="shared" si="31"/>
        <v>4.0562739741732955E-4</v>
      </c>
      <c r="AG71" s="159">
        <f t="shared" si="32"/>
        <v>4.0456784551202031E-4</v>
      </c>
      <c r="AH71" s="159">
        <f t="shared" si="33"/>
        <v>3.3754894677789107E-4</v>
      </c>
      <c r="AI71" s="159">
        <f t="shared" si="34"/>
        <v>3.8933827792115531E-4</v>
      </c>
      <c r="AJ71" s="159">
        <f t="shared" si="35"/>
        <v>4.1299764380762783E-4</v>
      </c>
      <c r="AK71" s="159">
        <f t="shared" si="36"/>
        <v>4.2148263908718518E-4</v>
      </c>
      <c r="AL71" s="159">
        <f t="shared" si="37"/>
        <v>4.2260457288198413E-4</v>
      </c>
      <c r="AM71" s="159">
        <f t="shared" si="38"/>
        <v>4.2067697495697852E-4</v>
      </c>
    </row>
    <row r="72" spans="1:39" hidden="1" outlineLevel="2">
      <c r="A72" s="160" t="s">
        <v>265</v>
      </c>
      <c r="B72" s="133">
        <f>LOOKUP($A72,'GDP data'!$A$2:$A$192,'GDP data'!P$2:P$192)</f>
        <v>1.1518891710585066E-2</v>
      </c>
      <c r="C72" s="133">
        <f>LOOKUP($A72,'GDP data'!$A$2:$A$192,'GDP data'!Q$2:Q$192)</f>
        <v>1.0757816401733011E-2</v>
      </c>
      <c r="D72" s="133">
        <f>LOOKUP($A72,'GDP data'!$A$2:$A$192,'GDP data'!R$2:R$192)</f>
        <v>3.2268259677361799E-2</v>
      </c>
      <c r="E72" s="133">
        <f>LOOKUP($A72,'GDP data'!$A$2:$A$192,'GDP data'!S$2:S$192)</f>
        <v>4.5464150032126449E-2</v>
      </c>
      <c r="F72" s="133">
        <f>LOOKUP($A72,'GDP data'!$A$2:$A$192,'GDP data'!T$2:T$192)</f>
        <v>4.3260188087774321E-2</v>
      </c>
      <c r="G72" s="133">
        <f>LOOKUP($A72,'GDP data'!$A$2:$A$192,'GDP data'!U$2:U$192)</f>
        <v>3.9995571862348145E-2</v>
      </c>
      <c r="H72" s="133">
        <f>LOOKUP($A72,'GDP data'!$A$2:$A$192,'GDP data'!V$2:V$192)</f>
        <v>3.749182646249305E-2</v>
      </c>
      <c r="I72" s="133">
        <f>LOOKUP($A72,'GDP data'!$A$2:$A$192,'GDP data'!W$2:W$192)</f>
        <v>3.5862164994540091E-2</v>
      </c>
      <c r="J72" s="851"/>
      <c r="K72" s="156"/>
      <c r="L72" s="158">
        <f>LOOKUP($A72,'GDP data'!$A$2:$A$192,'GDP data'!D$2:D$192)</f>
        <v>222.25700000000001</v>
      </c>
      <c r="M72" s="158">
        <f>LOOKUP($A72,'GDP data'!$A$2:$A$192,'GDP data'!E$2:E$192)</f>
        <v>224.648</v>
      </c>
      <c r="N72" s="158">
        <f>LOOKUP($A72,'GDP data'!$A$2:$A$192,'GDP data'!F$2:F$192)</f>
        <v>231.89699999999999</v>
      </c>
      <c r="O72" s="158">
        <f>LOOKUP($A72,'GDP data'!$A$2:$A$192,'GDP data'!G$2:G$192)</f>
        <v>242.44</v>
      </c>
      <c r="P72" s="158">
        <f>LOOKUP($A72,'GDP data'!$A$2:$A$192,'GDP data'!H$2:H$192)</f>
        <v>252.928</v>
      </c>
      <c r="Q72" s="158">
        <f>LOOKUP($A72,'GDP data'!$A$2:$A$192,'GDP data'!I$2:I$192)</f>
        <v>263.04399999999998</v>
      </c>
      <c r="R72" s="158">
        <f>LOOKUP($A72,'GDP data'!$A$2:$A$192,'GDP data'!J$2:J$192)</f>
        <v>272.90600000000001</v>
      </c>
      <c r="S72" s="158">
        <f>LOOKUP($A72,'GDP data'!$A$2:$A$192,'GDP data'!K$2:K$192)</f>
        <v>282.69299999999998</v>
      </c>
      <c r="T72" s="156"/>
      <c r="U72" s="156"/>
      <c r="V72" s="133">
        <f t="shared" si="23"/>
        <v>5.0499653625321267E-3</v>
      </c>
      <c r="W72" s="133">
        <f t="shared" si="24"/>
        <v>4.8269679351753371E-3</v>
      </c>
      <c r="X72" s="133">
        <f t="shared" si="25"/>
        <v>4.7262400594564186E-3</v>
      </c>
      <c r="Y72" s="133">
        <f t="shared" si="26"/>
        <v>4.6570407583269744E-3</v>
      </c>
      <c r="Z72" s="133">
        <f t="shared" si="27"/>
        <v>4.5710348186822972E-3</v>
      </c>
      <c r="AA72" s="133">
        <f t="shared" si="28"/>
        <v>4.4687191021925343E-3</v>
      </c>
      <c r="AB72" s="133">
        <f t="shared" si="29"/>
        <v>4.3583019042901178E-3</v>
      </c>
      <c r="AC72" s="133">
        <f t="shared" si="30"/>
        <v>4.247018862969628E-3</v>
      </c>
      <c r="AD72" s="156"/>
      <c r="AE72" s="156"/>
      <c r="AF72" s="159">
        <f t="shared" si="31"/>
        <v>5.8170004153213025E-5</v>
      </c>
      <c r="AG72" s="159">
        <f t="shared" si="32"/>
        <v>5.1927634823668567E-5</v>
      </c>
      <c r="AH72" s="159">
        <f t="shared" si="33"/>
        <v>1.5250754153608959E-4</v>
      </c>
      <c r="AI72" s="159">
        <f t="shared" si="34"/>
        <v>2.117283997423055E-4</v>
      </c>
      <c r="AJ72" s="159">
        <f t="shared" si="35"/>
        <v>1.9774382601196156E-4</v>
      </c>
      <c r="AK72" s="159">
        <f t="shared" si="36"/>
        <v>1.7872897598438938E-4</v>
      </c>
      <c r="AL72" s="159">
        <f t="shared" si="37"/>
        <v>1.634006986667981E-4</v>
      </c>
      <c r="AM72" s="159">
        <f t="shared" si="38"/>
        <v>1.5230729119874086E-4</v>
      </c>
    </row>
    <row r="73" spans="1:39" hidden="1" outlineLevel="2">
      <c r="A73" s="160" t="s">
        <v>266</v>
      </c>
      <c r="B73" s="133">
        <f>LOOKUP($A73,'GDP data'!$A$2:$A$192,'GDP data'!P$2:P$192)</f>
        <v>2.7593015800590814E-2</v>
      </c>
      <c r="C73" s="133">
        <f>LOOKUP($A73,'GDP data'!$A$2:$A$192,'GDP data'!Q$2:Q$192)</f>
        <v>2.1634781011001136E-2</v>
      </c>
      <c r="D73" s="133">
        <f>LOOKUP($A73,'GDP data'!$A$2:$A$192,'GDP data'!R$2:R$192)</f>
        <v>2.4788495979737535E-2</v>
      </c>
      <c r="E73" s="133">
        <f>LOOKUP($A73,'GDP data'!$A$2:$A$192,'GDP data'!S$2:S$192)</f>
        <v>3.3387687650358044E-2</v>
      </c>
      <c r="F73" s="133">
        <f>LOOKUP($A73,'GDP data'!$A$2:$A$192,'GDP data'!T$2:T$192)</f>
        <v>3.7364760159351418E-2</v>
      </c>
      <c r="G73" s="133">
        <f>LOOKUP($A73,'GDP data'!$A$2:$A$192,'GDP data'!U$2:U$192)</f>
        <v>4.0725494275375418E-2</v>
      </c>
      <c r="H73" s="133">
        <f>LOOKUP($A73,'GDP data'!$A$2:$A$192,'GDP data'!V$2:V$192)</f>
        <v>4.0688452816338261E-2</v>
      </c>
      <c r="I73" s="133">
        <f>LOOKUP($A73,'GDP data'!$A$2:$A$192,'GDP data'!W$2:W$192)</f>
        <v>3.9787255482359507E-2</v>
      </c>
      <c r="J73" s="851"/>
      <c r="K73" s="156"/>
      <c r="L73" s="158">
        <f>LOOKUP($A73,'GDP data'!$A$2:$A$192,'GDP data'!D$2:D$192)</f>
        <v>2612.46</v>
      </c>
      <c r="M73" s="158">
        <f>LOOKUP($A73,'GDP data'!$A$2:$A$192,'GDP data'!E$2:E$192)</f>
        <v>2668.98</v>
      </c>
      <c r="N73" s="158">
        <f>LOOKUP($A73,'GDP data'!$A$2:$A$192,'GDP data'!F$2:F$192)</f>
        <v>2735.14</v>
      </c>
      <c r="O73" s="158">
        <f>LOOKUP($A73,'GDP data'!$A$2:$A$192,'GDP data'!G$2:G$192)</f>
        <v>2826.46</v>
      </c>
      <c r="P73" s="158">
        <f>LOOKUP($A73,'GDP data'!$A$2:$A$192,'GDP data'!H$2:H$192)</f>
        <v>2932.07</v>
      </c>
      <c r="Q73" s="158">
        <f>LOOKUP($A73,'GDP data'!$A$2:$A$192,'GDP data'!I$2:I$192)</f>
        <v>3051.48</v>
      </c>
      <c r="R73" s="158">
        <f>LOOKUP($A73,'GDP data'!$A$2:$A$192,'GDP data'!J$2:J$192)</f>
        <v>3175.64</v>
      </c>
      <c r="S73" s="158">
        <f>LOOKUP($A73,'GDP data'!$A$2:$A$192,'GDP data'!K$2:K$192)</f>
        <v>3301.99</v>
      </c>
      <c r="T73" s="156"/>
      <c r="U73" s="156"/>
      <c r="V73" s="133">
        <f t="shared" si="23"/>
        <v>5.935845670102935E-2</v>
      </c>
      <c r="W73" s="133">
        <f t="shared" si="24"/>
        <v>5.7347854775579001E-2</v>
      </c>
      <c r="X73" s="133">
        <f t="shared" si="25"/>
        <v>5.5744266791815461E-2</v>
      </c>
      <c r="Y73" s="133">
        <f t="shared" si="26"/>
        <v>5.4293596031104029E-2</v>
      </c>
      <c r="Z73" s="133">
        <f t="shared" si="27"/>
        <v>5.2989760172119357E-2</v>
      </c>
      <c r="AA73" s="133">
        <f t="shared" si="28"/>
        <v>5.1840022832524126E-2</v>
      </c>
      <c r="AB73" s="133">
        <f t="shared" si="29"/>
        <v>5.0714890326119137E-2</v>
      </c>
      <c r="AC73" s="133">
        <f t="shared" si="30"/>
        <v>4.9607219900517814E-2</v>
      </c>
      <c r="AD73" s="156"/>
      <c r="AE73" s="156"/>
      <c r="AF73" s="159">
        <f t="shared" si="31"/>
        <v>1.6378788336501885E-3</v>
      </c>
      <c r="AG73" s="159">
        <f t="shared" si="32"/>
        <v>1.2407082795203475E-3</v>
      </c>
      <c r="AH73" s="159">
        <f t="shared" si="33"/>
        <v>1.3818165332623342E-3</v>
      </c>
      <c r="AI73" s="159">
        <f t="shared" si="34"/>
        <v>1.8127376257012205E-3</v>
      </c>
      <c r="AJ73" s="159">
        <f t="shared" si="35"/>
        <v>1.9799496797327917E-3</v>
      </c>
      <c r="AK73" s="159">
        <f t="shared" si="36"/>
        <v>2.1112105531012923E-3</v>
      </c>
      <c r="AL73" s="159">
        <f t="shared" si="37"/>
        <v>2.0635104221200682E-3</v>
      </c>
      <c r="AM73" s="159">
        <f t="shared" si="38"/>
        <v>1.9737351319514909E-3</v>
      </c>
    </row>
    <row r="74" spans="1:39" hidden="1" outlineLevel="2">
      <c r="A74" s="160" t="s">
        <v>267</v>
      </c>
      <c r="B74" s="133">
        <f>LOOKUP($A74,'GDP data'!$A$2:$A$192,'GDP data'!P$2:P$192)</f>
        <v>6.3096774193548422E-2</v>
      </c>
      <c r="C74" s="133">
        <f>LOOKUP($A74,'GDP data'!$A$2:$A$192,'GDP data'!Q$2:Q$192)</f>
        <v>5.0036412185944679E-2</v>
      </c>
      <c r="D74" s="133">
        <f>LOOKUP($A74,'GDP data'!$A$2:$A$192,'GDP data'!R$2:R$192)</f>
        <v>3.386793815922573E-2</v>
      </c>
      <c r="E74" s="133">
        <f>LOOKUP($A74,'GDP data'!$A$2:$A$192,'GDP data'!S$2:S$192)</f>
        <v>2.7224194314783068E-2</v>
      </c>
      <c r="F74" s="133">
        <f>LOOKUP($A74,'GDP data'!$A$2:$A$192,'GDP data'!T$2:T$192)</f>
        <v>4.6502135996299598E-2</v>
      </c>
      <c r="G74" s="133">
        <f>LOOKUP($A74,'GDP data'!$A$2:$A$192,'GDP data'!U$2:U$192)</f>
        <v>6.30265210608425E-2</v>
      </c>
      <c r="H74" s="133">
        <f>LOOKUP($A74,'GDP data'!$A$2:$A$192,'GDP data'!V$2:V$192)</f>
        <v>6.8339692789355144E-2</v>
      </c>
      <c r="I74" s="133">
        <f>LOOKUP($A74,'GDP data'!$A$2:$A$192,'GDP data'!W$2:W$192)</f>
        <v>6.9394203031274415E-2</v>
      </c>
      <c r="J74" s="851"/>
      <c r="K74" s="156"/>
      <c r="L74" s="158">
        <f>LOOKUP($A74,'GDP data'!$A$2:$A$192,'GDP data'!D$2:D$192)</f>
        <v>32.956000000000003</v>
      </c>
      <c r="M74" s="158">
        <f>LOOKUP($A74,'GDP data'!$A$2:$A$192,'GDP data'!E$2:E$192)</f>
        <v>34.604999999999997</v>
      </c>
      <c r="N74" s="158">
        <f>LOOKUP($A74,'GDP data'!$A$2:$A$192,'GDP data'!F$2:F$192)</f>
        <v>35.777000000000001</v>
      </c>
      <c r="O74" s="158">
        <f>LOOKUP($A74,'GDP data'!$A$2:$A$192,'GDP data'!G$2:G$192)</f>
        <v>36.750999999999998</v>
      </c>
      <c r="P74" s="158">
        <f>LOOKUP($A74,'GDP data'!$A$2:$A$192,'GDP data'!H$2:H$192)</f>
        <v>38.46</v>
      </c>
      <c r="Q74" s="158">
        <f>LOOKUP($A74,'GDP data'!$A$2:$A$192,'GDP data'!I$2:I$192)</f>
        <v>40.884</v>
      </c>
      <c r="R74" s="158">
        <f>LOOKUP($A74,'GDP data'!$A$2:$A$192,'GDP data'!J$2:J$192)</f>
        <v>43.677999999999997</v>
      </c>
      <c r="S74" s="158">
        <f>LOOKUP($A74,'GDP data'!$A$2:$A$192,'GDP data'!K$2:K$192)</f>
        <v>46.709000000000003</v>
      </c>
      <c r="T74" s="156"/>
      <c r="U74" s="156"/>
      <c r="V74" s="133">
        <f t="shared" si="23"/>
        <v>7.4880277555986439E-4</v>
      </c>
      <c r="W74" s="133">
        <f t="shared" si="24"/>
        <v>7.4355091252422691E-4</v>
      </c>
      <c r="X74" s="133">
        <f t="shared" si="25"/>
        <v>7.2916290683869268E-4</v>
      </c>
      <c r="Y74" s="133">
        <f t="shared" si="26"/>
        <v>7.0595159589702456E-4</v>
      </c>
      <c r="Z74" s="133">
        <f t="shared" si="27"/>
        <v>6.9506736749794869E-4</v>
      </c>
      <c r="AA74" s="133">
        <f t="shared" si="28"/>
        <v>6.945572291101093E-4</v>
      </c>
      <c r="AB74" s="133">
        <f t="shared" si="29"/>
        <v>6.9753655315597221E-4</v>
      </c>
      <c r="AC74" s="133">
        <f t="shared" si="30"/>
        <v>7.0172945234034238E-4</v>
      </c>
      <c r="AD74" s="156"/>
      <c r="AE74" s="156"/>
      <c r="AF74" s="159">
        <f t="shared" si="31"/>
        <v>4.7247039645003084E-5</v>
      </c>
      <c r="AG74" s="159">
        <f t="shared" si="32"/>
        <v>3.7204619940297514E-5</v>
      </c>
      <c r="AH74" s="159">
        <f t="shared" si="33"/>
        <v>2.4695244236814116E-5</v>
      </c>
      <c r="AI74" s="159">
        <f t="shared" si="34"/>
        <v>1.9218963423531811E-5</v>
      </c>
      <c r="AJ74" s="159">
        <f t="shared" si="35"/>
        <v>3.2322117249979562E-5</v>
      </c>
      <c r="AK74" s="159">
        <f t="shared" si="36"/>
        <v>4.3775525828468712E-5</v>
      </c>
      <c r="AL74" s="159">
        <f t="shared" si="37"/>
        <v>4.7669433752024838E-5</v>
      </c>
      <c r="AM74" s="159">
        <f t="shared" si="38"/>
        <v>4.8695956088730722E-5</v>
      </c>
    </row>
    <row r="75" spans="1:39" hidden="1" outlineLevel="2">
      <c r="A75" s="160" t="s">
        <v>268</v>
      </c>
      <c r="B75" s="133">
        <f>LOOKUP($A75,'GDP data'!$A$2:$A$192,'GDP data'!P$2:P$192)</f>
        <v>2.7261474096321736E-2</v>
      </c>
      <c r="C75" s="133">
        <f>LOOKUP($A75,'GDP data'!$A$2:$A$192,'GDP data'!Q$2:Q$192)</f>
        <v>4.0568311319520989E-2</v>
      </c>
      <c r="D75" s="133">
        <f>LOOKUP($A75,'GDP data'!$A$2:$A$192,'GDP data'!R$2:R$192)</f>
        <v>4.5548802930061028E-2</v>
      </c>
      <c r="E75" s="133">
        <f>LOOKUP($A75,'GDP data'!$A$2:$A$192,'GDP data'!S$2:S$192)</f>
        <v>5.5146774733624726E-2</v>
      </c>
      <c r="F75" s="133">
        <f>LOOKUP($A75,'GDP data'!$A$2:$A$192,'GDP data'!T$2:T$192)</f>
        <v>5.4648721662570843E-2</v>
      </c>
      <c r="G75" s="133">
        <f>LOOKUP($A75,'GDP data'!$A$2:$A$192,'GDP data'!U$2:U$192)</f>
        <v>5.5983334619242431E-2</v>
      </c>
      <c r="H75" s="133">
        <f>LOOKUP($A75,'GDP data'!$A$2:$A$192,'GDP data'!V$2:V$192)</f>
        <v>5.2788859176128522E-2</v>
      </c>
      <c r="I75" s="133">
        <f>LOOKUP($A75,'GDP data'!$A$2:$A$192,'GDP data'!W$2:W$192)</f>
        <v>5.173813770464486E-2</v>
      </c>
      <c r="J75" s="851"/>
      <c r="K75" s="156"/>
      <c r="L75" s="158">
        <f>LOOKUP($A75,'GDP data'!$A$2:$A$192,'GDP data'!D$2:D$192)</f>
        <v>1070.54</v>
      </c>
      <c r="M75" s="158">
        <f>LOOKUP($A75,'GDP data'!$A$2:$A$192,'GDP data'!E$2:E$192)</f>
        <v>1113.97</v>
      </c>
      <c r="N75" s="158">
        <f>LOOKUP($A75,'GDP data'!$A$2:$A$192,'GDP data'!F$2:F$192)</f>
        <v>1164.71</v>
      </c>
      <c r="O75" s="158">
        <f>LOOKUP($A75,'GDP data'!$A$2:$A$192,'GDP data'!G$2:G$192)</f>
        <v>1228.94</v>
      </c>
      <c r="P75" s="158">
        <f>LOOKUP($A75,'GDP data'!$A$2:$A$192,'GDP data'!H$2:H$192)</f>
        <v>1296.0999999999999</v>
      </c>
      <c r="Q75" s="158">
        <f>LOOKUP($A75,'GDP data'!$A$2:$A$192,'GDP data'!I$2:I$192)</f>
        <v>1368.66</v>
      </c>
      <c r="R75" s="158">
        <f>LOOKUP($A75,'GDP data'!$A$2:$A$192,'GDP data'!J$2:J$192)</f>
        <v>1440.91</v>
      </c>
      <c r="S75" s="158">
        <f>LOOKUP($A75,'GDP data'!$A$2:$A$192,'GDP data'!K$2:K$192)</f>
        <v>1515.46</v>
      </c>
      <c r="T75" s="156"/>
      <c r="U75" s="156"/>
      <c r="V75" s="133">
        <f t="shared" si="23"/>
        <v>2.4324047922923205E-2</v>
      </c>
      <c r="W75" s="133">
        <f t="shared" si="24"/>
        <v>2.3935656986695943E-2</v>
      </c>
      <c r="X75" s="133">
        <f t="shared" si="25"/>
        <v>2.3737689834924497E-2</v>
      </c>
      <c r="Y75" s="133">
        <f t="shared" si="26"/>
        <v>2.3606763197237882E-2</v>
      </c>
      <c r="Z75" s="133">
        <f t="shared" si="27"/>
        <v>2.342373413973196E-2</v>
      </c>
      <c r="AA75" s="133">
        <f t="shared" si="28"/>
        <v>2.3251460160303352E-2</v>
      </c>
      <c r="AB75" s="133">
        <f t="shared" si="29"/>
        <v>2.3011296185905309E-2</v>
      </c>
      <c r="AC75" s="133">
        <f t="shared" si="30"/>
        <v>2.2767409189742772E-2</v>
      </c>
      <c r="AD75" s="156"/>
      <c r="AE75" s="156"/>
      <c r="AF75" s="159">
        <f t="shared" si="31"/>
        <v>6.6310940236845946E-4</v>
      </c>
      <c r="AG75" s="159">
        <f t="shared" si="32"/>
        <v>9.7102918427354867E-4</v>
      </c>
      <c r="AH75" s="159">
        <f t="shared" si="33"/>
        <v>1.0812233563058887E-3</v>
      </c>
      <c r="AI75" s="159">
        <f t="shared" si="34"/>
        <v>1.3018368522281002E-3</v>
      </c>
      <c r="AJ75" s="159">
        <f t="shared" si="35"/>
        <v>1.2800771273002703E-3</v>
      </c>
      <c r="AK75" s="159">
        <f t="shared" si="36"/>
        <v>1.3016942745402468E-3</v>
      </c>
      <c r="AL75" s="159">
        <f t="shared" si="37"/>
        <v>1.2147400738179387E-3</v>
      </c>
      <c r="AM75" s="159">
        <f t="shared" si="38"/>
        <v>1.1779433518369084E-3</v>
      </c>
    </row>
    <row r="76" spans="1:39" hidden="1" outlineLevel="2">
      <c r="A76" s="160" t="s">
        <v>269</v>
      </c>
      <c r="B76" s="133">
        <f>LOOKUP($A76,'GDP data'!$A$2:$A$192,'GDP data'!P$2:P$192)</f>
        <v>6.3096774193548422E-2</v>
      </c>
      <c r="C76" s="133">
        <f>LOOKUP($A76,'GDP data'!$A$2:$A$192,'GDP data'!Q$2:Q$192)</f>
        <v>5.0036412185944679E-2</v>
      </c>
      <c r="D76" s="133">
        <f>LOOKUP($A76,'GDP data'!$A$2:$A$192,'GDP data'!R$2:R$192)</f>
        <v>3.386793815922573E-2</v>
      </c>
      <c r="E76" s="133">
        <f>LOOKUP($A76,'GDP data'!$A$2:$A$192,'GDP data'!S$2:S$192)</f>
        <v>2.7224194314783068E-2</v>
      </c>
      <c r="F76" s="133">
        <f>LOOKUP($A76,'GDP data'!$A$2:$A$192,'GDP data'!T$2:T$192)</f>
        <v>4.6502135996299598E-2</v>
      </c>
      <c r="G76" s="133">
        <f>LOOKUP($A76,'GDP data'!$A$2:$A$192,'GDP data'!U$2:U$192)</f>
        <v>6.30265210608425E-2</v>
      </c>
      <c r="H76" s="133">
        <f>LOOKUP($A76,'GDP data'!$A$2:$A$192,'GDP data'!V$2:V$192)</f>
        <v>6.8339692789355144E-2</v>
      </c>
      <c r="I76" s="133">
        <f>LOOKUP($A76,'GDP data'!$A$2:$A$192,'GDP data'!W$2:W$192)</f>
        <v>6.9394203031274415E-2</v>
      </c>
      <c r="J76" s="851"/>
      <c r="K76" s="156"/>
      <c r="L76" s="158">
        <f>LOOKUP($A76,'GDP data'!$A$2:$A$192,'GDP data'!D$2:D$192)</f>
        <v>32.956000000000003</v>
      </c>
      <c r="M76" s="158">
        <f>LOOKUP($A76,'GDP data'!$A$2:$A$192,'GDP data'!E$2:E$192)</f>
        <v>34.604999999999997</v>
      </c>
      <c r="N76" s="158">
        <f>LOOKUP($A76,'GDP data'!$A$2:$A$192,'GDP data'!F$2:F$192)</f>
        <v>35.777000000000001</v>
      </c>
      <c r="O76" s="158">
        <f>LOOKUP($A76,'GDP data'!$A$2:$A$192,'GDP data'!G$2:G$192)</f>
        <v>36.750999999999998</v>
      </c>
      <c r="P76" s="158">
        <f>LOOKUP($A76,'GDP data'!$A$2:$A$192,'GDP data'!H$2:H$192)</f>
        <v>38.46</v>
      </c>
      <c r="Q76" s="158">
        <f>LOOKUP($A76,'GDP data'!$A$2:$A$192,'GDP data'!I$2:I$192)</f>
        <v>40.884</v>
      </c>
      <c r="R76" s="158">
        <f>LOOKUP($A76,'GDP data'!$A$2:$A$192,'GDP data'!J$2:J$192)</f>
        <v>43.677999999999997</v>
      </c>
      <c r="S76" s="158">
        <f>LOOKUP($A76,'GDP data'!$A$2:$A$192,'GDP data'!K$2:K$192)</f>
        <v>46.709000000000003</v>
      </c>
      <c r="T76" s="156"/>
      <c r="U76" s="156"/>
      <c r="V76" s="133">
        <f t="shared" si="23"/>
        <v>7.4880277555986439E-4</v>
      </c>
      <c r="W76" s="133">
        <f t="shared" si="24"/>
        <v>7.4355091252422691E-4</v>
      </c>
      <c r="X76" s="133">
        <f t="shared" si="25"/>
        <v>7.2916290683869268E-4</v>
      </c>
      <c r="Y76" s="133">
        <f t="shared" si="26"/>
        <v>7.0595159589702456E-4</v>
      </c>
      <c r="Z76" s="133">
        <f t="shared" si="27"/>
        <v>6.9506736749794869E-4</v>
      </c>
      <c r="AA76" s="133">
        <f t="shared" si="28"/>
        <v>6.945572291101093E-4</v>
      </c>
      <c r="AB76" s="133">
        <f t="shared" si="29"/>
        <v>6.9753655315597221E-4</v>
      </c>
      <c r="AC76" s="133">
        <f t="shared" si="30"/>
        <v>7.0172945234034238E-4</v>
      </c>
      <c r="AD76" s="156"/>
      <c r="AE76" s="156"/>
      <c r="AF76" s="159">
        <f t="shared" si="31"/>
        <v>4.7247039645003084E-5</v>
      </c>
      <c r="AG76" s="159">
        <f t="shared" si="32"/>
        <v>3.7204619940297514E-5</v>
      </c>
      <c r="AH76" s="159">
        <f t="shared" si="33"/>
        <v>2.4695244236814116E-5</v>
      </c>
      <c r="AI76" s="159">
        <f t="shared" si="34"/>
        <v>1.9218963423531811E-5</v>
      </c>
      <c r="AJ76" s="159">
        <f t="shared" si="35"/>
        <v>3.2322117249979562E-5</v>
      </c>
      <c r="AK76" s="159">
        <f t="shared" si="36"/>
        <v>4.3775525828468712E-5</v>
      </c>
      <c r="AL76" s="159">
        <f t="shared" si="37"/>
        <v>4.7669433752024838E-5</v>
      </c>
      <c r="AM76" s="159">
        <f t="shared" si="38"/>
        <v>4.8695956088730722E-5</v>
      </c>
    </row>
    <row r="77" spans="1:39" hidden="1" outlineLevel="2">
      <c r="A77" s="160" t="s">
        <v>270</v>
      </c>
      <c r="B77" s="133">
        <f>LOOKUP($A77,'GDP data'!$A$2:$A$192,'GDP data'!P$2:P$192)</f>
        <v>6.3096774193548422E-2</v>
      </c>
      <c r="C77" s="133">
        <f>LOOKUP($A77,'GDP data'!$A$2:$A$192,'GDP data'!Q$2:Q$192)</f>
        <v>5.0036412185944679E-2</v>
      </c>
      <c r="D77" s="133">
        <f>LOOKUP($A77,'GDP data'!$A$2:$A$192,'GDP data'!R$2:R$192)</f>
        <v>3.386793815922573E-2</v>
      </c>
      <c r="E77" s="133">
        <f>LOOKUP($A77,'GDP data'!$A$2:$A$192,'GDP data'!S$2:S$192)</f>
        <v>2.7224194314783068E-2</v>
      </c>
      <c r="F77" s="133">
        <f>LOOKUP($A77,'GDP data'!$A$2:$A$192,'GDP data'!T$2:T$192)</f>
        <v>4.6502135996299598E-2</v>
      </c>
      <c r="G77" s="133">
        <f>LOOKUP($A77,'GDP data'!$A$2:$A$192,'GDP data'!U$2:U$192)</f>
        <v>6.30265210608425E-2</v>
      </c>
      <c r="H77" s="133">
        <f>LOOKUP($A77,'GDP data'!$A$2:$A$192,'GDP data'!V$2:V$192)</f>
        <v>6.8339692789355144E-2</v>
      </c>
      <c r="I77" s="133">
        <f>LOOKUP($A77,'GDP data'!$A$2:$A$192,'GDP data'!W$2:W$192)</f>
        <v>6.9394203031274415E-2</v>
      </c>
      <c r="J77" s="851"/>
      <c r="K77" s="156"/>
      <c r="L77" s="158">
        <f>LOOKUP($A77,'GDP data'!$A$2:$A$192,'GDP data'!D$2:D$192)</f>
        <v>32.956000000000003</v>
      </c>
      <c r="M77" s="158">
        <f>LOOKUP($A77,'GDP data'!$A$2:$A$192,'GDP data'!E$2:E$192)</f>
        <v>34.604999999999997</v>
      </c>
      <c r="N77" s="158">
        <f>LOOKUP($A77,'GDP data'!$A$2:$A$192,'GDP data'!F$2:F$192)</f>
        <v>35.777000000000001</v>
      </c>
      <c r="O77" s="158">
        <f>LOOKUP($A77,'GDP data'!$A$2:$A$192,'GDP data'!G$2:G$192)</f>
        <v>36.750999999999998</v>
      </c>
      <c r="P77" s="158">
        <f>LOOKUP($A77,'GDP data'!$A$2:$A$192,'GDP data'!H$2:H$192)</f>
        <v>38.46</v>
      </c>
      <c r="Q77" s="158">
        <f>LOOKUP($A77,'GDP data'!$A$2:$A$192,'GDP data'!I$2:I$192)</f>
        <v>40.884</v>
      </c>
      <c r="R77" s="158">
        <f>LOOKUP($A77,'GDP data'!$A$2:$A$192,'GDP data'!J$2:J$192)</f>
        <v>43.677999999999997</v>
      </c>
      <c r="S77" s="158">
        <f>LOOKUP($A77,'GDP data'!$A$2:$A$192,'GDP data'!K$2:K$192)</f>
        <v>46.709000000000003</v>
      </c>
      <c r="T77" s="156"/>
      <c r="U77" s="156"/>
      <c r="V77" s="133">
        <f t="shared" si="23"/>
        <v>7.4880277555986439E-4</v>
      </c>
      <c r="W77" s="133">
        <f t="shared" si="24"/>
        <v>7.4355091252422691E-4</v>
      </c>
      <c r="X77" s="133">
        <f t="shared" si="25"/>
        <v>7.2916290683869268E-4</v>
      </c>
      <c r="Y77" s="133">
        <f t="shared" si="26"/>
        <v>7.0595159589702456E-4</v>
      </c>
      <c r="Z77" s="133">
        <f t="shared" si="27"/>
        <v>6.9506736749794869E-4</v>
      </c>
      <c r="AA77" s="133">
        <f t="shared" si="28"/>
        <v>6.945572291101093E-4</v>
      </c>
      <c r="AB77" s="133">
        <f t="shared" si="29"/>
        <v>6.9753655315597221E-4</v>
      </c>
      <c r="AC77" s="133">
        <f t="shared" si="30"/>
        <v>7.0172945234034238E-4</v>
      </c>
      <c r="AD77" s="156"/>
      <c r="AE77" s="156"/>
      <c r="AF77" s="159">
        <f t="shared" si="31"/>
        <v>4.7247039645003084E-5</v>
      </c>
      <c r="AG77" s="159">
        <f t="shared" si="32"/>
        <v>3.7204619940297514E-5</v>
      </c>
      <c r="AH77" s="159">
        <f t="shared" si="33"/>
        <v>2.4695244236814116E-5</v>
      </c>
      <c r="AI77" s="159">
        <f t="shared" si="34"/>
        <v>1.9218963423531811E-5</v>
      </c>
      <c r="AJ77" s="159">
        <f t="shared" si="35"/>
        <v>3.2322117249979562E-5</v>
      </c>
      <c r="AK77" s="159">
        <f t="shared" si="36"/>
        <v>4.3775525828468712E-5</v>
      </c>
      <c r="AL77" s="159">
        <f t="shared" si="37"/>
        <v>4.7669433752024838E-5</v>
      </c>
      <c r="AM77" s="159">
        <f t="shared" si="38"/>
        <v>4.8695956088730722E-5</v>
      </c>
    </row>
    <row r="78" spans="1:39" hidden="1" outlineLevel="2">
      <c r="A78" s="160" t="s">
        <v>271</v>
      </c>
      <c r="B78" s="133">
        <f>LOOKUP($A78,'GDP data'!$A$2:$A$192,'GDP data'!P$2:P$192)</f>
        <v>6.3096774193548422E-2</v>
      </c>
      <c r="C78" s="133">
        <f>LOOKUP($A78,'GDP data'!$A$2:$A$192,'GDP data'!Q$2:Q$192)</f>
        <v>5.0036412185944679E-2</v>
      </c>
      <c r="D78" s="133">
        <f>LOOKUP($A78,'GDP data'!$A$2:$A$192,'GDP data'!R$2:R$192)</f>
        <v>3.386793815922573E-2</v>
      </c>
      <c r="E78" s="133">
        <f>LOOKUP($A78,'GDP data'!$A$2:$A$192,'GDP data'!S$2:S$192)</f>
        <v>2.7224194314783068E-2</v>
      </c>
      <c r="F78" s="133">
        <f>LOOKUP($A78,'GDP data'!$A$2:$A$192,'GDP data'!T$2:T$192)</f>
        <v>4.6502135996299598E-2</v>
      </c>
      <c r="G78" s="133">
        <f>LOOKUP($A78,'GDP data'!$A$2:$A$192,'GDP data'!U$2:U$192)</f>
        <v>6.30265210608425E-2</v>
      </c>
      <c r="H78" s="133">
        <f>LOOKUP($A78,'GDP data'!$A$2:$A$192,'GDP data'!V$2:V$192)</f>
        <v>6.8339692789355144E-2</v>
      </c>
      <c r="I78" s="133">
        <f>LOOKUP($A78,'GDP data'!$A$2:$A$192,'GDP data'!W$2:W$192)</f>
        <v>6.9394203031274415E-2</v>
      </c>
      <c r="J78" s="851"/>
      <c r="K78" s="156"/>
      <c r="L78" s="158">
        <f>LOOKUP($A78,'GDP data'!$A$2:$A$192,'GDP data'!D$2:D$192)</f>
        <v>32.956000000000003</v>
      </c>
      <c r="M78" s="158">
        <f>LOOKUP($A78,'GDP data'!$A$2:$A$192,'GDP data'!E$2:E$192)</f>
        <v>34.604999999999997</v>
      </c>
      <c r="N78" s="158">
        <f>LOOKUP($A78,'GDP data'!$A$2:$A$192,'GDP data'!F$2:F$192)</f>
        <v>35.777000000000001</v>
      </c>
      <c r="O78" s="158">
        <f>LOOKUP($A78,'GDP data'!$A$2:$A$192,'GDP data'!G$2:G$192)</f>
        <v>36.750999999999998</v>
      </c>
      <c r="P78" s="158">
        <f>LOOKUP($A78,'GDP data'!$A$2:$A$192,'GDP data'!H$2:H$192)</f>
        <v>38.46</v>
      </c>
      <c r="Q78" s="158">
        <f>LOOKUP($A78,'GDP data'!$A$2:$A$192,'GDP data'!I$2:I$192)</f>
        <v>40.884</v>
      </c>
      <c r="R78" s="158">
        <f>LOOKUP($A78,'GDP data'!$A$2:$A$192,'GDP data'!J$2:J$192)</f>
        <v>43.677999999999997</v>
      </c>
      <c r="S78" s="158">
        <f>LOOKUP($A78,'GDP data'!$A$2:$A$192,'GDP data'!K$2:K$192)</f>
        <v>46.709000000000003</v>
      </c>
      <c r="T78" s="156"/>
      <c r="U78" s="156"/>
      <c r="V78" s="133">
        <f t="shared" si="23"/>
        <v>7.4880277555986439E-4</v>
      </c>
      <c r="W78" s="133">
        <f t="shared" si="24"/>
        <v>7.4355091252422691E-4</v>
      </c>
      <c r="X78" s="133">
        <f t="shared" si="25"/>
        <v>7.2916290683869268E-4</v>
      </c>
      <c r="Y78" s="133">
        <f t="shared" si="26"/>
        <v>7.0595159589702456E-4</v>
      </c>
      <c r="Z78" s="133">
        <f t="shared" si="27"/>
        <v>6.9506736749794869E-4</v>
      </c>
      <c r="AA78" s="133">
        <f t="shared" si="28"/>
        <v>6.945572291101093E-4</v>
      </c>
      <c r="AB78" s="133">
        <f t="shared" si="29"/>
        <v>6.9753655315597221E-4</v>
      </c>
      <c r="AC78" s="133">
        <f t="shared" si="30"/>
        <v>7.0172945234034238E-4</v>
      </c>
      <c r="AD78" s="156"/>
      <c r="AE78" s="156"/>
      <c r="AF78" s="159">
        <f t="shared" si="31"/>
        <v>4.7247039645003084E-5</v>
      </c>
      <c r="AG78" s="159">
        <f t="shared" si="32"/>
        <v>3.7204619940297514E-5</v>
      </c>
      <c r="AH78" s="159">
        <f t="shared" si="33"/>
        <v>2.4695244236814116E-5</v>
      </c>
      <c r="AI78" s="159">
        <f t="shared" si="34"/>
        <v>1.9218963423531811E-5</v>
      </c>
      <c r="AJ78" s="159">
        <f t="shared" si="35"/>
        <v>3.2322117249979562E-5</v>
      </c>
      <c r="AK78" s="159">
        <f t="shared" si="36"/>
        <v>4.3775525828468712E-5</v>
      </c>
      <c r="AL78" s="159">
        <f t="shared" si="37"/>
        <v>4.7669433752024838E-5</v>
      </c>
      <c r="AM78" s="159">
        <f t="shared" si="38"/>
        <v>4.8695956088730722E-5</v>
      </c>
    </row>
    <row r="79" spans="1:39" hidden="1" outlineLevel="2">
      <c r="A79" s="160" t="s">
        <v>272</v>
      </c>
      <c r="B79" s="133">
        <f>LOOKUP($A79,'GDP data'!$A$2:$A$192,'GDP data'!P$2:P$192)</f>
        <v>6.3096774193548422E-2</v>
      </c>
      <c r="C79" s="133">
        <f>LOOKUP($A79,'GDP data'!$A$2:$A$192,'GDP data'!Q$2:Q$192)</f>
        <v>5.0036412185944679E-2</v>
      </c>
      <c r="D79" s="133">
        <f>LOOKUP($A79,'GDP data'!$A$2:$A$192,'GDP data'!R$2:R$192)</f>
        <v>3.386793815922573E-2</v>
      </c>
      <c r="E79" s="133">
        <f>LOOKUP($A79,'GDP data'!$A$2:$A$192,'GDP data'!S$2:S$192)</f>
        <v>2.7224194314783068E-2</v>
      </c>
      <c r="F79" s="133">
        <f>LOOKUP($A79,'GDP data'!$A$2:$A$192,'GDP data'!T$2:T$192)</f>
        <v>4.6502135996299598E-2</v>
      </c>
      <c r="G79" s="133">
        <f>LOOKUP($A79,'GDP data'!$A$2:$A$192,'GDP data'!U$2:U$192)</f>
        <v>6.30265210608425E-2</v>
      </c>
      <c r="H79" s="133">
        <f>LOOKUP($A79,'GDP data'!$A$2:$A$192,'GDP data'!V$2:V$192)</f>
        <v>6.8339692789355144E-2</v>
      </c>
      <c r="I79" s="133">
        <f>LOOKUP($A79,'GDP data'!$A$2:$A$192,'GDP data'!W$2:W$192)</f>
        <v>6.9394203031274415E-2</v>
      </c>
      <c r="J79" s="851"/>
      <c r="K79" s="133"/>
      <c r="L79" s="158">
        <f>LOOKUP($A79,'GDP data'!$A$2:$A$192,'GDP data'!D$2:D$192)</f>
        <v>32.956000000000003</v>
      </c>
      <c r="M79" s="158">
        <f>LOOKUP($A79,'GDP data'!$A$2:$A$192,'GDP data'!E$2:E$192)</f>
        <v>34.604999999999997</v>
      </c>
      <c r="N79" s="158">
        <f>LOOKUP($A79,'GDP data'!$A$2:$A$192,'GDP data'!F$2:F$192)</f>
        <v>35.777000000000001</v>
      </c>
      <c r="O79" s="158">
        <f>LOOKUP($A79,'GDP data'!$A$2:$A$192,'GDP data'!G$2:G$192)</f>
        <v>36.750999999999998</v>
      </c>
      <c r="P79" s="158">
        <f>LOOKUP($A79,'GDP data'!$A$2:$A$192,'GDP data'!H$2:H$192)</f>
        <v>38.46</v>
      </c>
      <c r="Q79" s="158">
        <f>LOOKUP($A79,'GDP data'!$A$2:$A$192,'GDP data'!I$2:I$192)</f>
        <v>40.884</v>
      </c>
      <c r="R79" s="158">
        <f>LOOKUP($A79,'GDP data'!$A$2:$A$192,'GDP data'!J$2:J$192)</f>
        <v>43.677999999999997</v>
      </c>
      <c r="S79" s="158">
        <f>LOOKUP($A79,'GDP data'!$A$2:$A$192,'GDP data'!K$2:K$192)</f>
        <v>46.709000000000003</v>
      </c>
      <c r="T79" s="156"/>
      <c r="U79" s="156"/>
      <c r="V79" s="133">
        <f t="shared" si="23"/>
        <v>7.4880277555986439E-4</v>
      </c>
      <c r="W79" s="133">
        <f t="shared" si="24"/>
        <v>7.4355091252422691E-4</v>
      </c>
      <c r="X79" s="133">
        <f t="shared" si="25"/>
        <v>7.2916290683869268E-4</v>
      </c>
      <c r="Y79" s="133">
        <f t="shared" si="26"/>
        <v>7.0595159589702456E-4</v>
      </c>
      <c r="Z79" s="133">
        <f t="shared" si="27"/>
        <v>6.9506736749794869E-4</v>
      </c>
      <c r="AA79" s="133">
        <f t="shared" si="28"/>
        <v>6.945572291101093E-4</v>
      </c>
      <c r="AB79" s="133">
        <f t="shared" si="29"/>
        <v>6.9753655315597221E-4</v>
      </c>
      <c r="AC79" s="133">
        <f t="shared" si="30"/>
        <v>7.0172945234034238E-4</v>
      </c>
      <c r="AD79" s="156"/>
      <c r="AE79" s="156"/>
      <c r="AF79" s="159">
        <f t="shared" ref="AF79:AM79" si="39">V79*B79</f>
        <v>4.7247039645003084E-5</v>
      </c>
      <c r="AG79" s="159">
        <f t="shared" si="39"/>
        <v>3.7204619940297514E-5</v>
      </c>
      <c r="AH79" s="159">
        <f t="shared" si="39"/>
        <v>2.4695244236814116E-5</v>
      </c>
      <c r="AI79" s="159">
        <f t="shared" si="39"/>
        <v>1.9218963423531811E-5</v>
      </c>
      <c r="AJ79" s="159">
        <f t="shared" si="39"/>
        <v>3.2322117249979562E-5</v>
      </c>
      <c r="AK79" s="159">
        <f t="shared" si="39"/>
        <v>4.3775525828468712E-5</v>
      </c>
      <c r="AL79" s="159">
        <f t="shared" si="39"/>
        <v>4.7669433752024838E-5</v>
      </c>
      <c r="AM79" s="159">
        <f t="shared" si="39"/>
        <v>4.8695956088730722E-5</v>
      </c>
    </row>
    <row r="80" spans="1:39" hidden="1" outlineLevel="2">
      <c r="A80" s="160" t="s">
        <v>275</v>
      </c>
      <c r="B80" s="133">
        <f>LOOKUP($A80,'GDP data'!$A$2:$A$192,'GDP data'!P$2:P$192)</f>
        <v>6.3096774193548422E-2</v>
      </c>
      <c r="C80" s="133">
        <f>LOOKUP($A80,'GDP data'!$A$2:$A$192,'GDP data'!Q$2:Q$192)</f>
        <v>5.0036412185944679E-2</v>
      </c>
      <c r="D80" s="133">
        <f>LOOKUP($A80,'GDP data'!$A$2:$A$192,'GDP data'!R$2:R$192)</f>
        <v>3.386793815922573E-2</v>
      </c>
      <c r="E80" s="133">
        <f>LOOKUP($A80,'GDP data'!$A$2:$A$192,'GDP data'!S$2:S$192)</f>
        <v>2.7224194314783068E-2</v>
      </c>
      <c r="F80" s="133">
        <f>LOOKUP($A80,'GDP data'!$A$2:$A$192,'GDP data'!T$2:T$192)</f>
        <v>4.6502135996299598E-2</v>
      </c>
      <c r="G80" s="133">
        <f>LOOKUP($A80,'GDP data'!$A$2:$A$192,'GDP data'!U$2:U$192)</f>
        <v>6.30265210608425E-2</v>
      </c>
      <c r="H80" s="133">
        <f>LOOKUP($A80,'GDP data'!$A$2:$A$192,'GDP data'!V$2:V$192)</f>
        <v>6.8339692789355144E-2</v>
      </c>
      <c r="I80" s="133">
        <f>LOOKUP($A80,'GDP data'!$A$2:$A$192,'GDP data'!W$2:W$192)</f>
        <v>6.9394203031274415E-2</v>
      </c>
      <c r="J80" s="851"/>
      <c r="K80" s="156"/>
      <c r="L80" s="158">
        <f>LOOKUP($A80,'GDP data'!$A$2:$A$192,'GDP data'!D$2:D$192)</f>
        <v>32.956000000000003</v>
      </c>
      <c r="M80" s="158">
        <f>LOOKUP($A80,'GDP data'!$A$2:$A$192,'GDP data'!E$2:E$192)</f>
        <v>34.604999999999997</v>
      </c>
      <c r="N80" s="158">
        <f>LOOKUP($A80,'GDP data'!$A$2:$A$192,'GDP data'!F$2:F$192)</f>
        <v>35.777000000000001</v>
      </c>
      <c r="O80" s="158">
        <f>LOOKUP($A80,'GDP data'!$A$2:$A$192,'GDP data'!G$2:G$192)</f>
        <v>36.750999999999998</v>
      </c>
      <c r="P80" s="158">
        <f>LOOKUP($A80,'GDP data'!$A$2:$A$192,'GDP data'!H$2:H$192)</f>
        <v>38.46</v>
      </c>
      <c r="Q80" s="158">
        <f>LOOKUP($A80,'GDP data'!$A$2:$A$192,'GDP data'!I$2:I$192)</f>
        <v>40.884</v>
      </c>
      <c r="R80" s="158">
        <f>LOOKUP($A80,'GDP data'!$A$2:$A$192,'GDP data'!J$2:J$192)</f>
        <v>43.677999999999997</v>
      </c>
      <c r="S80" s="158">
        <f>LOOKUP($A80,'GDP data'!$A$2:$A$192,'GDP data'!K$2:K$192)</f>
        <v>46.709000000000003</v>
      </c>
      <c r="T80" s="156"/>
      <c r="U80" s="156"/>
      <c r="V80" s="133">
        <f t="shared" si="23"/>
        <v>7.4880277555986439E-4</v>
      </c>
      <c r="W80" s="133">
        <f t="shared" si="24"/>
        <v>7.4355091252422691E-4</v>
      </c>
      <c r="X80" s="133">
        <f t="shared" si="25"/>
        <v>7.2916290683869268E-4</v>
      </c>
      <c r="Y80" s="133">
        <f t="shared" si="26"/>
        <v>7.0595159589702456E-4</v>
      </c>
      <c r="Z80" s="133">
        <f t="shared" si="27"/>
        <v>6.9506736749794869E-4</v>
      </c>
      <c r="AA80" s="133">
        <f t="shared" si="28"/>
        <v>6.945572291101093E-4</v>
      </c>
      <c r="AB80" s="133">
        <f t="shared" si="29"/>
        <v>6.9753655315597221E-4</v>
      </c>
      <c r="AC80" s="133">
        <f t="shared" si="30"/>
        <v>7.0172945234034238E-4</v>
      </c>
      <c r="AD80" s="156"/>
      <c r="AE80" s="156"/>
      <c r="AF80" s="159">
        <f t="shared" ref="AF80:AF111" si="40">V80*B80</f>
        <v>4.7247039645003084E-5</v>
      </c>
      <c r="AG80" s="159">
        <f t="shared" ref="AG80:AG111" si="41">W80*C80</f>
        <v>3.7204619940297514E-5</v>
      </c>
      <c r="AH80" s="159">
        <f t="shared" ref="AH80:AH111" si="42">X80*D80</f>
        <v>2.4695244236814116E-5</v>
      </c>
      <c r="AI80" s="159">
        <f t="shared" ref="AI80:AI111" si="43">Y80*E80</f>
        <v>1.9218963423531811E-5</v>
      </c>
      <c r="AJ80" s="159">
        <f t="shared" ref="AJ80:AJ111" si="44">Z80*F80</f>
        <v>3.2322117249979562E-5</v>
      </c>
      <c r="AK80" s="159">
        <f t="shared" ref="AK80:AK111" si="45">AA80*G80</f>
        <v>4.3775525828468712E-5</v>
      </c>
      <c r="AL80" s="159">
        <f t="shared" ref="AL80:AL111" si="46">AB80*H80</f>
        <v>4.7669433752024838E-5</v>
      </c>
      <c r="AM80" s="159">
        <f t="shared" ref="AM80:AM111" si="47">AC80*I80</f>
        <v>4.8695956088730722E-5</v>
      </c>
    </row>
    <row r="81" spans="1:39" hidden="1" outlineLevel="2">
      <c r="A81" s="160" t="s">
        <v>276</v>
      </c>
      <c r="B81" s="133">
        <f>LOOKUP($A81,'GDP data'!$A$2:$A$192,'GDP data'!P$2:P$192)</f>
        <v>6.3096774193548422E-2</v>
      </c>
      <c r="C81" s="133">
        <f>LOOKUP($A81,'GDP data'!$A$2:$A$192,'GDP data'!Q$2:Q$192)</f>
        <v>5.0036412185944679E-2</v>
      </c>
      <c r="D81" s="133">
        <f>LOOKUP($A81,'GDP data'!$A$2:$A$192,'GDP data'!R$2:R$192)</f>
        <v>3.386793815922573E-2</v>
      </c>
      <c r="E81" s="133">
        <f>LOOKUP($A81,'GDP data'!$A$2:$A$192,'GDP data'!S$2:S$192)</f>
        <v>2.7224194314783068E-2</v>
      </c>
      <c r="F81" s="133">
        <f>LOOKUP($A81,'GDP data'!$A$2:$A$192,'GDP data'!T$2:T$192)</f>
        <v>4.6502135996299598E-2</v>
      </c>
      <c r="G81" s="133">
        <f>LOOKUP($A81,'GDP data'!$A$2:$A$192,'GDP data'!U$2:U$192)</f>
        <v>6.30265210608425E-2</v>
      </c>
      <c r="H81" s="133">
        <f>LOOKUP($A81,'GDP data'!$A$2:$A$192,'GDP data'!V$2:V$192)</f>
        <v>6.8339692789355144E-2</v>
      </c>
      <c r="I81" s="133">
        <f>LOOKUP($A81,'GDP data'!$A$2:$A$192,'GDP data'!W$2:W$192)</f>
        <v>6.9394203031274415E-2</v>
      </c>
      <c r="J81" s="851"/>
      <c r="K81" s="156"/>
      <c r="L81" s="158">
        <f>LOOKUP($A81,'GDP data'!$A$2:$A$192,'GDP data'!D$2:D$192)</f>
        <v>32.956000000000003</v>
      </c>
      <c r="M81" s="158">
        <f>LOOKUP($A81,'GDP data'!$A$2:$A$192,'GDP data'!E$2:E$192)</f>
        <v>34.604999999999997</v>
      </c>
      <c r="N81" s="158">
        <f>LOOKUP($A81,'GDP data'!$A$2:$A$192,'GDP data'!F$2:F$192)</f>
        <v>35.777000000000001</v>
      </c>
      <c r="O81" s="158">
        <f>LOOKUP($A81,'GDP data'!$A$2:$A$192,'GDP data'!G$2:G$192)</f>
        <v>36.750999999999998</v>
      </c>
      <c r="P81" s="158">
        <f>LOOKUP($A81,'GDP data'!$A$2:$A$192,'GDP data'!H$2:H$192)</f>
        <v>38.46</v>
      </c>
      <c r="Q81" s="158">
        <f>LOOKUP($A81,'GDP data'!$A$2:$A$192,'GDP data'!I$2:I$192)</f>
        <v>40.884</v>
      </c>
      <c r="R81" s="158">
        <f>LOOKUP($A81,'GDP data'!$A$2:$A$192,'GDP data'!J$2:J$192)</f>
        <v>43.677999999999997</v>
      </c>
      <c r="S81" s="158">
        <f>LOOKUP($A81,'GDP data'!$A$2:$A$192,'GDP data'!K$2:K$192)</f>
        <v>46.709000000000003</v>
      </c>
      <c r="T81" s="156"/>
      <c r="U81" s="156"/>
      <c r="V81" s="133">
        <f t="shared" si="23"/>
        <v>7.4880277555986439E-4</v>
      </c>
      <c r="W81" s="133">
        <f t="shared" si="24"/>
        <v>7.4355091252422691E-4</v>
      </c>
      <c r="X81" s="133">
        <f t="shared" si="25"/>
        <v>7.2916290683869268E-4</v>
      </c>
      <c r="Y81" s="133">
        <f t="shared" si="26"/>
        <v>7.0595159589702456E-4</v>
      </c>
      <c r="Z81" s="133">
        <f t="shared" si="27"/>
        <v>6.9506736749794869E-4</v>
      </c>
      <c r="AA81" s="133">
        <f t="shared" si="28"/>
        <v>6.945572291101093E-4</v>
      </c>
      <c r="AB81" s="133">
        <f t="shared" si="29"/>
        <v>6.9753655315597221E-4</v>
      </c>
      <c r="AC81" s="133">
        <f t="shared" si="30"/>
        <v>7.0172945234034238E-4</v>
      </c>
      <c r="AD81" s="156"/>
      <c r="AE81" s="156"/>
      <c r="AF81" s="159">
        <f t="shared" si="40"/>
        <v>4.7247039645003084E-5</v>
      </c>
      <c r="AG81" s="159">
        <f t="shared" si="41"/>
        <v>3.7204619940297514E-5</v>
      </c>
      <c r="AH81" s="159">
        <f t="shared" si="42"/>
        <v>2.4695244236814116E-5</v>
      </c>
      <c r="AI81" s="159">
        <f t="shared" si="43"/>
        <v>1.9218963423531811E-5</v>
      </c>
      <c r="AJ81" s="159">
        <f t="shared" si="44"/>
        <v>3.2322117249979562E-5</v>
      </c>
      <c r="AK81" s="159">
        <f t="shared" si="45"/>
        <v>4.3775525828468712E-5</v>
      </c>
      <c r="AL81" s="159">
        <f t="shared" si="46"/>
        <v>4.7669433752024838E-5</v>
      </c>
      <c r="AM81" s="159">
        <f t="shared" si="47"/>
        <v>4.8695956088730722E-5</v>
      </c>
    </row>
    <row r="82" spans="1:39" hidden="1" outlineLevel="2">
      <c r="A82" s="160" t="s">
        <v>281</v>
      </c>
      <c r="B82" s="133">
        <f>LOOKUP($A82,'GDP data'!$A$2:$A$192,'GDP data'!P$2:P$192)</f>
        <v>5.9143393916365694E-2</v>
      </c>
      <c r="C82" s="133">
        <f>LOOKUP($A82,'GDP data'!$A$2:$A$192,'GDP data'!Q$2:Q$192)</f>
        <v>4.266683673876126E-2</v>
      </c>
      <c r="D82" s="133">
        <f>LOOKUP($A82,'GDP data'!$A$2:$A$192,'GDP data'!R$2:R$192)</f>
        <v>3.2552431779431235E-2</v>
      </c>
      <c r="E82" s="133">
        <f>LOOKUP($A82,'GDP data'!$A$2:$A$192,'GDP data'!S$2:S$192)</f>
        <v>4.9979081279410975E-2</v>
      </c>
      <c r="F82" s="133">
        <f>LOOKUP($A82,'GDP data'!$A$2:$A$192,'GDP data'!T$2:T$192)</f>
        <v>5.4067110496770043E-2</v>
      </c>
      <c r="G82" s="133">
        <f>LOOKUP($A82,'GDP data'!$A$2:$A$192,'GDP data'!U$2:U$192)</f>
        <v>4.9938947896629671E-2</v>
      </c>
      <c r="H82" s="133">
        <f>LOOKUP($A82,'GDP data'!$A$2:$A$192,'GDP data'!V$2:V$192)</f>
        <v>4.7579599366582404E-2</v>
      </c>
      <c r="I82" s="133">
        <f>LOOKUP($A82,'GDP data'!$A$2:$A$192,'GDP data'!W$2:W$192)</f>
        <v>4.526652594696845E-2</v>
      </c>
      <c r="J82" s="851"/>
      <c r="K82" s="156"/>
      <c r="L82" s="158">
        <f>LOOKUP($A82,'GDP data'!$A$2:$A$192,'GDP data'!D$2:D$192)</f>
        <v>250.874</v>
      </c>
      <c r="M82" s="158">
        <f>LOOKUP($A82,'GDP data'!$A$2:$A$192,'GDP data'!E$2:E$192)</f>
        <v>261.57799999999997</v>
      </c>
      <c r="N82" s="158">
        <f>LOOKUP($A82,'GDP data'!$A$2:$A$192,'GDP data'!F$2:F$192)</f>
        <v>270.09300000000002</v>
      </c>
      <c r="O82" s="158">
        <f>LOOKUP($A82,'GDP data'!$A$2:$A$192,'GDP data'!G$2:G$192)</f>
        <v>283.59199999999998</v>
      </c>
      <c r="P82" s="158">
        <f>LOOKUP($A82,'GDP data'!$A$2:$A$192,'GDP data'!H$2:H$192)</f>
        <v>298.92500000000001</v>
      </c>
      <c r="Q82" s="158">
        <f>LOOKUP($A82,'GDP data'!$A$2:$A$192,'GDP data'!I$2:I$192)</f>
        <v>313.85300000000001</v>
      </c>
      <c r="R82" s="158">
        <f>LOOKUP($A82,'GDP data'!$A$2:$A$192,'GDP data'!J$2:J$192)</f>
        <v>328.786</v>
      </c>
      <c r="S82" s="158">
        <f>LOOKUP($A82,'GDP data'!$A$2:$A$192,'GDP data'!K$2:K$192)</f>
        <v>343.66899999999998</v>
      </c>
      <c r="T82" s="156"/>
      <c r="U82" s="156"/>
      <c r="V82" s="133">
        <f t="shared" si="23"/>
        <v>5.7001804683761807E-3</v>
      </c>
      <c r="W82" s="133">
        <f t="shared" si="24"/>
        <v>5.6204756710377755E-3</v>
      </c>
      <c r="X82" s="133">
        <f t="shared" si="25"/>
        <v>5.5047040555883118E-3</v>
      </c>
      <c r="Y82" s="133">
        <f t="shared" si="26"/>
        <v>5.4475313592454349E-3</v>
      </c>
      <c r="Z82" s="133">
        <f t="shared" si="27"/>
        <v>5.4023144261394779E-3</v>
      </c>
      <c r="AA82" s="133">
        <f t="shared" si="28"/>
        <v>5.3318870469595721E-3</v>
      </c>
      <c r="AB82" s="133">
        <f t="shared" si="29"/>
        <v>5.250704088235256E-3</v>
      </c>
      <c r="AC82" s="133">
        <f t="shared" si="30"/>
        <v>5.1630876095902951E-3</v>
      </c>
      <c r="AD82" s="156"/>
      <c r="AE82" s="156"/>
      <c r="AF82" s="159">
        <f t="shared" si="40"/>
        <v>3.3712801883554636E-4</v>
      </c>
      <c r="AG82" s="159">
        <f t="shared" si="41"/>
        <v>2.3980791785034841E-4</v>
      </c>
      <c r="AH82" s="159">
        <f t="shared" si="42"/>
        <v>1.7919150323549696E-4</v>
      </c>
      <c r="AI82" s="159">
        <f t="shared" si="43"/>
        <v>2.7226261257586775E-4</v>
      </c>
      <c r="AJ82" s="159">
        <f t="shared" si="44"/>
        <v>2.9208753101637802E-4</v>
      </c>
      <c r="AK82" s="159">
        <f t="shared" si="45"/>
        <v>2.6626882942882869E-4</v>
      </c>
      <c r="AL82" s="159">
        <f t="shared" si="46"/>
        <v>2.4982639691070984E-4</v>
      </c>
      <c r="AM82" s="159">
        <f t="shared" si="47"/>
        <v>2.3371503924599042E-4</v>
      </c>
    </row>
    <row r="83" spans="1:39" hidden="1" outlineLevel="2">
      <c r="A83" s="160" t="s">
        <v>282</v>
      </c>
      <c r="B83" s="133">
        <f>LOOKUP($A83,'GDP data'!$A$2:$A$192,'GDP data'!P$2:P$192)</f>
        <v>3.7608555228594076E-2</v>
      </c>
      <c r="C83" s="133">
        <f>LOOKUP($A83,'GDP data'!$A$2:$A$192,'GDP data'!Q$2:Q$192)</f>
        <v>5.2223836203914908E-2</v>
      </c>
      <c r="D83" s="133">
        <f>LOOKUP($A83,'GDP data'!$A$2:$A$192,'GDP data'!R$2:R$192)</f>
        <v>8.5656061004470319E-2</v>
      </c>
      <c r="E83" s="133">
        <f>LOOKUP($A83,'GDP data'!$A$2:$A$192,'GDP data'!S$2:S$192)</f>
        <v>7.3448380260369373E-2</v>
      </c>
      <c r="F83" s="133">
        <f>LOOKUP($A83,'GDP data'!$A$2:$A$192,'GDP data'!T$2:T$192)</f>
        <v>5.2741425992779645E-2</v>
      </c>
      <c r="G83" s="133">
        <f>LOOKUP($A83,'GDP data'!$A$2:$A$192,'GDP data'!U$2:U$192)</f>
        <v>5.2724642340459704E-2</v>
      </c>
      <c r="H83" s="133">
        <f>LOOKUP($A83,'GDP data'!$A$2:$A$192,'GDP data'!V$2:V$192)</f>
        <v>5.2119916526696342E-2</v>
      </c>
      <c r="I83" s="133">
        <f>LOOKUP($A83,'GDP data'!$A$2:$A$192,'GDP data'!W$2:W$192)</f>
        <v>4.8280199313047278E-2</v>
      </c>
      <c r="J83" s="851"/>
      <c r="K83" s="156"/>
      <c r="L83" s="158">
        <f>LOOKUP($A83,'GDP data'!$A$2:$A$192,'GDP data'!D$2:D$192)</f>
        <v>14.457000000000001</v>
      </c>
      <c r="M83" s="158">
        <f>LOOKUP($A83,'GDP data'!$A$2:$A$192,'GDP data'!E$2:E$192)</f>
        <v>15.212</v>
      </c>
      <c r="N83" s="158">
        <f>LOOKUP($A83,'GDP data'!$A$2:$A$192,'GDP data'!F$2:F$192)</f>
        <v>16.515000000000001</v>
      </c>
      <c r="O83" s="158">
        <f>LOOKUP($A83,'GDP data'!$A$2:$A$192,'GDP data'!G$2:G$192)</f>
        <v>17.728000000000002</v>
      </c>
      <c r="P83" s="158">
        <f>LOOKUP($A83,'GDP data'!$A$2:$A$192,'GDP data'!H$2:H$192)</f>
        <v>18.663</v>
      </c>
      <c r="Q83" s="158">
        <f>LOOKUP($A83,'GDP data'!$A$2:$A$192,'GDP data'!I$2:I$192)</f>
        <v>19.646999999999998</v>
      </c>
      <c r="R83" s="158">
        <f>LOOKUP($A83,'GDP data'!$A$2:$A$192,'GDP data'!J$2:J$192)</f>
        <v>20.670999999999999</v>
      </c>
      <c r="S83" s="158">
        <f>LOOKUP($A83,'GDP data'!$A$2:$A$192,'GDP data'!K$2:K$192)</f>
        <v>21.669</v>
      </c>
      <c r="T83" s="156"/>
      <c r="U83" s="156"/>
      <c r="V83" s="133">
        <f t="shared" si="23"/>
        <v>3.284816642271198E-4</v>
      </c>
      <c r="W83" s="133">
        <f t="shared" si="24"/>
        <v>3.2685728886919636E-4</v>
      </c>
      <c r="X83" s="133">
        <f t="shared" si="25"/>
        <v>3.3658846204100428E-4</v>
      </c>
      <c r="Y83" s="133">
        <f t="shared" si="26"/>
        <v>3.4053794160873046E-4</v>
      </c>
      <c r="Z83" s="133">
        <f t="shared" si="27"/>
        <v>3.3728659073359893E-4</v>
      </c>
      <c r="AA83" s="133">
        <f t="shared" si="28"/>
        <v>3.3377276881729566E-4</v>
      </c>
      <c r="AB83" s="133">
        <f t="shared" si="29"/>
        <v>3.3011534617626958E-4</v>
      </c>
      <c r="AC83" s="133">
        <f t="shared" si="30"/>
        <v>3.2554273272309141E-4</v>
      </c>
      <c r="AD83" s="156"/>
      <c r="AE83" s="156"/>
      <c r="AF83" s="159">
        <f t="shared" si="40"/>
        <v>1.2353720810666129E-5</v>
      </c>
      <c r="AG83" s="159">
        <f t="shared" si="41"/>
        <v>1.7069741515960612E-5</v>
      </c>
      <c r="AH83" s="159">
        <f t="shared" si="42"/>
        <v>2.8830841837985105E-5</v>
      </c>
      <c r="AI83" s="159">
        <f t="shared" si="43"/>
        <v>2.5011960228361496E-5</v>
      </c>
      <c r="AJ83" s="159">
        <f t="shared" si="44"/>
        <v>1.7788975763533063E-5</v>
      </c>
      <c r="AK83" s="159">
        <f t="shared" si="45"/>
        <v>1.7598049858876854E-5</v>
      </c>
      <c r="AL83" s="159">
        <f t="shared" si="46"/>
        <v>1.7205584286888636E-5</v>
      </c>
      <c r="AM83" s="159">
        <f t="shared" si="47"/>
        <v>1.571726802078493E-5</v>
      </c>
    </row>
    <row r="84" spans="1:39" hidden="1" outlineLevel="2">
      <c r="A84" s="160" t="s">
        <v>285</v>
      </c>
      <c r="B84" s="133">
        <f>LOOKUP($A84,'GDP data'!$A$2:$A$192,'GDP data'!P$2:P$192)</f>
        <v>0.10248985622601281</v>
      </c>
      <c r="C84" s="133">
        <f>LOOKUP($A84,'GDP data'!$A$2:$A$192,'GDP data'!Q$2:Q$192)</f>
        <v>0.26867126948035769</v>
      </c>
      <c r="D84" s="133">
        <f>LOOKUP($A84,'GDP data'!$A$2:$A$192,'GDP data'!R$2:R$192)</f>
        <v>6.4693473746177732E-2</v>
      </c>
      <c r="E84" s="133">
        <f>LOOKUP($A84,'GDP data'!$A$2:$A$192,'GDP data'!S$2:S$192)</f>
        <v>5.9051562605591856E-2</v>
      </c>
      <c r="F84" s="133">
        <f>LOOKUP($A84,'GDP data'!$A$2:$A$192,'GDP data'!T$2:T$192)</f>
        <v>5.4027322562868019E-2</v>
      </c>
      <c r="G84" s="133">
        <f>LOOKUP($A84,'GDP data'!$A$2:$A$192,'GDP data'!U$2:U$192)</f>
        <v>5.2196358252819985E-2</v>
      </c>
      <c r="H84" s="133">
        <f>LOOKUP($A84,'GDP data'!$A$2:$A$192,'GDP data'!V$2:V$192)</f>
        <v>5.0778706210034885E-2</v>
      </c>
      <c r="I84" s="133">
        <f>LOOKUP($A84,'GDP data'!$A$2:$A$192,'GDP data'!W$2:W$192)</f>
        <v>4.9631515676450633E-2</v>
      </c>
      <c r="J84" s="851"/>
      <c r="K84" s="156"/>
      <c r="L84" s="158">
        <f>LOOKUP($A84,'GDP data'!$A$2:$A$192,'GDP data'!D$2:D$192)</f>
        <v>241.012</v>
      </c>
      <c r="M84" s="158">
        <f>LOOKUP($A84,'GDP data'!$A$2:$A$192,'GDP data'!E$2:E$192)</f>
        <v>305.76499999999999</v>
      </c>
      <c r="N84" s="158">
        <f>LOOKUP($A84,'GDP data'!$A$2:$A$192,'GDP data'!F$2:F$192)</f>
        <v>325.54599999999999</v>
      </c>
      <c r="O84" s="158">
        <f>LOOKUP($A84,'GDP data'!$A$2:$A$192,'GDP data'!G$2:G$192)</f>
        <v>344.77</v>
      </c>
      <c r="P84" s="158">
        <f>LOOKUP($A84,'GDP data'!$A$2:$A$192,'GDP data'!H$2:H$192)</f>
        <v>363.39699999999999</v>
      </c>
      <c r="Q84" s="158">
        <f>LOOKUP($A84,'GDP data'!$A$2:$A$192,'GDP data'!I$2:I$192)</f>
        <v>382.36500000000001</v>
      </c>
      <c r="R84" s="158">
        <f>LOOKUP($A84,'GDP data'!$A$2:$A$192,'GDP data'!J$2:J$192)</f>
        <v>401.78100000000001</v>
      </c>
      <c r="S84" s="158">
        <f>LOOKUP($A84,'GDP data'!$A$2:$A$192,'GDP data'!K$2:K$192)</f>
        <v>421.72199999999998</v>
      </c>
      <c r="T84" s="156"/>
      <c r="U84" s="156"/>
      <c r="V84" s="133">
        <f t="shared" si="23"/>
        <v>5.4761031236568161E-3</v>
      </c>
      <c r="W84" s="133">
        <f t="shared" si="24"/>
        <v>6.5699131561326469E-3</v>
      </c>
      <c r="X84" s="133">
        <f t="shared" si="25"/>
        <v>6.6348790471450663E-3</v>
      </c>
      <c r="Y84" s="133">
        <f t="shared" si="26"/>
        <v>6.6227022861260138E-3</v>
      </c>
      <c r="Z84" s="133">
        <f t="shared" si="27"/>
        <v>6.5674829991329182E-3</v>
      </c>
      <c r="AA84" s="133">
        <f t="shared" si="28"/>
        <v>6.4958021453059133E-3</v>
      </c>
      <c r="AB84" s="133">
        <f t="shared" si="29"/>
        <v>6.4164323884692452E-3</v>
      </c>
      <c r="AC84" s="133">
        <f t="shared" si="30"/>
        <v>6.3357114924291642E-3</v>
      </c>
      <c r="AD84" s="156"/>
      <c r="AE84" s="156"/>
      <c r="AF84" s="159">
        <f t="shared" si="40"/>
        <v>5.6124502182240677E-4</v>
      </c>
      <c r="AG84" s="159">
        <f t="shared" si="41"/>
        <v>1.7651469080338616E-3</v>
      </c>
      <c r="AH84" s="159">
        <f t="shared" si="42"/>
        <v>4.2923337344554408E-4</v>
      </c>
      <c r="AI84" s="159">
        <f t="shared" si="43"/>
        <v>3.910809186673666E-4</v>
      </c>
      <c r="AJ84" s="159">
        <f t="shared" si="44"/>
        <v>3.5482352242030606E-4</v>
      </c>
      <c r="AK84" s="159">
        <f t="shared" si="45"/>
        <v>3.390572159158241E-4</v>
      </c>
      <c r="AL84" s="159">
        <f t="shared" si="46"/>
        <v>3.2581813517063225E-4</v>
      </c>
      <c r="AM84" s="159">
        <f t="shared" si="47"/>
        <v>3.1445096425796652E-4</v>
      </c>
    </row>
    <row r="85" spans="1:39" hidden="1" outlineLevel="2">
      <c r="A85" s="160" t="s">
        <v>286</v>
      </c>
      <c r="B85" s="133">
        <f>LOOKUP($A85,'GDP data'!$A$2:$A$192,'GDP data'!P$2:P$192)</f>
        <v>2.5464978865022969E-2</v>
      </c>
      <c r="C85" s="133">
        <f>LOOKUP($A85,'GDP data'!$A$2:$A$192,'GDP data'!Q$2:Q$192)</f>
        <v>5.9845200220620676E-2</v>
      </c>
      <c r="D85" s="133">
        <f>LOOKUP($A85,'GDP data'!$A$2:$A$192,'GDP data'!R$2:R$192)</f>
        <v>0.12410350258653069</v>
      </c>
      <c r="E85" s="133">
        <f>LOOKUP($A85,'GDP data'!$A$2:$A$192,'GDP data'!S$2:S$192)</f>
        <v>1.2861529310949971E-2</v>
      </c>
      <c r="F85" s="133">
        <f>LOOKUP($A85,'GDP data'!$A$2:$A$192,'GDP data'!T$2:T$192)</f>
        <v>4.927026908401877E-2</v>
      </c>
      <c r="G85" s="133">
        <f>LOOKUP($A85,'GDP data'!$A$2:$A$192,'GDP data'!U$2:U$192)</f>
        <v>3.8505532420662902E-2</v>
      </c>
      <c r="H85" s="133">
        <f>LOOKUP($A85,'GDP data'!$A$2:$A$192,'GDP data'!V$2:V$192)</f>
        <v>4.1494669237136961E-2</v>
      </c>
      <c r="I85" s="133">
        <f>LOOKUP($A85,'GDP data'!$A$2:$A$192,'GDP data'!W$2:W$192)</f>
        <v>4.1985898456618598E-2</v>
      </c>
      <c r="J85" s="851"/>
      <c r="K85" s="156"/>
      <c r="L85" s="158">
        <f>LOOKUP($A85,'GDP data'!$A$2:$A$192,'GDP data'!D$2:D$192)</f>
        <v>547.54600000000005</v>
      </c>
      <c r="M85" s="158">
        <f>LOOKUP($A85,'GDP data'!$A$2:$A$192,'GDP data'!E$2:E$192)</f>
        <v>580.31399999999996</v>
      </c>
      <c r="N85" s="158">
        <f>LOOKUP($A85,'GDP data'!$A$2:$A$192,'GDP data'!F$2:F$192)</f>
        <v>652.33299999999997</v>
      </c>
      <c r="O85" s="158">
        <f>LOOKUP($A85,'GDP data'!$A$2:$A$192,'GDP data'!G$2:G$192)</f>
        <v>660.72299999999996</v>
      </c>
      <c r="P85" s="158">
        <f>LOOKUP($A85,'GDP data'!$A$2:$A$192,'GDP data'!H$2:H$192)</f>
        <v>693.27700000000004</v>
      </c>
      <c r="Q85" s="158">
        <f>LOOKUP($A85,'GDP data'!$A$2:$A$192,'GDP data'!I$2:I$192)</f>
        <v>719.97199999999998</v>
      </c>
      <c r="R85" s="158">
        <f>LOOKUP($A85,'GDP data'!$A$2:$A$192,'GDP data'!J$2:J$192)</f>
        <v>749.84699999999998</v>
      </c>
      <c r="S85" s="158">
        <f>LOOKUP($A85,'GDP data'!$A$2:$A$192,'GDP data'!K$2:K$192)</f>
        <v>781.33</v>
      </c>
      <c r="T85" s="156"/>
      <c r="U85" s="156"/>
      <c r="V85" s="133">
        <f t="shared" si="23"/>
        <v>1.2440950496015946E-2</v>
      </c>
      <c r="W85" s="133">
        <f t="shared" si="24"/>
        <v>1.2469094184383304E-2</v>
      </c>
      <c r="X85" s="133">
        <f t="shared" si="25"/>
        <v>1.3295050633278498E-2</v>
      </c>
      <c r="Y85" s="133">
        <f t="shared" si="26"/>
        <v>1.269185753573698E-2</v>
      </c>
      <c r="Z85" s="133">
        <f t="shared" si="27"/>
        <v>1.2529230871993639E-2</v>
      </c>
      <c r="AA85" s="133">
        <f t="shared" si="28"/>
        <v>1.2231233669818599E-2</v>
      </c>
      <c r="AB85" s="133">
        <f t="shared" si="29"/>
        <v>1.1975037588130096E-2</v>
      </c>
      <c r="AC85" s="133">
        <f t="shared" si="30"/>
        <v>1.1738257573424386E-2</v>
      </c>
      <c r="AD85" s="156"/>
      <c r="AE85" s="156"/>
      <c r="AF85" s="159">
        <f t="shared" si="40"/>
        <v>3.168085414418431E-4</v>
      </c>
      <c r="AG85" s="159">
        <f t="shared" si="41"/>
        <v>7.4621543803419566E-4</v>
      </c>
      <c r="AH85" s="159">
        <f t="shared" si="42"/>
        <v>1.6499623506551345E-3</v>
      </c>
      <c r="AI85" s="159">
        <f t="shared" si="43"/>
        <v>1.6323669770628243E-4</v>
      </c>
      <c r="AJ85" s="159">
        <f t="shared" si="44"/>
        <v>6.1731857647892173E-4</v>
      </c>
      <c r="AK85" s="159">
        <f t="shared" si="45"/>
        <v>4.7097016461790375E-4</v>
      </c>
      <c r="AL85" s="159">
        <f t="shared" si="46"/>
        <v>4.9690022382174064E-4</v>
      </c>
      <c r="AM85" s="159">
        <f t="shared" si="47"/>
        <v>4.9284129053543051E-4</v>
      </c>
    </row>
    <row r="86" spans="1:39" hidden="1" outlineLevel="2">
      <c r="A86" s="160" t="s">
        <v>287</v>
      </c>
      <c r="B86" s="133">
        <f>LOOKUP($A86,'GDP data'!$A$2:$A$192,'GDP data'!P$2:P$192)</f>
        <v>0.10248985622601281</v>
      </c>
      <c r="C86" s="133">
        <f>LOOKUP($A86,'GDP data'!$A$2:$A$192,'GDP data'!Q$2:Q$192)</f>
        <v>0.26867126948035769</v>
      </c>
      <c r="D86" s="133">
        <f>LOOKUP($A86,'GDP data'!$A$2:$A$192,'GDP data'!R$2:R$192)</f>
        <v>6.4693473746177732E-2</v>
      </c>
      <c r="E86" s="133">
        <f>LOOKUP($A86,'GDP data'!$A$2:$A$192,'GDP data'!S$2:S$192)</f>
        <v>5.9051562605591856E-2</v>
      </c>
      <c r="F86" s="133">
        <f>LOOKUP($A86,'GDP data'!$A$2:$A$192,'GDP data'!T$2:T$192)</f>
        <v>5.4027322562868019E-2</v>
      </c>
      <c r="G86" s="133">
        <f>LOOKUP($A86,'GDP data'!$A$2:$A$192,'GDP data'!U$2:U$192)</f>
        <v>5.2196358252819985E-2</v>
      </c>
      <c r="H86" s="133">
        <f>LOOKUP($A86,'GDP data'!$A$2:$A$192,'GDP data'!V$2:V$192)</f>
        <v>5.0778706210034885E-2</v>
      </c>
      <c r="I86" s="133">
        <f>LOOKUP($A86,'GDP data'!$A$2:$A$192,'GDP data'!W$2:W$192)</f>
        <v>4.9631515676450633E-2</v>
      </c>
      <c r="J86" s="851"/>
      <c r="K86" s="156"/>
      <c r="L86" s="158">
        <f>LOOKUP($A86,'GDP data'!$A$2:$A$192,'GDP data'!D$2:D$192)</f>
        <v>241.012</v>
      </c>
      <c r="M86" s="158">
        <f>LOOKUP($A86,'GDP data'!$A$2:$A$192,'GDP data'!E$2:E$192)</f>
        <v>305.76499999999999</v>
      </c>
      <c r="N86" s="158">
        <f>LOOKUP($A86,'GDP data'!$A$2:$A$192,'GDP data'!F$2:F$192)</f>
        <v>325.54599999999999</v>
      </c>
      <c r="O86" s="158">
        <f>LOOKUP($A86,'GDP data'!$A$2:$A$192,'GDP data'!G$2:G$192)</f>
        <v>344.77</v>
      </c>
      <c r="P86" s="158">
        <f>LOOKUP($A86,'GDP data'!$A$2:$A$192,'GDP data'!H$2:H$192)</f>
        <v>363.39699999999999</v>
      </c>
      <c r="Q86" s="158">
        <f>LOOKUP($A86,'GDP data'!$A$2:$A$192,'GDP data'!I$2:I$192)</f>
        <v>382.36500000000001</v>
      </c>
      <c r="R86" s="158">
        <f>LOOKUP($A86,'GDP data'!$A$2:$A$192,'GDP data'!J$2:J$192)</f>
        <v>401.78100000000001</v>
      </c>
      <c r="S86" s="158">
        <f>LOOKUP($A86,'GDP data'!$A$2:$A$192,'GDP data'!K$2:K$192)</f>
        <v>421.72199999999998</v>
      </c>
      <c r="T86" s="156"/>
      <c r="U86" s="156"/>
      <c r="V86" s="133">
        <f t="shared" si="23"/>
        <v>5.4761031236568161E-3</v>
      </c>
      <c r="W86" s="133">
        <f t="shared" si="24"/>
        <v>6.5699131561326469E-3</v>
      </c>
      <c r="X86" s="133">
        <f t="shared" si="25"/>
        <v>6.6348790471450663E-3</v>
      </c>
      <c r="Y86" s="133">
        <f t="shared" si="26"/>
        <v>6.6227022861260138E-3</v>
      </c>
      <c r="Z86" s="133">
        <f t="shared" si="27"/>
        <v>6.5674829991329182E-3</v>
      </c>
      <c r="AA86" s="133">
        <f t="shared" si="28"/>
        <v>6.4958021453059133E-3</v>
      </c>
      <c r="AB86" s="133">
        <f t="shared" si="29"/>
        <v>6.4164323884692452E-3</v>
      </c>
      <c r="AC86" s="133">
        <f t="shared" si="30"/>
        <v>6.3357114924291642E-3</v>
      </c>
      <c r="AD86" s="156"/>
      <c r="AE86" s="156"/>
      <c r="AF86" s="159">
        <f t="shared" si="40"/>
        <v>5.6124502182240677E-4</v>
      </c>
      <c r="AG86" s="159">
        <f t="shared" si="41"/>
        <v>1.7651469080338616E-3</v>
      </c>
      <c r="AH86" s="159">
        <f t="shared" si="42"/>
        <v>4.2923337344554408E-4</v>
      </c>
      <c r="AI86" s="159">
        <f t="shared" si="43"/>
        <v>3.910809186673666E-4</v>
      </c>
      <c r="AJ86" s="159">
        <f t="shared" si="44"/>
        <v>3.5482352242030606E-4</v>
      </c>
      <c r="AK86" s="159">
        <f t="shared" si="45"/>
        <v>3.390572159158241E-4</v>
      </c>
      <c r="AL86" s="159">
        <f t="shared" si="46"/>
        <v>3.2581813517063225E-4</v>
      </c>
      <c r="AM86" s="159">
        <f t="shared" si="47"/>
        <v>3.1445096425796652E-4</v>
      </c>
    </row>
    <row r="87" spans="1:39" hidden="1" outlineLevel="2">
      <c r="A87" s="160" t="s">
        <v>288</v>
      </c>
      <c r="B87" s="133">
        <f>LOOKUP($A87,'GDP data'!$A$2:$A$192,'GDP data'!P$2:P$192)</f>
        <v>5.3351635956242038E-2</v>
      </c>
      <c r="C87" s="133">
        <f>LOOKUP($A87,'GDP data'!$A$2:$A$192,'GDP data'!Q$2:Q$192)</f>
        <v>3.7407162718435139E-2</v>
      </c>
      <c r="D87" s="133">
        <f>LOOKUP($A87,'GDP data'!$A$2:$A$192,'GDP data'!R$2:R$192)</f>
        <v>5.2878542410956575E-2</v>
      </c>
      <c r="E87" s="133">
        <f>LOOKUP($A87,'GDP data'!$A$2:$A$192,'GDP data'!S$2:S$192)</f>
        <v>4.8797104676320036E-2</v>
      </c>
      <c r="F87" s="133">
        <f>LOOKUP($A87,'GDP data'!$A$2:$A$192,'GDP data'!T$2:T$192)</f>
        <v>5.3738806395801975E-2</v>
      </c>
      <c r="G87" s="133">
        <f>LOOKUP($A87,'GDP data'!$A$2:$A$192,'GDP data'!U$2:U$192)</f>
        <v>5.2399553739238103E-2</v>
      </c>
      <c r="H87" s="133">
        <f>LOOKUP($A87,'GDP data'!$A$2:$A$192,'GDP data'!V$2:V$192)</f>
        <v>5.1827891852351371E-2</v>
      </c>
      <c r="I87" s="133">
        <f>LOOKUP($A87,'GDP data'!$A$2:$A$192,'GDP data'!W$2:W$192)</f>
        <v>5.1602264577402135E-2</v>
      </c>
      <c r="J87" s="851"/>
      <c r="K87" s="156"/>
      <c r="L87" s="158">
        <f>LOOKUP($A87,'GDP data'!$A$2:$A$192,'GDP data'!D$2:D$192)</f>
        <v>275.48200000000003</v>
      </c>
      <c r="M87" s="158">
        <f>LOOKUP($A87,'GDP data'!$A$2:$A$192,'GDP data'!E$2:E$192)</f>
        <v>285.78699999999998</v>
      </c>
      <c r="N87" s="158">
        <f>LOOKUP($A87,'GDP data'!$A$2:$A$192,'GDP data'!F$2:F$192)</f>
        <v>300.899</v>
      </c>
      <c r="O87" s="158">
        <f>LOOKUP($A87,'GDP data'!$A$2:$A$192,'GDP data'!G$2:G$192)</f>
        <v>315.58199999999999</v>
      </c>
      <c r="P87" s="158">
        <f>LOOKUP($A87,'GDP data'!$A$2:$A$192,'GDP data'!H$2:H$192)</f>
        <v>332.541</v>
      </c>
      <c r="Q87" s="158">
        <f>LOOKUP($A87,'GDP data'!$A$2:$A$192,'GDP data'!I$2:I$192)</f>
        <v>349.96600000000001</v>
      </c>
      <c r="R87" s="158">
        <f>LOOKUP($A87,'GDP data'!$A$2:$A$192,'GDP data'!J$2:J$192)</f>
        <v>368.10399999999998</v>
      </c>
      <c r="S87" s="158">
        <f>LOOKUP($A87,'GDP data'!$A$2:$A$192,'GDP data'!K$2:K$192)</f>
        <v>387.09899999999999</v>
      </c>
      <c r="T87" s="156"/>
      <c r="U87" s="156"/>
      <c r="V87" s="133">
        <f t="shared" si="23"/>
        <v>6.2593059296268535E-3</v>
      </c>
      <c r="W87" s="133">
        <f t="shared" si="24"/>
        <v>6.1406497511215501E-3</v>
      </c>
      <c r="X87" s="133">
        <f t="shared" si="25"/>
        <v>6.1325541410642533E-3</v>
      </c>
      <c r="Y87" s="133">
        <f t="shared" si="26"/>
        <v>6.0620286940865501E-3</v>
      </c>
      <c r="Z87" s="133">
        <f t="shared" si="27"/>
        <v>6.0098387273826142E-3</v>
      </c>
      <c r="AA87" s="133">
        <f t="shared" si="28"/>
        <v>5.9453922131579226E-3</v>
      </c>
      <c r="AB87" s="133">
        <f t="shared" si="29"/>
        <v>5.878611551877971E-3</v>
      </c>
      <c r="AC87" s="133">
        <f t="shared" si="30"/>
        <v>5.815555230715583E-3</v>
      </c>
      <c r="AD87" s="156"/>
      <c r="AE87" s="156"/>
      <c r="AF87" s="159">
        <f t="shared" si="40"/>
        <v>3.3394421129619904E-4</v>
      </c>
      <c r="AG87" s="159">
        <f t="shared" si="41"/>
        <v>2.2970428443712206E-4</v>
      </c>
      <c r="AH87" s="159">
        <f t="shared" si="42"/>
        <v>3.2428052423575347E-4</v>
      </c>
      <c r="AI87" s="159">
        <f t="shared" si="43"/>
        <v>2.9580944873619703E-4</v>
      </c>
      <c r="AJ87" s="159">
        <f t="shared" si="44"/>
        <v>3.229615598408072E-4</v>
      </c>
      <c r="AK87" s="159">
        <f t="shared" si="45"/>
        <v>3.1153589877421634E-4</v>
      </c>
      <c r="AL87" s="159">
        <f t="shared" si="46"/>
        <v>3.0467604375271492E-4</v>
      </c>
      <c r="AM87" s="159">
        <f t="shared" si="47"/>
        <v>3.000958196798804E-4</v>
      </c>
    </row>
    <row r="88" spans="1:39" hidden="1" outlineLevel="2">
      <c r="A88" s="160" t="s">
        <v>289</v>
      </c>
      <c r="B88" s="133">
        <f>LOOKUP($A88,'GDP data'!$A$2:$A$192,'GDP data'!P$2:P$192)</f>
        <v>1.9107040260585073E-2</v>
      </c>
      <c r="C88" s="133">
        <f>LOOKUP($A88,'GDP data'!$A$2:$A$192,'GDP data'!Q$2:Q$192)</f>
        <v>1.8758124560283695E-2</v>
      </c>
      <c r="D88" s="133">
        <f>LOOKUP($A88,'GDP data'!$A$2:$A$192,'GDP data'!R$2:R$192)</f>
        <v>2.1669037241656808E-2</v>
      </c>
      <c r="E88" s="133">
        <f>LOOKUP($A88,'GDP data'!$A$2:$A$192,'GDP data'!S$2:S$192)</f>
        <v>3.2749752675801824E-2</v>
      </c>
      <c r="F88" s="133">
        <f>LOOKUP($A88,'GDP data'!$A$2:$A$192,'GDP data'!T$2:T$192)</f>
        <v>3.0874659199764176E-2</v>
      </c>
      <c r="G88" s="133">
        <f>LOOKUP($A88,'GDP data'!$A$2:$A$192,'GDP data'!U$2:U$192)</f>
        <v>3.0534415338687282E-2</v>
      </c>
      <c r="H88" s="133">
        <f>LOOKUP($A88,'GDP data'!$A$2:$A$192,'GDP data'!V$2:V$192)</f>
        <v>3.1241329786365846E-2</v>
      </c>
      <c r="I88" s="133">
        <f>LOOKUP($A88,'GDP data'!$A$2:$A$192,'GDP data'!W$2:W$192)</f>
        <v>3.0366094425695156E-2</v>
      </c>
      <c r="J88" s="851"/>
      <c r="K88" s="156"/>
      <c r="L88" s="158">
        <f>LOOKUP($A88,'GDP data'!$A$2:$A$192,'GDP data'!D$2:D$192)</f>
        <v>2146.27</v>
      </c>
      <c r="M88" s="158">
        <f>LOOKUP($A88,'GDP data'!$A$2:$A$192,'GDP data'!E$2:E$192)</f>
        <v>2186.5300000000002</v>
      </c>
      <c r="N88" s="158">
        <f>LOOKUP($A88,'GDP data'!$A$2:$A$192,'GDP data'!F$2:F$192)</f>
        <v>2233.91</v>
      </c>
      <c r="O88" s="158">
        <f>LOOKUP($A88,'GDP data'!$A$2:$A$192,'GDP data'!G$2:G$192)</f>
        <v>2307.0700000000002</v>
      </c>
      <c r="P88" s="158">
        <f>LOOKUP($A88,'GDP data'!$A$2:$A$192,'GDP data'!H$2:H$192)</f>
        <v>2378.3000000000002</v>
      </c>
      <c r="Q88" s="158">
        <f>LOOKUP($A88,'GDP data'!$A$2:$A$192,'GDP data'!I$2:I$192)</f>
        <v>2450.92</v>
      </c>
      <c r="R88" s="158">
        <f>LOOKUP($A88,'GDP data'!$A$2:$A$192,'GDP data'!J$2:J$192)</f>
        <v>2527.4899999999998</v>
      </c>
      <c r="S88" s="158">
        <f>LOOKUP($A88,'GDP data'!$A$2:$A$192,'GDP data'!K$2:K$192)</f>
        <v>2604.2399999999998</v>
      </c>
      <c r="T88" s="156"/>
      <c r="U88" s="156"/>
      <c r="V88" s="133">
        <f t="shared" si="23"/>
        <v>4.8766019331862788E-2</v>
      </c>
      <c r="W88" s="133">
        <f t="shared" si="24"/>
        <v>4.6981545347828294E-2</v>
      </c>
      <c r="X88" s="133">
        <f t="shared" si="25"/>
        <v>4.5528812064064166E-2</v>
      </c>
      <c r="Y88" s="133">
        <f t="shared" si="26"/>
        <v>4.4316610387367651E-2</v>
      </c>
      <c r="Z88" s="133">
        <f t="shared" si="27"/>
        <v>4.2981765993769405E-2</v>
      </c>
      <c r="AA88" s="133">
        <f t="shared" si="28"/>
        <v>4.1637418157972533E-2</v>
      </c>
      <c r="AB88" s="133">
        <f t="shared" si="29"/>
        <v>4.0363951250885759E-2</v>
      </c>
      <c r="AC88" s="133">
        <f t="shared" si="30"/>
        <v>3.9124620714697654E-2</v>
      </c>
      <c r="AD88" s="156"/>
      <c r="AE88" s="156"/>
      <c r="AF88" s="159">
        <f t="shared" si="40"/>
        <v>9.3177429472237228E-4</v>
      </c>
      <c r="AG88" s="159">
        <f t="shared" si="41"/>
        <v>8.8128567966918008E-4</v>
      </c>
      <c r="AH88" s="159">
        <f t="shared" si="42"/>
        <v>9.8656552418460025E-4</v>
      </c>
      <c r="AI88" s="159">
        <f t="shared" si="43"/>
        <v>1.4513580296161607E-3</v>
      </c>
      <c r="AJ88" s="159">
        <f t="shared" si="44"/>
        <v>1.3270473768616435E-3</v>
      </c>
      <c r="AK88" s="159">
        <f t="shared" si="45"/>
        <v>1.271374219666133E-3</v>
      </c>
      <c r="AL88" s="159">
        <f t="shared" si="46"/>
        <v>1.2610235125097161E-3</v>
      </c>
      <c r="AM88" s="159">
        <f t="shared" si="47"/>
        <v>1.1880619269920177E-3</v>
      </c>
    </row>
    <row r="89" spans="1:39" hidden="1" outlineLevel="2">
      <c r="A89" s="160" t="s">
        <v>292</v>
      </c>
      <c r="B89" s="133">
        <f>LOOKUP($A89,'GDP data'!$A$2:$A$192,'GDP data'!P$2:P$192)</f>
        <v>4.9460278320632822E-2</v>
      </c>
      <c r="C89" s="133">
        <f>LOOKUP($A89,'GDP data'!$A$2:$A$192,'GDP data'!Q$2:Q$192)</f>
        <v>3.4931387007273829E-2</v>
      </c>
      <c r="D89" s="133">
        <f>LOOKUP($A89,'GDP data'!$A$2:$A$192,'GDP data'!R$2:R$192)</f>
        <v>3.3148570807520983E-2</v>
      </c>
      <c r="E89" s="133">
        <f>LOOKUP($A89,'GDP data'!$A$2:$A$192,'GDP data'!S$2:S$192)</f>
        <v>4.081632653061229E-2</v>
      </c>
      <c r="F89" s="133">
        <f>LOOKUP($A89,'GDP data'!$A$2:$A$192,'GDP data'!T$2:T$192)</f>
        <v>4.4898142533072782E-2</v>
      </c>
      <c r="G89" s="133">
        <f>LOOKUP($A89,'GDP data'!$A$2:$A$192,'GDP data'!U$2:U$192)</f>
        <v>4.8912342547611898E-2</v>
      </c>
      <c r="H89" s="133">
        <f>LOOKUP($A89,'GDP data'!$A$2:$A$192,'GDP data'!V$2:V$192)</f>
        <v>5.0648086479840204E-2</v>
      </c>
      <c r="I89" s="133">
        <f>LOOKUP($A89,'GDP data'!$A$2:$A$192,'GDP data'!W$2:W$192)</f>
        <v>5.1385827693148034E-2</v>
      </c>
      <c r="J89" s="851"/>
      <c r="K89" s="156"/>
      <c r="L89" s="158">
        <f>LOOKUP($A89,'GDP data'!$A$2:$A$192,'GDP data'!D$2:D$192)</f>
        <v>80.013999999999996</v>
      </c>
      <c r="M89" s="158">
        <f>LOOKUP($A89,'GDP data'!$A$2:$A$192,'GDP data'!E$2:E$192)</f>
        <v>82.808999999999997</v>
      </c>
      <c r="N89" s="158">
        <f>LOOKUP($A89,'GDP data'!$A$2:$A$192,'GDP data'!F$2:F$192)</f>
        <v>85.554000000000002</v>
      </c>
      <c r="O89" s="158">
        <f>LOOKUP($A89,'GDP data'!$A$2:$A$192,'GDP data'!G$2:G$192)</f>
        <v>89.046000000000006</v>
      </c>
      <c r="P89" s="158">
        <f>LOOKUP($A89,'GDP data'!$A$2:$A$192,'GDP data'!H$2:H$192)</f>
        <v>93.043999999999997</v>
      </c>
      <c r="Q89" s="158">
        <f>LOOKUP($A89,'GDP data'!$A$2:$A$192,'GDP data'!I$2:I$192)</f>
        <v>97.594999999999999</v>
      </c>
      <c r="R89" s="158">
        <f>LOOKUP($A89,'GDP data'!$A$2:$A$192,'GDP data'!J$2:J$192)</f>
        <v>102.538</v>
      </c>
      <c r="S89" s="158">
        <f>LOOKUP($A89,'GDP data'!$A$2:$A$192,'GDP data'!K$2:K$192)</f>
        <v>107.807</v>
      </c>
      <c r="T89" s="156"/>
      <c r="U89" s="156"/>
      <c r="V89" s="133">
        <f t="shared" si="23"/>
        <v>1.8180211580181753E-3</v>
      </c>
      <c r="W89" s="133">
        <f t="shared" si="24"/>
        <v>1.7793008962640863E-3</v>
      </c>
      <c r="X89" s="133">
        <f t="shared" si="25"/>
        <v>1.7436566322407555E-3</v>
      </c>
      <c r="Y89" s="133">
        <f t="shared" si="26"/>
        <v>1.7104885801269749E-3</v>
      </c>
      <c r="Z89" s="133">
        <f t="shared" si="27"/>
        <v>1.6815353130909812E-3</v>
      </c>
      <c r="AA89" s="133">
        <f t="shared" si="28"/>
        <v>1.6579912135554526E-3</v>
      </c>
      <c r="AB89" s="133">
        <f t="shared" si="29"/>
        <v>1.6375292615849416E-3</v>
      </c>
      <c r="AC89" s="133">
        <f t="shared" si="30"/>
        <v>1.6196310575789523E-3</v>
      </c>
      <c r="AD89" s="156"/>
      <c r="AE89" s="156"/>
      <c r="AF89" s="159">
        <f t="shared" si="40"/>
        <v>8.991983246837813E-5</v>
      </c>
      <c r="AG89" s="159">
        <f t="shared" si="41"/>
        <v>6.2153448209789988E-5</v>
      </c>
      <c r="AH89" s="159">
        <f t="shared" si="42"/>
        <v>5.7799725337836262E-5</v>
      </c>
      <c r="AI89" s="159">
        <f t="shared" si="43"/>
        <v>6.9815860413345994E-5</v>
      </c>
      <c r="AJ89" s="159">
        <f t="shared" si="44"/>
        <v>7.5497812161554045E-5</v>
      </c>
      <c r="AK89" s="159">
        <f t="shared" si="45"/>
        <v>8.109623417835505E-5</v>
      </c>
      <c r="AL89" s="159">
        <f t="shared" si="46"/>
        <v>8.2937723654022999E-5</v>
      </c>
      <c r="AM89" s="159">
        <f t="shared" si="47"/>
        <v>8.3226082451223169E-5</v>
      </c>
    </row>
    <row r="90" spans="1:39" hidden="1" outlineLevel="2">
      <c r="A90" s="160" t="s">
        <v>294</v>
      </c>
      <c r="B90" s="133">
        <f>LOOKUP($A90,'GDP data'!$A$2:$A$192,'GDP data'!P$2:P$192)</f>
        <v>7.2423129765472494E-2</v>
      </c>
      <c r="C90" s="133">
        <f>LOOKUP($A90,'GDP data'!$A$2:$A$192,'GDP data'!Q$2:Q$192)</f>
        <v>6.8596087715486531E-2</v>
      </c>
      <c r="D90" s="133">
        <f>LOOKUP($A90,'GDP data'!$A$2:$A$192,'GDP data'!R$2:R$192)</f>
        <v>7.1995961663850361E-2</v>
      </c>
      <c r="E90" s="133">
        <f>LOOKUP($A90,'GDP data'!$A$2:$A$192,'GDP data'!S$2:S$192)</f>
        <v>6.8507933185962377E-2</v>
      </c>
      <c r="F90" s="133">
        <f>LOOKUP($A90,'GDP data'!$A$2:$A$192,'GDP data'!T$2:T$192)</f>
        <v>7.5175820341908395E-2</v>
      </c>
      <c r="G90" s="133">
        <f>LOOKUP($A90,'GDP data'!$A$2:$A$192,'GDP data'!U$2:U$192)</f>
        <v>8.2677232592693883E-2</v>
      </c>
      <c r="H90" s="133">
        <f>LOOKUP($A90,'GDP data'!$A$2:$A$192,'GDP data'!V$2:V$192)</f>
        <v>8.4098389963298326E-2</v>
      </c>
      <c r="I90" s="133">
        <f>LOOKUP($A90,'GDP data'!$A$2:$A$192,'GDP data'!W$2:W$192)</f>
        <v>8.6945134254229561E-2</v>
      </c>
      <c r="J90" s="851"/>
      <c r="K90" s="156"/>
      <c r="L90" s="158">
        <f>LOOKUP($A90,'GDP data'!$A$2:$A$192,'GDP data'!D$2:D$192)</f>
        <v>133.477</v>
      </c>
      <c r="M90" s="158">
        <f>LOOKUP($A90,'GDP data'!$A$2:$A$192,'GDP data'!E$2:E$192)</f>
        <v>142.63300000000001</v>
      </c>
      <c r="N90" s="158">
        <f>LOOKUP($A90,'GDP data'!$A$2:$A$192,'GDP data'!F$2:F$192)</f>
        <v>152.90199999999999</v>
      </c>
      <c r="O90" s="158">
        <f>LOOKUP($A90,'GDP data'!$A$2:$A$192,'GDP data'!G$2:G$192)</f>
        <v>163.37700000000001</v>
      </c>
      <c r="P90" s="158">
        <f>LOOKUP($A90,'GDP data'!$A$2:$A$192,'GDP data'!H$2:H$192)</f>
        <v>175.65899999999999</v>
      </c>
      <c r="Q90" s="158">
        <f>LOOKUP($A90,'GDP data'!$A$2:$A$192,'GDP data'!I$2:I$192)</f>
        <v>190.18199999999999</v>
      </c>
      <c r="R90" s="158">
        <f>LOOKUP($A90,'GDP data'!$A$2:$A$192,'GDP data'!J$2:J$192)</f>
        <v>206.17599999999999</v>
      </c>
      <c r="S90" s="158">
        <f>LOOKUP($A90,'GDP data'!$A$2:$A$192,'GDP data'!K$2:K$192)</f>
        <v>224.102</v>
      </c>
      <c r="T90" s="156"/>
      <c r="U90" s="156"/>
      <c r="V90" s="133">
        <f t="shared" si="23"/>
        <v>3.0327693917163497E-3</v>
      </c>
      <c r="W90" s="133">
        <f t="shared" si="24"/>
        <v>3.0647275626663221E-3</v>
      </c>
      <c r="X90" s="133">
        <f t="shared" si="25"/>
        <v>3.1162609157126021E-3</v>
      </c>
      <c r="Y90" s="133">
        <f t="shared" si="26"/>
        <v>3.1383160698448529E-3</v>
      </c>
      <c r="Z90" s="133">
        <f t="shared" si="27"/>
        <v>3.1745927901019803E-3</v>
      </c>
      <c r="AA90" s="133">
        <f t="shared" si="28"/>
        <v>3.2309040932056257E-3</v>
      </c>
      <c r="AB90" s="133">
        <f t="shared" si="29"/>
        <v>3.2926254952947874E-3</v>
      </c>
      <c r="AC90" s="133">
        <f t="shared" si="30"/>
        <v>3.3667809999866276E-3</v>
      </c>
      <c r="AD90" s="156"/>
      <c r="AE90" s="156"/>
      <c r="AF90" s="159">
        <f t="shared" si="40"/>
        <v>2.1964265120502627E-4</v>
      </c>
      <c r="AG90" s="159">
        <f t="shared" si="41"/>
        <v>2.1022832071272829E-4</v>
      </c>
      <c r="AH90" s="159">
        <f t="shared" si="42"/>
        <v>2.2435820142219972E-4</v>
      </c>
      <c r="AI90" s="159">
        <f t="shared" si="43"/>
        <v>2.1499954762936322E-4</v>
      </c>
      <c r="AJ90" s="159">
        <f t="shared" si="44"/>
        <v>2.3865261724742418E-4</v>
      </c>
      <c r="AK90" s="159">
        <f t="shared" si="45"/>
        <v>2.6712220919864821E-4</v>
      </c>
      <c r="AL90" s="159">
        <f t="shared" si="46"/>
        <v>2.7690450290639932E-4</v>
      </c>
      <c r="AM90" s="159">
        <f t="shared" si="47"/>
        <v>2.9272522604842659E-4</v>
      </c>
    </row>
    <row r="91" spans="1:39" hidden="1" outlineLevel="2">
      <c r="A91" s="160" t="s">
        <v>298</v>
      </c>
      <c r="B91" s="133">
        <f>LOOKUP($A91,'GDP data'!$A$2:$A$192,'GDP data'!P$2:P$192)</f>
        <v>2.4271511579616378E-2</v>
      </c>
      <c r="C91" s="133">
        <f>LOOKUP($A91,'GDP data'!$A$2:$A$192,'GDP data'!Q$2:Q$192)</f>
        <v>3.1611606670662429E-2</v>
      </c>
      <c r="D91" s="133">
        <f>LOOKUP($A91,'GDP data'!$A$2:$A$192,'GDP data'!R$2:R$192)</f>
        <v>3.7789306757440411E-2</v>
      </c>
      <c r="E91" s="133">
        <f>LOOKUP($A91,'GDP data'!$A$2:$A$192,'GDP data'!S$2:S$192)</f>
        <v>-3.7015935953210732E-3</v>
      </c>
      <c r="F91" s="133">
        <f>LOOKUP($A91,'GDP data'!$A$2:$A$192,'GDP data'!T$2:T$192)</f>
        <v>6.1217271732627143E-2</v>
      </c>
      <c r="G91" s="133">
        <f>LOOKUP($A91,'GDP data'!$A$2:$A$192,'GDP data'!U$2:U$192)</f>
        <v>5.9290014919840983E-2</v>
      </c>
      <c r="H91" s="133">
        <f>LOOKUP($A91,'GDP data'!$A$2:$A$192,'GDP data'!V$2:V$192)</f>
        <v>5.6086143423389467E-2</v>
      </c>
      <c r="I91" s="133">
        <f>LOOKUP($A91,'GDP data'!$A$2:$A$192,'GDP data'!W$2:W$192)</f>
        <v>5.4677885498861212E-2</v>
      </c>
      <c r="J91" s="851"/>
      <c r="K91" s="156"/>
      <c r="L91" s="158">
        <f>LOOKUP($A91,'GDP data'!$A$2:$A$192,'GDP data'!D$2:D$192)</f>
        <v>283.63</v>
      </c>
      <c r="M91" s="158">
        <f>LOOKUP($A91,'GDP data'!$A$2:$A$192,'GDP data'!E$2:E$192)</f>
        <v>292.596</v>
      </c>
      <c r="N91" s="158">
        <f>LOOKUP($A91,'GDP data'!$A$2:$A$192,'GDP data'!F$2:F$192)</f>
        <v>303.65300000000002</v>
      </c>
      <c r="O91" s="158">
        <f>LOOKUP($A91,'GDP data'!$A$2:$A$192,'GDP data'!G$2:G$192)</f>
        <v>302.529</v>
      </c>
      <c r="P91" s="158">
        <f>LOOKUP($A91,'GDP data'!$A$2:$A$192,'GDP data'!H$2:H$192)</f>
        <v>321.04899999999998</v>
      </c>
      <c r="Q91" s="158">
        <f>LOOKUP($A91,'GDP data'!$A$2:$A$192,'GDP data'!I$2:I$192)</f>
        <v>340.084</v>
      </c>
      <c r="R91" s="158">
        <f>LOOKUP($A91,'GDP data'!$A$2:$A$192,'GDP data'!J$2:J$192)</f>
        <v>359.15800000000002</v>
      </c>
      <c r="S91" s="158">
        <f>LOOKUP($A91,'GDP data'!$A$2:$A$192,'GDP data'!K$2:K$192)</f>
        <v>378.79599999999999</v>
      </c>
      <c r="T91" s="156"/>
      <c r="U91" s="156"/>
      <c r="V91" s="133">
        <f t="shared" si="23"/>
        <v>6.4444389862860878E-3</v>
      </c>
      <c r="W91" s="133">
        <f t="shared" si="24"/>
        <v>6.2869534113838667E-3</v>
      </c>
      <c r="X91" s="133">
        <f t="shared" si="25"/>
        <v>6.1886827892302194E-3</v>
      </c>
      <c r="Y91" s="133">
        <f t="shared" si="26"/>
        <v>5.8112930357032714E-3</v>
      </c>
      <c r="Z91" s="133">
        <f t="shared" si="27"/>
        <v>5.8021498509581099E-3</v>
      </c>
      <c r="AA91" s="133">
        <f t="shared" si="28"/>
        <v>5.7775120023647987E-3</v>
      </c>
      <c r="AB91" s="133">
        <f t="shared" si="29"/>
        <v>5.7357441585785228E-3</v>
      </c>
      <c r="AC91" s="133">
        <f t="shared" si="30"/>
        <v>5.6908156806763643E-3</v>
      </c>
      <c r="AD91" s="156"/>
      <c r="AE91" s="156"/>
      <c r="AF91" s="159">
        <f t="shared" si="40"/>
        <v>1.5641627547977402E-4</v>
      </c>
      <c r="AG91" s="159">
        <f t="shared" si="41"/>
        <v>1.9874069839744614E-4</v>
      </c>
      <c r="AH91" s="159">
        <f t="shared" si="42"/>
        <v>2.3386603234671271E-4</v>
      </c>
      <c r="AI91" s="159">
        <f t="shared" si="43"/>
        <v>-2.1511045081493187E-5</v>
      </c>
      <c r="AJ91" s="159">
        <f t="shared" si="44"/>
        <v>3.551917840595247E-4</v>
      </c>
      <c r="AK91" s="159">
        <f t="shared" si="45"/>
        <v>3.4254877281976925E-4</v>
      </c>
      <c r="AL91" s="159">
        <f t="shared" si="46"/>
        <v>3.2169576951790338E-4</v>
      </c>
      <c r="AM91" s="159">
        <f t="shared" si="47"/>
        <v>3.1116176818314617E-4</v>
      </c>
    </row>
    <row r="92" spans="1:39" hidden="1" outlineLevel="2">
      <c r="A92" s="160" t="s">
        <v>301</v>
      </c>
      <c r="B92" s="133">
        <f>LOOKUP($A92,'GDP data'!$A$2:$A$192,'GDP data'!P$2:P$192)</f>
        <v>3.9526997269444308E-2</v>
      </c>
      <c r="C92" s="133">
        <f>LOOKUP($A92,'GDP data'!$A$2:$A$192,'GDP data'!Q$2:Q$192)</f>
        <v>3.8257038151121581E-2</v>
      </c>
      <c r="D92" s="133">
        <f>LOOKUP($A92,'GDP data'!$A$2:$A$192,'GDP data'!R$2:R$192)</f>
        <v>3.2521983963438306E-2</v>
      </c>
      <c r="E92" s="133">
        <f>LOOKUP($A92,'GDP data'!$A$2:$A$192,'GDP data'!S$2:S$192)</f>
        <v>5.6513920999071265E-2</v>
      </c>
      <c r="F92" s="133">
        <f>LOOKUP($A92,'GDP data'!$A$2:$A$192,'GDP data'!T$2:T$192)</f>
        <v>5.9363719677558047E-2</v>
      </c>
      <c r="G92" s="133">
        <f>LOOKUP($A92,'GDP data'!$A$2:$A$192,'GDP data'!U$2:U$192)</f>
        <v>5.6972864179657856E-2</v>
      </c>
      <c r="H92" s="133">
        <f>LOOKUP($A92,'GDP data'!$A$2:$A$192,'GDP data'!V$2:V$192)</f>
        <v>5.3334001469900416E-2</v>
      </c>
      <c r="I92" s="133">
        <f>LOOKUP($A92,'GDP data'!$A$2:$A$192,'GDP data'!W$2:W$192)</f>
        <v>5.2631578947368363E-2</v>
      </c>
      <c r="J92" s="851"/>
      <c r="K92" s="156"/>
      <c r="L92" s="158">
        <f>LOOKUP($A92,'GDP data'!$A$2:$A$192,'GDP data'!D$2:D$192)</f>
        <v>47.207000000000001</v>
      </c>
      <c r="M92" s="158">
        <f>LOOKUP($A92,'GDP data'!$A$2:$A$192,'GDP data'!E$2:E$192)</f>
        <v>49.012999999999998</v>
      </c>
      <c r="N92" s="158">
        <f>LOOKUP($A92,'GDP data'!$A$2:$A$192,'GDP data'!F$2:F$192)</f>
        <v>50.606999999999999</v>
      </c>
      <c r="O92" s="158">
        <f>LOOKUP($A92,'GDP data'!$A$2:$A$192,'GDP data'!G$2:G$192)</f>
        <v>53.466999999999999</v>
      </c>
      <c r="P92" s="158">
        <f>LOOKUP($A92,'GDP data'!$A$2:$A$192,'GDP data'!H$2:H$192)</f>
        <v>56.640999999999998</v>
      </c>
      <c r="Q92" s="158">
        <f>LOOKUP($A92,'GDP data'!$A$2:$A$192,'GDP data'!I$2:I$192)</f>
        <v>59.868000000000002</v>
      </c>
      <c r="R92" s="158">
        <f>LOOKUP($A92,'GDP data'!$A$2:$A$192,'GDP data'!J$2:J$192)</f>
        <v>63.061</v>
      </c>
      <c r="S92" s="158">
        <f>LOOKUP($A92,'GDP data'!$A$2:$A$192,'GDP data'!K$2:K$192)</f>
        <v>66.38</v>
      </c>
      <c r="T92" s="156"/>
      <c r="U92" s="156"/>
      <c r="V92" s="133">
        <f t="shared" si="23"/>
        <v>1.0726038544075288E-3</v>
      </c>
      <c r="W92" s="133">
        <f t="shared" si="24"/>
        <v>1.0531328095809834E-3</v>
      </c>
      <c r="X92" s="133">
        <f t="shared" si="25"/>
        <v>1.0314097667883197E-3</v>
      </c>
      <c r="Y92" s="133">
        <f t="shared" si="26"/>
        <v>1.0270499844310689E-3</v>
      </c>
      <c r="Z92" s="133">
        <f t="shared" si="27"/>
        <v>1.0236430255447558E-3</v>
      </c>
      <c r="AA92" s="133">
        <f t="shared" si="28"/>
        <v>1.0170666322366702E-3</v>
      </c>
      <c r="AB92" s="133">
        <f t="shared" si="29"/>
        <v>1.0070825719714449E-3</v>
      </c>
      <c r="AC92" s="133">
        <f t="shared" si="30"/>
        <v>9.9725536933678561E-4</v>
      </c>
      <c r="AD92" s="156"/>
      <c r="AE92" s="156"/>
      <c r="AF92" s="159">
        <f t="shared" si="40"/>
        <v>4.2396809624361828E-5</v>
      </c>
      <c r="AG92" s="159">
        <f t="shared" si="41"/>
        <v>4.0289742074337546E-5</v>
      </c>
      <c r="AH92" s="159">
        <f t="shared" si="42"/>
        <v>3.3543491895223379E-5</v>
      </c>
      <c r="AI92" s="159">
        <f t="shared" si="43"/>
        <v>5.8042621682234803E-5</v>
      </c>
      <c r="AJ92" s="159">
        <f t="shared" si="44"/>
        <v>6.0767257618326278E-5</v>
      </c>
      <c r="AK92" s="159">
        <f t="shared" si="45"/>
        <v>5.7945199100081835E-5</v>
      </c>
      <c r="AL92" s="159">
        <f t="shared" si="46"/>
        <v>5.3711743373836135E-5</v>
      </c>
      <c r="AM92" s="159">
        <f t="shared" si="47"/>
        <v>5.2487124701936027E-5</v>
      </c>
    </row>
    <row r="93" spans="1:39" hidden="1" outlineLevel="2">
      <c r="A93" s="160" t="s">
        <v>302</v>
      </c>
      <c r="B93" s="133">
        <f>LOOKUP($A93,'GDP data'!$A$2:$A$192,'GDP data'!P$2:P$192)</f>
        <v>3.8345118787200594E-2</v>
      </c>
      <c r="C93" s="133">
        <f>LOOKUP($A93,'GDP data'!$A$2:$A$192,'GDP data'!Q$2:Q$192)</f>
        <v>1.9083081219455345E-2</v>
      </c>
      <c r="D93" s="133">
        <f>LOOKUP($A93,'GDP data'!$A$2:$A$192,'GDP data'!R$2:R$192)</f>
        <v>2.2884340332448128E-2</v>
      </c>
      <c r="E93" s="133">
        <f>LOOKUP($A93,'GDP data'!$A$2:$A$192,'GDP data'!S$2:S$192)</f>
        <v>3.2689031196756924E-2</v>
      </c>
      <c r="F93" s="133">
        <f>LOOKUP($A93,'GDP data'!$A$2:$A$192,'GDP data'!T$2:T$192)</f>
        <v>3.9789729994197165E-2</v>
      </c>
      <c r="G93" s="133">
        <f>LOOKUP($A93,'GDP data'!$A$2:$A$192,'GDP data'!U$2:U$192)</f>
        <v>4.6879103562986968E-2</v>
      </c>
      <c r="H93" s="133">
        <f>LOOKUP($A93,'GDP data'!$A$2:$A$192,'GDP data'!V$2:V$192)</f>
        <v>4.6556842413346011E-2</v>
      </c>
      <c r="I93" s="133">
        <f>LOOKUP($A93,'GDP data'!$A$2:$A$192,'GDP data'!W$2:W$192)</f>
        <v>5.1397295299734358E-2</v>
      </c>
      <c r="J93" s="851"/>
      <c r="K93" s="156"/>
      <c r="L93" s="158">
        <f>LOOKUP($A93,'GDP data'!$A$2:$A$192,'GDP data'!D$2:D$192)</f>
        <v>81.643000000000001</v>
      </c>
      <c r="M93" s="158">
        <f>LOOKUP($A93,'GDP data'!$A$2:$A$192,'GDP data'!E$2:E$192)</f>
        <v>83.200999999999993</v>
      </c>
      <c r="N93" s="158">
        <f>LOOKUP($A93,'GDP data'!$A$2:$A$192,'GDP data'!F$2:F$192)</f>
        <v>85.105000000000004</v>
      </c>
      <c r="O93" s="158">
        <f>LOOKUP($A93,'GDP data'!$A$2:$A$192,'GDP data'!G$2:G$192)</f>
        <v>87.887</v>
      </c>
      <c r="P93" s="158">
        <f>LOOKUP($A93,'GDP data'!$A$2:$A$192,'GDP data'!H$2:H$192)</f>
        <v>91.384</v>
      </c>
      <c r="Q93" s="158">
        <f>LOOKUP($A93,'GDP data'!$A$2:$A$192,'GDP data'!I$2:I$192)</f>
        <v>95.668000000000006</v>
      </c>
      <c r="R93" s="158">
        <f>LOOKUP($A93,'GDP data'!$A$2:$A$192,'GDP data'!J$2:J$192)</f>
        <v>100.122</v>
      </c>
      <c r="S93" s="158">
        <f>LOOKUP($A93,'GDP data'!$A$2:$A$192,'GDP data'!K$2:K$192)</f>
        <v>105.268</v>
      </c>
      <c r="T93" s="156"/>
      <c r="U93" s="156"/>
      <c r="V93" s="133">
        <f t="shared" si="23"/>
        <v>1.8550341365770725E-3</v>
      </c>
      <c r="W93" s="133">
        <f t="shared" si="24"/>
        <v>1.7877237241129375E-3</v>
      </c>
      <c r="X93" s="133">
        <f t="shared" si="25"/>
        <v>1.7345056652739732E-3</v>
      </c>
      <c r="Y93" s="133">
        <f t="shared" si="26"/>
        <v>1.6882252975048788E-3</v>
      </c>
      <c r="Z93" s="133">
        <f t="shared" si="27"/>
        <v>1.651535005497466E-3</v>
      </c>
      <c r="AA93" s="133">
        <f t="shared" si="28"/>
        <v>1.6252544025659413E-3</v>
      </c>
      <c r="AB93" s="133">
        <f t="shared" si="29"/>
        <v>1.5989458028087883E-3</v>
      </c>
      <c r="AC93" s="133">
        <f t="shared" si="30"/>
        <v>1.5814865655219155E-3</v>
      </c>
      <c r="AD93" s="156"/>
      <c r="AE93" s="156"/>
      <c r="AF93" s="159">
        <f t="shared" si="40"/>
        <v>7.1131504321359935E-5</v>
      </c>
      <c r="AG93" s="159">
        <f t="shared" si="41"/>
        <v>3.4115277025194364E-5</v>
      </c>
      <c r="AH93" s="159">
        <f t="shared" si="42"/>
        <v>3.9693017952688958E-5</v>
      </c>
      <c r="AI93" s="159">
        <f t="shared" si="43"/>
        <v>5.518644941729122E-5</v>
      </c>
      <c r="AJ93" s="159">
        <f t="shared" si="44"/>
        <v>6.5714131944709107E-5</v>
      </c>
      <c r="AK93" s="159">
        <f t="shared" si="45"/>
        <v>7.6190469454089278E-5</v>
      </c>
      <c r="AL93" s="159">
        <f t="shared" si="46"/>
        <v>7.4441867768849779E-5</v>
      </c>
      <c r="AM93" s="159">
        <f t="shared" si="47"/>
        <v>8.1284132020692585E-5</v>
      </c>
    </row>
    <row r="94" spans="1:39" hidden="1" outlineLevel="2">
      <c r="A94" s="160" t="s">
        <v>303</v>
      </c>
      <c r="B94" s="133">
        <f>LOOKUP($A94,'GDP data'!$A$2:$A$192,'GDP data'!P$2:P$192)</f>
        <v>5.3040103492884683E-2</v>
      </c>
      <c r="C94" s="133">
        <f>LOOKUP($A94,'GDP data'!$A$2:$A$192,'GDP data'!Q$2:Q$192)</f>
        <v>3.6394348894349005E-2</v>
      </c>
      <c r="D94" s="133">
        <f>LOOKUP($A94,'GDP data'!$A$2:$A$192,'GDP data'!R$2:R$192)</f>
        <v>3.6598014520669908E-2</v>
      </c>
      <c r="E94" s="133">
        <f>LOOKUP($A94,'GDP data'!$A$2:$A$192,'GDP data'!S$2:S$192)</f>
        <v>6.4608347627215457E-2</v>
      </c>
      <c r="F94" s="133">
        <f>LOOKUP($A94,'GDP data'!$A$2:$A$192,'GDP data'!T$2:T$192)</f>
        <v>5.1020408163265252E-2</v>
      </c>
      <c r="G94" s="133">
        <f>LOOKUP($A94,'GDP data'!$A$2:$A$192,'GDP data'!U$2:U$192)</f>
        <v>6.630045988758293E-2</v>
      </c>
      <c r="H94" s="133">
        <f>LOOKUP($A94,'GDP data'!$A$2:$A$192,'GDP data'!V$2:V$192)</f>
        <v>6.6730561878519223E-2</v>
      </c>
      <c r="I94" s="133">
        <f>LOOKUP($A94,'GDP data'!$A$2:$A$192,'GDP data'!W$2:W$192)</f>
        <v>7.2551662174303866E-2</v>
      </c>
      <c r="J94" s="851"/>
      <c r="K94" s="156"/>
      <c r="L94" s="158">
        <f>LOOKUP($A94,'GDP data'!$A$2:$A$192,'GDP data'!D$2:D$192)</f>
        <v>6.5119999999999996</v>
      </c>
      <c r="M94" s="158">
        <f>LOOKUP($A94,'GDP data'!$A$2:$A$192,'GDP data'!E$2:E$192)</f>
        <v>6.7489999999999997</v>
      </c>
      <c r="N94" s="158">
        <f>LOOKUP($A94,'GDP data'!$A$2:$A$192,'GDP data'!F$2:F$192)</f>
        <v>6.9960000000000004</v>
      </c>
      <c r="O94" s="158">
        <f>LOOKUP($A94,'GDP data'!$A$2:$A$192,'GDP data'!G$2:G$192)</f>
        <v>7.4480000000000004</v>
      </c>
      <c r="P94" s="158">
        <f>LOOKUP($A94,'GDP data'!$A$2:$A$192,'GDP data'!H$2:H$192)</f>
        <v>7.8280000000000003</v>
      </c>
      <c r="Q94" s="158">
        <f>LOOKUP($A94,'GDP data'!$A$2:$A$192,'GDP data'!I$2:I$192)</f>
        <v>8.3469999999999995</v>
      </c>
      <c r="R94" s="158">
        <f>LOOKUP($A94,'GDP data'!$A$2:$A$192,'GDP data'!J$2:J$192)</f>
        <v>8.9039999999999999</v>
      </c>
      <c r="S94" s="158">
        <f>LOOKUP($A94,'GDP data'!$A$2:$A$192,'GDP data'!K$2:K$192)</f>
        <v>9.5500000000000007</v>
      </c>
      <c r="T94" s="156"/>
      <c r="U94" s="156"/>
      <c r="V94" s="133">
        <f t="shared" si="23"/>
        <v>1.4796102908259002E-4</v>
      </c>
      <c r="W94" s="133">
        <f t="shared" si="24"/>
        <v>1.4501445191810453E-4</v>
      </c>
      <c r="X94" s="133">
        <f t="shared" si="25"/>
        <v>1.4258388619066702E-4</v>
      </c>
      <c r="Y94" s="133">
        <f t="shared" si="26"/>
        <v>1.4306896373543682E-4</v>
      </c>
      <c r="Z94" s="133">
        <f t="shared" si="27"/>
        <v>1.414713300253235E-4</v>
      </c>
      <c r="AA94" s="133">
        <f t="shared" si="28"/>
        <v>1.4180288600386661E-4</v>
      </c>
      <c r="AB94" s="133">
        <f t="shared" si="29"/>
        <v>1.4219665436377072E-4</v>
      </c>
      <c r="AC94" s="133">
        <f t="shared" si="30"/>
        <v>1.4347376886360806E-4</v>
      </c>
      <c r="AD94" s="156"/>
      <c r="AE94" s="156"/>
      <c r="AF94" s="159">
        <f t="shared" si="40"/>
        <v>7.8478682954542948E-6</v>
      </c>
      <c r="AG94" s="159">
        <f t="shared" si="41"/>
        <v>5.2777065578302942E-6</v>
      </c>
      <c r="AH94" s="159">
        <f t="shared" si="42"/>
        <v>5.2182871372195771E-6</v>
      </c>
      <c r="AI94" s="159">
        <f t="shared" si="43"/>
        <v>9.2434493436845833E-6</v>
      </c>
      <c r="AJ94" s="159">
        <f t="shared" si="44"/>
        <v>7.2179250012920082E-6</v>
      </c>
      <c r="AK94" s="159">
        <f t="shared" si="45"/>
        <v>9.4015965554428536E-6</v>
      </c>
      <c r="AL94" s="159">
        <f t="shared" si="46"/>
        <v>9.4888626429400123E-6</v>
      </c>
      <c r="AM94" s="159">
        <f t="shared" si="47"/>
        <v>1.0409260409466649E-5</v>
      </c>
    </row>
    <row r="95" spans="1:39" hidden="1" outlineLevel="2">
      <c r="A95" s="160" t="s">
        <v>304</v>
      </c>
      <c r="B95" s="133">
        <f>LOOKUP($A95,'GDP data'!$A$2:$A$192,'GDP data'!P$2:P$192)</f>
        <v>2.4820739106453438E-2</v>
      </c>
      <c r="C95" s="133">
        <f>LOOKUP($A95,'GDP data'!$A$2:$A$192,'GDP data'!Q$2:Q$192)</f>
        <v>1.1302475780408994E-2</v>
      </c>
      <c r="D95" s="133">
        <f>LOOKUP($A95,'GDP data'!$A$2:$A$192,'GDP data'!R$2:R$192)</f>
        <v>-3.9914848323576724E-3</v>
      </c>
      <c r="E95" s="133">
        <f>LOOKUP($A95,'GDP data'!$A$2:$A$192,'GDP data'!S$2:S$192)</f>
        <v>4.3547956184878611E-2</v>
      </c>
      <c r="F95" s="133">
        <f>LOOKUP($A95,'GDP data'!$A$2:$A$192,'GDP data'!T$2:T$192)</f>
        <v>5.990783410138234E-2</v>
      </c>
      <c r="G95" s="133">
        <f>LOOKUP($A95,'GDP data'!$A$2:$A$192,'GDP data'!U$2:U$192)</f>
        <v>7.1980676328502469E-2</v>
      </c>
      <c r="H95" s="133">
        <f>LOOKUP($A95,'GDP data'!$A$2:$A$192,'GDP data'!V$2:V$192)</f>
        <v>8.2469580892293948E-2</v>
      </c>
      <c r="I95" s="133">
        <f>LOOKUP($A95,'GDP data'!$A$2:$A$192,'GDP data'!W$2:W$192)</f>
        <v>8.5345545378850973E-2</v>
      </c>
      <c r="J95" s="851"/>
      <c r="K95" s="156"/>
      <c r="L95" s="158">
        <f>LOOKUP($A95,'GDP data'!$A$2:$A$192,'GDP data'!D$2:D$192)</f>
        <v>3.7160000000000002</v>
      </c>
      <c r="M95" s="158">
        <f>LOOKUP($A95,'GDP data'!$A$2:$A$192,'GDP data'!E$2:E$192)</f>
        <v>3.758</v>
      </c>
      <c r="N95" s="158">
        <f>LOOKUP($A95,'GDP data'!$A$2:$A$192,'GDP data'!F$2:F$192)</f>
        <v>3.7429999999999999</v>
      </c>
      <c r="O95" s="158">
        <f>LOOKUP($A95,'GDP data'!$A$2:$A$192,'GDP data'!G$2:G$192)</f>
        <v>3.9060000000000001</v>
      </c>
      <c r="P95" s="158">
        <f>LOOKUP($A95,'GDP data'!$A$2:$A$192,'GDP data'!H$2:H$192)</f>
        <v>4.1399999999999997</v>
      </c>
      <c r="Q95" s="158">
        <f>LOOKUP($A95,'GDP data'!$A$2:$A$192,'GDP data'!I$2:I$192)</f>
        <v>4.4379999999999997</v>
      </c>
      <c r="R95" s="158">
        <f>LOOKUP($A95,'GDP data'!$A$2:$A$192,'GDP data'!J$2:J$192)</f>
        <v>4.8040000000000003</v>
      </c>
      <c r="S95" s="158">
        <f>LOOKUP($A95,'GDP data'!$A$2:$A$192,'GDP data'!K$2:K$192)</f>
        <v>5.2140000000000004</v>
      </c>
      <c r="T95" s="156"/>
      <c r="U95" s="156"/>
      <c r="V95" s="133">
        <f t="shared" si="23"/>
        <v>8.4432307136195417E-5</v>
      </c>
      <c r="W95" s="133">
        <f t="shared" si="24"/>
        <v>8.0747415959140156E-5</v>
      </c>
      <c r="X95" s="133">
        <f t="shared" si="25"/>
        <v>7.6285232420192486E-5</v>
      </c>
      <c r="Y95" s="133">
        <f t="shared" si="26"/>
        <v>7.5030527974035482E-5</v>
      </c>
      <c r="Z95" s="133">
        <f t="shared" si="27"/>
        <v>7.4820044239248758E-5</v>
      </c>
      <c r="AA95" s="133">
        <f t="shared" si="28"/>
        <v>7.5394897338583922E-5</v>
      </c>
      <c r="AB95" s="133">
        <f t="shared" si="29"/>
        <v>7.6719758261854735E-5</v>
      </c>
      <c r="AC95" s="133">
        <f t="shared" si="30"/>
        <v>7.833217077014162E-5</v>
      </c>
      <c r="AD95" s="156"/>
      <c r="AE95" s="156"/>
      <c r="AF95" s="159">
        <f t="shared" si="40"/>
        <v>2.0956722675834532E-6</v>
      </c>
      <c r="AG95" s="159">
        <f t="shared" si="41"/>
        <v>9.1264571320879232E-7</v>
      </c>
      <c r="AH95" s="159">
        <f t="shared" si="42"/>
        <v>-3.0449134813807808E-7</v>
      </c>
      <c r="AI95" s="159">
        <f t="shared" si="43"/>
        <v>3.267426144741606E-6</v>
      </c>
      <c r="AJ95" s="159">
        <f t="shared" si="44"/>
        <v>4.4823067977430023E-6</v>
      </c>
      <c r="AK95" s="159">
        <f t="shared" si="45"/>
        <v>5.4269757021492811E-6</v>
      </c>
      <c r="AL95" s="159">
        <f t="shared" si="46"/>
        <v>6.3270463100132656E-6</v>
      </c>
      <c r="AM95" s="159">
        <f t="shared" si="47"/>
        <v>6.6853018350870252E-6</v>
      </c>
    </row>
    <row r="96" spans="1:39" hidden="1" outlineLevel="2">
      <c r="A96" s="160" t="s">
        <v>305</v>
      </c>
      <c r="B96" s="133">
        <f>LOOKUP($A96,'GDP data'!$A$2:$A$192,'GDP data'!P$2:P$192)</f>
        <v>-0.52174514940472383</v>
      </c>
      <c r="C96" s="133">
        <f>LOOKUP($A96,'GDP data'!$A$2:$A$192,'GDP data'!Q$2:Q$192)</f>
        <v>-9.3184297833492913E-2</v>
      </c>
      <c r="D96" s="133">
        <f>LOOKUP($A96,'GDP data'!$A$2:$A$192,'GDP data'!R$2:R$192)</f>
        <v>-1.7384471836173421E-2</v>
      </c>
      <c r="E96" s="133">
        <f>LOOKUP($A96,'GDP data'!$A$2:$A$192,'GDP data'!S$2:S$192)</f>
        <v>0.57788994952271477</v>
      </c>
      <c r="F96" s="133">
        <f>LOOKUP($A96,'GDP data'!$A$2:$A$192,'GDP data'!T$2:T$192)</f>
        <v>0.33708665906499435</v>
      </c>
      <c r="G96" s="133">
        <f>LOOKUP($A96,'GDP data'!$A$2:$A$192,'GDP data'!U$2:U$192)</f>
        <v>1.321820701417753E-2</v>
      </c>
      <c r="H96" s="133">
        <f>LOOKUP($A96,'GDP data'!$A$2:$A$192,'GDP data'!V$2:V$192)</f>
        <v>4.5508212052136399E-2</v>
      </c>
      <c r="I96" s="133">
        <f>LOOKUP($A96,'GDP data'!$A$2:$A$192,'GDP data'!W$2:W$192)</f>
        <v>4.6087792660837623E-2</v>
      </c>
      <c r="J96" s="851"/>
      <c r="K96" s="156"/>
      <c r="L96" s="158">
        <f>LOOKUP($A96,'GDP data'!$A$2:$A$192,'GDP data'!D$2:D$192)</f>
        <v>44.911000000000001</v>
      </c>
      <c r="M96" s="158">
        <f>LOOKUP($A96,'GDP data'!$A$2:$A$192,'GDP data'!E$2:E$192)</f>
        <v>40.725999999999999</v>
      </c>
      <c r="N96" s="158">
        <f>LOOKUP($A96,'GDP data'!$A$2:$A$192,'GDP data'!F$2:F$192)</f>
        <v>40.018000000000001</v>
      </c>
      <c r="O96" s="158">
        <f>LOOKUP($A96,'GDP data'!$A$2:$A$192,'GDP data'!G$2:G$192)</f>
        <v>63.143999999999998</v>
      </c>
      <c r="P96" s="158">
        <f>LOOKUP($A96,'GDP data'!$A$2:$A$192,'GDP data'!H$2:H$192)</f>
        <v>84.429000000000002</v>
      </c>
      <c r="Q96" s="158">
        <f>LOOKUP($A96,'GDP data'!$A$2:$A$192,'GDP data'!I$2:I$192)</f>
        <v>85.545000000000002</v>
      </c>
      <c r="R96" s="158">
        <f>LOOKUP($A96,'GDP data'!$A$2:$A$192,'GDP data'!J$2:J$192)</f>
        <v>89.438000000000002</v>
      </c>
      <c r="S96" s="158">
        <f>LOOKUP($A96,'GDP data'!$A$2:$A$192,'GDP data'!K$2:K$192)</f>
        <v>93.56</v>
      </c>
      <c r="T96" s="156"/>
      <c r="U96" s="156"/>
      <c r="V96" s="133">
        <f t="shared" si="23"/>
        <v>1.0204357765860258E-3</v>
      </c>
      <c r="W96" s="133">
        <f t="shared" si="24"/>
        <v>8.7507165043958007E-4</v>
      </c>
      <c r="X96" s="133">
        <f t="shared" si="25"/>
        <v>8.1559776409063933E-4</v>
      </c>
      <c r="Y96" s="133">
        <f t="shared" si="26"/>
        <v>1.2129359084466196E-3</v>
      </c>
      <c r="Z96" s="133">
        <f t="shared" si="27"/>
        <v>1.5258409456704188E-3</v>
      </c>
      <c r="AA96" s="133">
        <f t="shared" si="28"/>
        <v>1.4532799668384771E-3</v>
      </c>
      <c r="AB96" s="133">
        <f t="shared" si="29"/>
        <v>1.4283225935519906E-3</v>
      </c>
      <c r="AC96" s="133">
        <f t="shared" si="30"/>
        <v>1.4055922319245204E-3</v>
      </c>
      <c r="AD96" s="156"/>
      <c r="AE96" s="156"/>
      <c r="AF96" s="159">
        <f t="shared" si="40"/>
        <v>-5.3240741671280146E-4</v>
      </c>
      <c r="AG96" s="159">
        <f t="shared" si="41"/>
        <v>-8.1542937300208029E-5</v>
      </c>
      <c r="AH96" s="159">
        <f t="shared" si="42"/>
        <v>-1.4178736359479733E-5</v>
      </c>
      <c r="AI96" s="159">
        <f t="shared" si="43"/>
        <v>7.0094347090650518E-4</v>
      </c>
      <c r="AJ96" s="159">
        <f t="shared" si="44"/>
        <v>5.1434062664061306E-4</v>
      </c>
      <c r="AK96" s="159">
        <f t="shared" si="45"/>
        <v>1.9209755451228048E-5</v>
      </c>
      <c r="AL96" s="159">
        <f t="shared" si="46"/>
        <v>6.5000407466221416E-5</v>
      </c>
      <c r="AM96" s="159">
        <f t="shared" si="47"/>
        <v>6.4780643350621284E-5</v>
      </c>
    </row>
    <row r="97" spans="1:39" hidden="1" outlineLevel="2">
      <c r="A97" s="160" t="s">
        <v>306</v>
      </c>
      <c r="B97" s="133">
        <f>LOOKUP($A97,'GDP data'!$A$2:$A$192,'GDP data'!P$2:P$192)</f>
        <v>5.3532044840591597E-2</v>
      </c>
      <c r="C97" s="133">
        <f>LOOKUP($A97,'GDP data'!$A$2:$A$192,'GDP data'!Q$2:Q$192)</f>
        <v>2.8824833702882469E-2</v>
      </c>
      <c r="D97" s="133">
        <f>LOOKUP($A97,'GDP data'!$A$2:$A$192,'GDP data'!R$2:R$192)</f>
        <v>3.6035927566942849E-2</v>
      </c>
      <c r="E97" s="133">
        <f>LOOKUP($A97,'GDP data'!$A$2:$A$192,'GDP data'!S$2:S$192)</f>
        <v>5.326035166010068E-2</v>
      </c>
      <c r="F97" s="133">
        <f>LOOKUP($A97,'GDP data'!$A$2:$A$192,'GDP data'!T$2:T$192)</f>
        <v>5.4715773678170931E-2</v>
      </c>
      <c r="G97" s="133">
        <f>LOOKUP($A97,'GDP data'!$A$2:$A$192,'GDP data'!U$2:U$192)</f>
        <v>5.6176836731491431E-2</v>
      </c>
      <c r="H97" s="133">
        <f>LOOKUP($A97,'GDP data'!$A$2:$A$192,'GDP data'!V$2:V$192)</f>
        <v>5.3862382504135331E-2</v>
      </c>
      <c r="I97" s="133">
        <f>LOOKUP($A97,'GDP data'!$A$2:$A$192,'GDP data'!W$2:W$192)</f>
        <v>5.2641472194287608E-2</v>
      </c>
      <c r="J97" s="851"/>
      <c r="K97" s="156"/>
      <c r="L97" s="158">
        <f>LOOKUP($A97,'GDP data'!$A$2:$A$192,'GDP data'!D$2:D$192)</f>
        <v>80.728999999999999</v>
      </c>
      <c r="M97" s="158">
        <f>LOOKUP($A97,'GDP data'!$A$2:$A$192,'GDP data'!E$2:E$192)</f>
        <v>83.055999999999997</v>
      </c>
      <c r="N97" s="158">
        <f>LOOKUP($A97,'GDP data'!$A$2:$A$192,'GDP data'!F$2:F$192)</f>
        <v>86.049000000000007</v>
      </c>
      <c r="O97" s="158">
        <f>LOOKUP($A97,'GDP data'!$A$2:$A$192,'GDP data'!G$2:G$192)</f>
        <v>90.632000000000005</v>
      </c>
      <c r="P97" s="158">
        <f>LOOKUP($A97,'GDP data'!$A$2:$A$192,'GDP data'!H$2:H$192)</f>
        <v>95.590999999999994</v>
      </c>
      <c r="Q97" s="158">
        <f>LOOKUP($A97,'GDP data'!$A$2:$A$192,'GDP data'!I$2:I$192)</f>
        <v>100.961</v>
      </c>
      <c r="R97" s="158">
        <f>LOOKUP($A97,'GDP data'!$A$2:$A$192,'GDP data'!J$2:J$192)</f>
        <v>106.399</v>
      </c>
      <c r="S97" s="158">
        <f>LOOKUP($A97,'GDP data'!$A$2:$A$192,'GDP data'!K$2:K$192)</f>
        <v>112</v>
      </c>
      <c r="T97" s="156"/>
      <c r="U97" s="156"/>
      <c r="V97" s="133">
        <f t="shared" si="23"/>
        <v>1.8342668791167705E-3</v>
      </c>
      <c r="W97" s="133">
        <f t="shared" si="24"/>
        <v>1.7846081372810921E-3</v>
      </c>
      <c r="X97" s="133">
        <f t="shared" si="25"/>
        <v>1.7537451147542462E-3</v>
      </c>
      <c r="Y97" s="133">
        <f t="shared" si="26"/>
        <v>1.7409541247677379E-3</v>
      </c>
      <c r="Z97" s="133">
        <f t="shared" si="27"/>
        <v>1.7275659055251275E-3</v>
      </c>
      <c r="AA97" s="133">
        <f t="shared" si="28"/>
        <v>1.7151744547545676E-3</v>
      </c>
      <c r="AB97" s="133">
        <f t="shared" si="29"/>
        <v>1.6991893337433559E-3</v>
      </c>
      <c r="AC97" s="133">
        <f t="shared" si="30"/>
        <v>1.6826243049972882E-3</v>
      </c>
      <c r="AD97" s="156"/>
      <c r="AE97" s="156"/>
      <c r="AF97" s="159">
        <f t="shared" si="40"/>
        <v>9.8192056822490965E-5</v>
      </c>
      <c r="AG97" s="159">
        <f t="shared" si="41"/>
        <v>5.1441032781938328E-5</v>
      </c>
      <c r="AH97" s="159">
        <f t="shared" si="42"/>
        <v>6.3197831926163888E-5</v>
      </c>
      <c r="AI97" s="159">
        <f t="shared" si="43"/>
        <v>9.2723828909232513E-5</v>
      </c>
      <c r="AJ97" s="159">
        <f t="shared" si="44"/>
        <v>9.4525105100837302E-5</v>
      </c>
      <c r="AK97" s="159">
        <f t="shared" si="45"/>
        <v>9.6353075310772176E-5</v>
      </c>
      <c r="AL97" s="159">
        <f t="shared" si="46"/>
        <v>9.1522385841031497E-5</v>
      </c>
      <c r="AM97" s="159">
        <f t="shared" si="47"/>
        <v>8.857582056494726E-5</v>
      </c>
    </row>
    <row r="98" spans="1:39" hidden="1" outlineLevel="2">
      <c r="A98" s="160" t="s">
        <v>307</v>
      </c>
      <c r="B98" s="133">
        <f>LOOKUP($A98,'GDP data'!$A$2:$A$192,'GDP data'!P$2:P$192)</f>
        <v>7.522756190662605E-2</v>
      </c>
      <c r="C98" s="133">
        <f>LOOKUP($A98,'GDP data'!$A$2:$A$192,'GDP data'!Q$2:Q$192)</f>
        <v>5.1321730265074361E-2</v>
      </c>
      <c r="D98" s="133">
        <f>LOOKUP($A98,'GDP data'!$A$2:$A$192,'GDP data'!R$2:R$192)</f>
        <v>5.5085112646544365E-2</v>
      </c>
      <c r="E98" s="133">
        <f>LOOKUP($A98,'GDP data'!$A$2:$A$192,'GDP data'!S$2:S$192)</f>
        <v>5.6837578781512743E-2</v>
      </c>
      <c r="F98" s="133">
        <f>LOOKUP($A98,'GDP data'!$A$2:$A$192,'GDP data'!T$2:T$192)</f>
        <v>5.6467518752620682E-2</v>
      </c>
      <c r="G98" s="133">
        <f>LOOKUP($A98,'GDP data'!$A$2:$A$192,'GDP data'!U$2:U$192)</f>
        <v>5.4669469475355337E-2</v>
      </c>
      <c r="H98" s="133">
        <f>LOOKUP($A98,'GDP data'!$A$2:$A$192,'GDP data'!V$2:V$192)</f>
        <v>5.2936749087057144E-2</v>
      </c>
      <c r="I98" s="133">
        <f>LOOKUP($A98,'GDP data'!$A$2:$A$192,'GDP data'!W$2:W$192)</f>
        <v>5.2075611564121438E-2</v>
      </c>
      <c r="J98" s="851"/>
      <c r="K98" s="156"/>
      <c r="L98" s="158">
        <f>LOOKUP($A98,'GDP data'!$A$2:$A$192,'GDP data'!D$2:D$192)</f>
        <v>54.927999999999997</v>
      </c>
      <c r="M98" s="158">
        <f>LOOKUP($A98,'GDP data'!$A$2:$A$192,'GDP data'!E$2:E$192)</f>
        <v>57.747</v>
      </c>
      <c r="N98" s="158">
        <f>LOOKUP($A98,'GDP data'!$A$2:$A$192,'GDP data'!F$2:F$192)</f>
        <v>60.927999999999997</v>
      </c>
      <c r="O98" s="158">
        <f>LOOKUP($A98,'GDP data'!$A$2:$A$192,'GDP data'!G$2:G$192)</f>
        <v>64.391000000000005</v>
      </c>
      <c r="P98" s="158">
        <f>LOOKUP($A98,'GDP data'!$A$2:$A$192,'GDP data'!H$2:H$192)</f>
        <v>68.027000000000001</v>
      </c>
      <c r="Q98" s="158">
        <f>LOOKUP($A98,'GDP data'!$A$2:$A$192,'GDP data'!I$2:I$192)</f>
        <v>71.745999999999995</v>
      </c>
      <c r="R98" s="158">
        <f>LOOKUP($A98,'GDP data'!$A$2:$A$192,'GDP data'!J$2:J$192)</f>
        <v>75.543999999999997</v>
      </c>
      <c r="S98" s="158">
        <f>LOOKUP($A98,'GDP data'!$A$2:$A$192,'GDP data'!K$2:K$192)</f>
        <v>79.477999999999994</v>
      </c>
      <c r="T98" s="156"/>
      <c r="U98" s="156"/>
      <c r="V98" s="133">
        <f t="shared" si="23"/>
        <v>1.248034920984107E-3</v>
      </c>
      <c r="W98" s="133">
        <f t="shared" si="24"/>
        <v>1.240798570886766E-3</v>
      </c>
      <c r="X98" s="133">
        <f t="shared" si="25"/>
        <v>1.2417597223877872E-3</v>
      </c>
      <c r="Y98" s="133">
        <f t="shared" si="26"/>
        <v>1.2368895869882537E-3</v>
      </c>
      <c r="Z98" s="133">
        <f t="shared" si="27"/>
        <v>1.2294162196771438E-3</v>
      </c>
      <c r="AA98" s="133">
        <f t="shared" si="28"/>
        <v>1.2188558594984321E-3</v>
      </c>
      <c r="AB98" s="133">
        <f t="shared" si="29"/>
        <v>1.2064357656397906E-3</v>
      </c>
      <c r="AC98" s="133">
        <f t="shared" si="30"/>
        <v>1.1940322724337006E-3</v>
      </c>
      <c r="AD98" s="156"/>
      <c r="AE98" s="156"/>
      <c r="AF98" s="159">
        <f t="shared" si="40"/>
        <v>9.3886624279963053E-5</v>
      </c>
      <c r="AG98" s="159">
        <f t="shared" si="41"/>
        <v>6.367992956834035E-5</v>
      </c>
      <c r="AH98" s="159">
        <f t="shared" si="42"/>
        <v>6.8402474187672919E-5</v>
      </c>
      <c r="AI98" s="159">
        <f t="shared" si="43"/>
        <v>7.030180934447763E-5</v>
      </c>
      <c r="AJ98" s="159">
        <f t="shared" si="44"/>
        <v>6.9422083439395151E-5</v>
      </c>
      <c r="AK98" s="159">
        <f t="shared" si="45"/>
        <v>6.6634203205707523E-5</v>
      </c>
      <c r="AL98" s="159">
        <f t="shared" si="46"/>
        <v>6.3864787415325269E-5</v>
      </c>
      <c r="AM98" s="159">
        <f t="shared" si="47"/>
        <v>6.2179960814282616E-5</v>
      </c>
    </row>
    <row r="99" spans="1:39" hidden="1" outlineLevel="2">
      <c r="A99" s="160" t="s">
        <v>309</v>
      </c>
      <c r="B99" s="133">
        <f>LOOKUP($A99,'GDP data'!$A$2:$A$192,'GDP data'!P$2:P$192)</f>
        <v>1.1518891710585066E-2</v>
      </c>
      <c r="C99" s="133">
        <f>LOOKUP($A99,'GDP data'!$A$2:$A$192,'GDP data'!Q$2:Q$192)</f>
        <v>1.0757816401733011E-2</v>
      </c>
      <c r="D99" s="133">
        <f>LOOKUP($A99,'GDP data'!$A$2:$A$192,'GDP data'!R$2:R$192)</f>
        <v>3.2268259677361799E-2</v>
      </c>
      <c r="E99" s="133">
        <f>LOOKUP($A99,'GDP data'!$A$2:$A$192,'GDP data'!S$2:S$192)</f>
        <v>4.5464150032126449E-2</v>
      </c>
      <c r="F99" s="133">
        <f>LOOKUP($A99,'GDP data'!$A$2:$A$192,'GDP data'!T$2:T$192)</f>
        <v>4.3260188087774321E-2</v>
      </c>
      <c r="G99" s="133">
        <f>LOOKUP($A99,'GDP data'!$A$2:$A$192,'GDP data'!U$2:U$192)</f>
        <v>3.9995571862348145E-2</v>
      </c>
      <c r="H99" s="133">
        <f>LOOKUP($A99,'GDP data'!$A$2:$A$192,'GDP data'!V$2:V$192)</f>
        <v>3.749182646249305E-2</v>
      </c>
      <c r="I99" s="133">
        <f>LOOKUP($A99,'GDP data'!$A$2:$A$192,'GDP data'!W$2:W$192)</f>
        <v>3.5862164994540091E-2</v>
      </c>
      <c r="J99" s="851"/>
      <c r="K99" s="156"/>
      <c r="L99" s="158">
        <f>LOOKUP($A99,'GDP data'!$A$2:$A$192,'GDP data'!D$2:D$192)</f>
        <v>222.25700000000001</v>
      </c>
      <c r="M99" s="158">
        <f>LOOKUP($A99,'GDP data'!$A$2:$A$192,'GDP data'!E$2:E$192)</f>
        <v>224.648</v>
      </c>
      <c r="N99" s="158">
        <f>LOOKUP($A99,'GDP data'!$A$2:$A$192,'GDP data'!F$2:F$192)</f>
        <v>231.89699999999999</v>
      </c>
      <c r="O99" s="158">
        <f>LOOKUP($A99,'GDP data'!$A$2:$A$192,'GDP data'!G$2:G$192)</f>
        <v>242.44</v>
      </c>
      <c r="P99" s="158">
        <f>LOOKUP($A99,'GDP data'!$A$2:$A$192,'GDP data'!H$2:H$192)</f>
        <v>252.928</v>
      </c>
      <c r="Q99" s="158">
        <f>LOOKUP($A99,'GDP data'!$A$2:$A$192,'GDP data'!I$2:I$192)</f>
        <v>263.04399999999998</v>
      </c>
      <c r="R99" s="158">
        <f>LOOKUP($A99,'GDP data'!$A$2:$A$192,'GDP data'!J$2:J$192)</f>
        <v>272.90600000000001</v>
      </c>
      <c r="S99" s="158">
        <f>LOOKUP($A99,'GDP data'!$A$2:$A$192,'GDP data'!K$2:K$192)</f>
        <v>282.69299999999998</v>
      </c>
      <c r="T99" s="156"/>
      <c r="U99" s="156"/>
      <c r="V99" s="133">
        <f t="shared" si="23"/>
        <v>5.0499653625321267E-3</v>
      </c>
      <c r="W99" s="133">
        <f t="shared" si="24"/>
        <v>4.8269679351753371E-3</v>
      </c>
      <c r="X99" s="133">
        <f t="shared" si="25"/>
        <v>4.7262400594564186E-3</v>
      </c>
      <c r="Y99" s="133">
        <f t="shared" si="26"/>
        <v>4.6570407583269744E-3</v>
      </c>
      <c r="Z99" s="133">
        <f t="shared" si="27"/>
        <v>4.5710348186822972E-3</v>
      </c>
      <c r="AA99" s="133">
        <f t="shared" si="28"/>
        <v>4.4687191021925343E-3</v>
      </c>
      <c r="AB99" s="133">
        <f t="shared" si="29"/>
        <v>4.3583019042901178E-3</v>
      </c>
      <c r="AC99" s="133">
        <f t="shared" si="30"/>
        <v>4.247018862969628E-3</v>
      </c>
      <c r="AD99" s="156"/>
      <c r="AE99" s="156"/>
      <c r="AF99" s="159">
        <f t="shared" si="40"/>
        <v>5.8170004153213025E-5</v>
      </c>
      <c r="AG99" s="159">
        <f t="shared" si="41"/>
        <v>5.1927634823668567E-5</v>
      </c>
      <c r="AH99" s="159">
        <f t="shared" si="42"/>
        <v>1.5250754153608959E-4</v>
      </c>
      <c r="AI99" s="159">
        <f t="shared" si="43"/>
        <v>2.117283997423055E-4</v>
      </c>
      <c r="AJ99" s="159">
        <f t="shared" si="44"/>
        <v>1.9774382601196156E-4</v>
      </c>
      <c r="AK99" s="159">
        <f t="shared" si="45"/>
        <v>1.7872897598438938E-4</v>
      </c>
      <c r="AL99" s="159">
        <f t="shared" si="46"/>
        <v>1.634006986667981E-4</v>
      </c>
      <c r="AM99" s="159">
        <f t="shared" si="47"/>
        <v>1.5230729119874086E-4</v>
      </c>
    </row>
    <row r="100" spans="1:39" hidden="1" outlineLevel="2">
      <c r="A100" s="160" t="s">
        <v>310</v>
      </c>
      <c r="B100" s="133">
        <f>LOOKUP($A100,'GDP data'!$A$2:$A$192,'GDP data'!P$2:P$192)</f>
        <v>5.1698078287424121E-2</v>
      </c>
      <c r="C100" s="133">
        <f>LOOKUP($A100,'GDP data'!$A$2:$A$192,'GDP data'!Q$2:Q$192)</f>
        <v>4.2352251063205726E-2</v>
      </c>
      <c r="D100" s="133">
        <f>LOOKUP($A100,'GDP data'!$A$2:$A$192,'GDP data'!R$2:R$192)</f>
        <v>5.5094403331551245E-2</v>
      </c>
      <c r="E100" s="133">
        <f>LOOKUP($A100,'GDP data'!$A$2:$A$192,'GDP data'!S$2:S$192)</f>
        <v>6.1551590793930133E-2</v>
      </c>
      <c r="F100" s="133">
        <f>LOOKUP($A100,'GDP data'!$A$2:$A$192,'GDP data'!T$2:T$192)</f>
        <v>7.3633965582213134E-2</v>
      </c>
      <c r="G100" s="133">
        <f>LOOKUP($A100,'GDP data'!$A$2:$A$192,'GDP data'!U$2:U$192)</f>
        <v>8.1102583302134157E-2</v>
      </c>
      <c r="H100" s="133">
        <f>LOOKUP($A100,'GDP data'!$A$2:$A$192,'GDP data'!V$2:V$192)</f>
        <v>7.7074585515778615E-2</v>
      </c>
      <c r="I100" s="133">
        <f>LOOKUP($A100,'GDP data'!$A$2:$A$192,'GDP data'!W$2:W$192)</f>
        <v>7.3608906215461456E-2</v>
      </c>
      <c r="J100" s="851"/>
      <c r="K100" s="156"/>
      <c r="L100" s="158">
        <f>LOOKUP($A100,'GDP data'!$A$2:$A$192,'GDP data'!D$2:D$192)</f>
        <v>34.094999999999999</v>
      </c>
      <c r="M100" s="158">
        <f>LOOKUP($A100,'GDP data'!$A$2:$A$192,'GDP data'!E$2:E$192)</f>
        <v>35.539000000000001</v>
      </c>
      <c r="N100" s="158">
        <f>LOOKUP($A100,'GDP data'!$A$2:$A$192,'GDP data'!F$2:F$192)</f>
        <v>37.497</v>
      </c>
      <c r="O100" s="158">
        <f>LOOKUP($A100,'GDP data'!$A$2:$A$192,'GDP data'!G$2:G$192)</f>
        <v>39.805</v>
      </c>
      <c r="P100" s="158">
        <f>LOOKUP($A100,'GDP data'!$A$2:$A$192,'GDP data'!H$2:H$192)</f>
        <v>42.735999999999997</v>
      </c>
      <c r="Q100" s="158">
        <f>LOOKUP($A100,'GDP data'!$A$2:$A$192,'GDP data'!I$2:I$192)</f>
        <v>46.201999999999998</v>
      </c>
      <c r="R100" s="158">
        <f>LOOKUP($A100,'GDP data'!$A$2:$A$192,'GDP data'!J$2:J$192)</f>
        <v>49.762999999999998</v>
      </c>
      <c r="S100" s="158">
        <f>LOOKUP($A100,'GDP data'!$A$2:$A$192,'GDP data'!K$2:K$192)</f>
        <v>53.426000000000002</v>
      </c>
      <c r="T100" s="156"/>
      <c r="U100" s="156"/>
      <c r="V100" s="133">
        <f t="shared" si="23"/>
        <v>7.7468232287636774E-4</v>
      </c>
      <c r="W100" s="133">
        <f t="shared" si="24"/>
        <v>7.6361958908245924E-4</v>
      </c>
      <c r="X100" s="133">
        <f t="shared" si="25"/>
        <v>7.6421783597647812E-4</v>
      </c>
      <c r="Y100" s="133">
        <f t="shared" si="26"/>
        <v>7.6461601792280655E-4</v>
      </c>
      <c r="Z100" s="133">
        <f t="shared" si="27"/>
        <v>7.7234526826293109E-4</v>
      </c>
      <c r="AA100" s="133">
        <f t="shared" si="28"/>
        <v>7.8490199342885411E-4</v>
      </c>
      <c r="AB100" s="133">
        <f t="shared" si="29"/>
        <v>7.9471384895601102E-4</v>
      </c>
      <c r="AC100" s="133">
        <f t="shared" si="30"/>
        <v>8.0264184034629579E-4</v>
      </c>
      <c r="AD100" s="156"/>
      <c r="AE100" s="156"/>
      <c r="AF100" s="159">
        <f t="shared" si="40"/>
        <v>4.0049587375946027E-5</v>
      </c>
      <c r="AG100" s="159">
        <f t="shared" si="41"/>
        <v>3.2341008553602306E-5</v>
      </c>
      <c r="AH100" s="159">
        <f t="shared" si="42"/>
        <v>4.2104125688453361E-5</v>
      </c>
      <c r="AI100" s="159">
        <f t="shared" si="43"/>
        <v>4.7063332249668939E-5</v>
      </c>
      <c r="AJ100" s="159">
        <f t="shared" si="44"/>
        <v>5.6870844900857837E-5</v>
      </c>
      <c r="AK100" s="159">
        <f t="shared" si="45"/>
        <v>6.3657579306074794E-5</v>
      </c>
      <c r="AL100" s="159">
        <f t="shared" si="46"/>
        <v>6.1252240511933641E-5</v>
      </c>
      <c r="AM100" s="159">
        <f t="shared" si="47"/>
        <v>5.9081587950655873E-5</v>
      </c>
    </row>
    <row r="101" spans="1:39" hidden="1" outlineLevel="2">
      <c r="A101" s="160" t="s">
        <v>311</v>
      </c>
      <c r="B101" s="133">
        <f>LOOKUP($A101,'GDP data'!$A$2:$A$192,'GDP data'!P$2:P$192)</f>
        <v>7.5952145757875122E-2</v>
      </c>
      <c r="C101" s="133">
        <f>LOOKUP($A101,'GDP data'!$A$2:$A$192,'GDP data'!Q$2:Q$192)</f>
        <v>4.0650821177190544E-2</v>
      </c>
      <c r="D101" s="133">
        <f>LOOKUP($A101,'GDP data'!$A$2:$A$192,'GDP data'!R$2:R$192)</f>
        <v>3.5779052100181286E-2</v>
      </c>
      <c r="E101" s="133">
        <f>LOOKUP($A101,'GDP data'!$A$2:$A$192,'GDP data'!S$2:S$192)</f>
        <v>6.3171343396583479E-2</v>
      </c>
      <c r="F101" s="133">
        <f>LOOKUP($A101,'GDP data'!$A$2:$A$192,'GDP data'!T$2:T$192)</f>
        <v>7.041125155777106E-2</v>
      </c>
      <c r="G101" s="133">
        <f>LOOKUP($A101,'GDP data'!$A$2:$A$192,'GDP data'!U$2:U$192)</f>
        <v>7.7505197505197465E-2</v>
      </c>
      <c r="H101" s="133">
        <f>LOOKUP($A101,'GDP data'!$A$2:$A$192,'GDP data'!V$2:V$192)</f>
        <v>7.7178359188083689E-2</v>
      </c>
      <c r="I101" s="133">
        <f>LOOKUP($A101,'GDP data'!$A$2:$A$192,'GDP data'!W$2:W$192)</f>
        <v>7.6914809772873793E-2</v>
      </c>
      <c r="J101" s="851"/>
      <c r="K101" s="156"/>
      <c r="L101" s="158">
        <f>LOOKUP($A101,'GDP data'!$A$2:$A$192,'GDP data'!D$2:D$192)</f>
        <v>19.606000000000002</v>
      </c>
      <c r="M101" s="158">
        <f>LOOKUP($A101,'GDP data'!$A$2:$A$192,'GDP data'!E$2:E$192)</f>
        <v>20.402999999999999</v>
      </c>
      <c r="N101" s="158">
        <f>LOOKUP($A101,'GDP data'!$A$2:$A$192,'GDP data'!F$2:F$192)</f>
        <v>21.132999999999999</v>
      </c>
      <c r="O101" s="158">
        <f>LOOKUP($A101,'GDP data'!$A$2:$A$192,'GDP data'!G$2:G$192)</f>
        <v>22.468</v>
      </c>
      <c r="P101" s="158">
        <f>LOOKUP($A101,'GDP data'!$A$2:$A$192,'GDP data'!H$2:H$192)</f>
        <v>24.05</v>
      </c>
      <c r="Q101" s="158">
        <f>LOOKUP($A101,'GDP data'!$A$2:$A$192,'GDP data'!I$2:I$192)</f>
        <v>25.914000000000001</v>
      </c>
      <c r="R101" s="158">
        <f>LOOKUP($A101,'GDP data'!$A$2:$A$192,'GDP data'!J$2:J$192)</f>
        <v>27.914000000000001</v>
      </c>
      <c r="S101" s="158">
        <f>LOOKUP($A101,'GDP data'!$A$2:$A$192,'GDP data'!K$2:K$192)</f>
        <v>30.061</v>
      </c>
      <c r="T101" s="156"/>
      <c r="U101" s="156"/>
      <c r="V101" s="133">
        <f t="shared" si="23"/>
        <v>4.4547357742525496E-4</v>
      </c>
      <c r="W101" s="133">
        <f t="shared" si="24"/>
        <v>4.3839529744926461E-4</v>
      </c>
      <c r="X101" s="133">
        <f t="shared" si="25"/>
        <v>4.3070687062140737E-4</v>
      </c>
      <c r="Y101" s="133">
        <f t="shared" si="26"/>
        <v>4.3158881272929576E-4</v>
      </c>
      <c r="Z101" s="133">
        <f t="shared" si="27"/>
        <v>4.3464301061689199E-4</v>
      </c>
      <c r="AA101" s="133">
        <f t="shared" si="28"/>
        <v>4.4023960559532761E-4</v>
      </c>
      <c r="AB101" s="133">
        <f t="shared" si="29"/>
        <v>4.4578587263143486E-4</v>
      </c>
      <c r="AC101" s="133">
        <f t="shared" si="30"/>
        <v>4.5161936814753107E-4</v>
      </c>
      <c r="AD101" s="156"/>
      <c r="AE101" s="156"/>
      <c r="AF101" s="159">
        <f t="shared" si="40"/>
        <v>3.3834674083885032E-5</v>
      </c>
      <c r="AG101" s="159">
        <f t="shared" si="41"/>
        <v>1.7821128841531314E-5</v>
      </c>
      <c r="AH101" s="159">
        <f t="shared" si="42"/>
        <v>1.5410283563869376E-5</v>
      </c>
      <c r="AI101" s="159">
        <f t="shared" si="43"/>
        <v>2.7264045095046101E-5</v>
      </c>
      <c r="AJ101" s="159">
        <f t="shared" si="44"/>
        <v>3.0603758358372937E-5</v>
      </c>
      <c r="AK101" s="159">
        <f t="shared" si="45"/>
        <v>3.4120857581276099E-5</v>
      </c>
      <c r="AL101" s="159">
        <f t="shared" si="46"/>
        <v>3.4405022198922205E-5</v>
      </c>
      <c r="AM101" s="159">
        <f t="shared" si="47"/>
        <v>3.473621779081281E-5</v>
      </c>
    </row>
    <row r="102" spans="1:39" hidden="1" outlineLevel="2">
      <c r="A102" s="160" t="s">
        <v>314</v>
      </c>
      <c r="B102" s="133">
        <f>LOOKUP($A102,'GDP data'!$A$2:$A$192,'GDP data'!P$2:P$192)</f>
        <v>8.9645928008631248E-2</v>
      </c>
      <c r="C102" s="133">
        <f>LOOKUP($A102,'GDP data'!$A$2:$A$192,'GDP data'!Q$2:Q$192)</f>
        <v>7.1109244201746247E-2</v>
      </c>
      <c r="D102" s="133">
        <f>LOOKUP($A102,'GDP data'!$A$2:$A$192,'GDP data'!R$2:R$192)</f>
        <v>7.1374548306675223E-2</v>
      </c>
      <c r="E102" s="133">
        <f>LOOKUP($A102,'GDP data'!$A$2:$A$192,'GDP data'!S$2:S$192)</f>
        <v>7.1352001464167092E-2</v>
      </c>
      <c r="F102" s="133">
        <f>LOOKUP($A102,'GDP data'!$A$2:$A$192,'GDP data'!T$2:T$192)</f>
        <v>7.0382663022257042E-2</v>
      </c>
      <c r="G102" s="133">
        <f>LOOKUP($A102,'GDP data'!$A$2:$A$192,'GDP data'!U$2:U$192)</f>
        <v>6.9334245326037491E-2</v>
      </c>
      <c r="H102" s="133">
        <f>LOOKUP($A102,'GDP data'!$A$2:$A$192,'GDP data'!V$2:V$192)</f>
        <v>6.9039039679324565E-2</v>
      </c>
      <c r="I102" s="133">
        <f>LOOKUP($A102,'GDP data'!$A$2:$A$192,'GDP data'!W$2:W$192)</f>
        <v>6.872893356469012E-2</v>
      </c>
      <c r="J102" s="851"/>
      <c r="K102" s="156"/>
      <c r="L102" s="158">
        <f>LOOKUP($A102,'GDP data'!$A$2:$A$192,'GDP data'!D$2:D$192)</f>
        <v>33.329000000000001</v>
      </c>
      <c r="M102" s="158">
        <f>LOOKUP($A102,'GDP data'!$A$2:$A$192,'GDP data'!E$2:E$192)</f>
        <v>35.698999999999998</v>
      </c>
      <c r="N102" s="158">
        <f>LOOKUP($A102,'GDP data'!$A$2:$A$192,'GDP data'!F$2:F$192)</f>
        <v>38.247</v>
      </c>
      <c r="O102" s="158">
        <f>LOOKUP($A102,'GDP data'!$A$2:$A$192,'GDP data'!G$2:G$192)</f>
        <v>40.975999999999999</v>
      </c>
      <c r="P102" s="158">
        <f>LOOKUP($A102,'GDP data'!$A$2:$A$192,'GDP data'!H$2:H$192)</f>
        <v>43.86</v>
      </c>
      <c r="Q102" s="158">
        <f>LOOKUP($A102,'GDP data'!$A$2:$A$192,'GDP data'!I$2:I$192)</f>
        <v>46.901000000000003</v>
      </c>
      <c r="R102" s="158">
        <f>LOOKUP($A102,'GDP data'!$A$2:$A$192,'GDP data'!J$2:J$192)</f>
        <v>50.139000000000003</v>
      </c>
      <c r="S102" s="158">
        <f>LOOKUP($A102,'GDP data'!$A$2:$A$192,'GDP data'!K$2:K$192)</f>
        <v>53.585000000000001</v>
      </c>
      <c r="T102" s="156"/>
      <c r="U102" s="156"/>
      <c r="V102" s="133">
        <f t="shared" si="23"/>
        <v>7.5727781607703363E-4</v>
      </c>
      <c r="W102" s="133">
        <f t="shared" si="24"/>
        <v>7.6705747800035764E-4</v>
      </c>
      <c r="X102" s="133">
        <f t="shared" si="25"/>
        <v>7.7950341554237294E-4</v>
      </c>
      <c r="Y102" s="133">
        <f t="shared" si="26"/>
        <v>7.8710980907938501E-4</v>
      </c>
      <c r="Z102" s="133">
        <f t="shared" si="27"/>
        <v>7.9265872954914268E-4</v>
      </c>
      <c r="AA102" s="133">
        <f t="shared" si="28"/>
        <v>7.9677694458695923E-4</v>
      </c>
      <c r="AB102" s="133">
        <f t="shared" si="29"/>
        <v>8.0071855942779647E-4</v>
      </c>
      <c r="AC102" s="133">
        <f t="shared" si="30"/>
        <v>8.0503056592214008E-4</v>
      </c>
      <c r="AD102" s="156"/>
      <c r="AE102" s="156"/>
      <c r="AF102" s="159">
        <f t="shared" si="40"/>
        <v>6.7886872582575253E-5</v>
      </c>
      <c r="AG102" s="159">
        <f t="shared" si="41"/>
        <v>5.4544877519903033E-5</v>
      </c>
      <c r="AH102" s="159">
        <f t="shared" si="42"/>
        <v>5.5636704187847425E-5</v>
      </c>
      <c r="AI102" s="159">
        <f t="shared" si="43"/>
        <v>5.616186024989256E-5</v>
      </c>
      <c r="AJ102" s="159">
        <f t="shared" si="44"/>
        <v>5.578943225350769E-5</v>
      </c>
      <c r="AK102" s="159">
        <f t="shared" si="45"/>
        <v>5.524392814612281E-5</v>
      </c>
      <c r="AL102" s="159">
        <f t="shared" si="46"/>
        <v>5.5280840396307245E-5</v>
      </c>
      <c r="AM102" s="159">
        <f t="shared" si="47"/>
        <v>5.5328892282807655E-5</v>
      </c>
    </row>
    <row r="103" spans="1:39" hidden="1" outlineLevel="2">
      <c r="A103" s="160" t="s">
        <v>315</v>
      </c>
      <c r="B103" s="133">
        <f>LOOKUP($A103,'GDP data'!$A$2:$A$192,'GDP data'!P$2:P$192)</f>
        <v>0.1010732137606587</v>
      </c>
      <c r="C103" s="133">
        <f>LOOKUP($A103,'GDP data'!$A$2:$A$192,'GDP data'!Q$2:Q$192)</f>
        <v>8.2248481207023216E-2</v>
      </c>
      <c r="D103" s="133">
        <f>LOOKUP($A103,'GDP data'!$A$2:$A$192,'GDP data'!R$2:R$192)</f>
        <v>6.859539818641669E-2</v>
      </c>
      <c r="E103" s="133">
        <f>LOOKUP($A103,'GDP data'!$A$2:$A$192,'GDP data'!S$2:S$192)</f>
        <v>6.9733879812965416E-2</v>
      </c>
      <c r="F103" s="133">
        <f>LOOKUP($A103,'GDP data'!$A$2:$A$192,'GDP data'!T$2:T$192)</f>
        <v>6.4216717932113809E-2</v>
      </c>
      <c r="G103" s="133">
        <f>LOOKUP($A103,'GDP data'!$A$2:$A$192,'GDP data'!U$2:U$192)</f>
        <v>6.0189645555499327E-2</v>
      </c>
      <c r="H103" s="133">
        <f>LOOKUP($A103,'GDP data'!$A$2:$A$192,'GDP data'!V$2:V$192)</f>
        <v>5.7011670174096141E-2</v>
      </c>
      <c r="I103" s="133">
        <f>LOOKUP($A103,'GDP data'!$A$2:$A$192,'GDP data'!W$2:W$192)</f>
        <v>5.4298642533936681E-2</v>
      </c>
      <c r="J103" s="851"/>
      <c r="K103" s="156"/>
      <c r="L103" s="158">
        <f>LOOKUP($A103,'GDP data'!$A$2:$A$192,'GDP data'!D$2:D$192)</f>
        <v>14.978999999999999</v>
      </c>
      <c r="M103" s="158">
        <f>LOOKUP($A103,'GDP data'!$A$2:$A$192,'GDP data'!E$2:E$192)</f>
        <v>16.210999999999999</v>
      </c>
      <c r="N103" s="158">
        <f>LOOKUP($A103,'GDP data'!$A$2:$A$192,'GDP data'!F$2:F$192)</f>
        <v>17.323</v>
      </c>
      <c r="O103" s="158">
        <f>LOOKUP($A103,'GDP data'!$A$2:$A$192,'GDP data'!G$2:G$192)</f>
        <v>18.530999999999999</v>
      </c>
      <c r="P103" s="158">
        <f>LOOKUP($A103,'GDP data'!$A$2:$A$192,'GDP data'!H$2:H$192)</f>
        <v>19.721</v>
      </c>
      <c r="Q103" s="158">
        <f>LOOKUP($A103,'GDP data'!$A$2:$A$192,'GDP data'!I$2:I$192)</f>
        <v>20.908000000000001</v>
      </c>
      <c r="R103" s="158">
        <f>LOOKUP($A103,'GDP data'!$A$2:$A$192,'GDP data'!J$2:J$192)</f>
        <v>22.1</v>
      </c>
      <c r="S103" s="158">
        <f>LOOKUP($A103,'GDP data'!$A$2:$A$192,'GDP data'!K$2:K$192)</f>
        <v>23.3</v>
      </c>
      <c r="T103" s="156"/>
      <c r="U103" s="156"/>
      <c r="V103" s="133">
        <f t="shared" si="23"/>
        <v>3.4034217669350671E-4</v>
      </c>
      <c r="W103" s="133">
        <f t="shared" si="24"/>
        <v>3.4832260780032486E-4</v>
      </c>
      <c r="X103" s="133">
        <f t="shared" si="25"/>
        <v>3.530561264266616E-4</v>
      </c>
      <c r="Y103" s="133">
        <f t="shared" si="26"/>
        <v>3.5596280437451391E-4</v>
      </c>
      <c r="Z103" s="133">
        <f t="shared" si="27"/>
        <v>3.564072687058514E-4</v>
      </c>
      <c r="AA103" s="133">
        <f t="shared" si="28"/>
        <v>3.5519524866045805E-4</v>
      </c>
      <c r="AB103" s="133">
        <f t="shared" si="29"/>
        <v>3.5293643996398618E-4</v>
      </c>
      <c r="AC103" s="133">
        <f t="shared" si="30"/>
        <v>3.5004594916461442E-4</v>
      </c>
      <c r="AD103" s="156"/>
      <c r="AE103" s="156"/>
      <c r="AF103" s="159">
        <f t="shared" si="40"/>
        <v>3.4399477576710675E-5</v>
      </c>
      <c r="AG103" s="159">
        <f t="shared" si="41"/>
        <v>2.8649005461646336E-5</v>
      </c>
      <c r="AH103" s="159">
        <f t="shared" si="42"/>
        <v>2.4218025574390723E-5</v>
      </c>
      <c r="AI103" s="159">
        <f t="shared" si="43"/>
        <v>2.4822667418138473E-5</v>
      </c>
      <c r="AJ103" s="159">
        <f t="shared" si="44"/>
        <v>2.2887305043438754E-5</v>
      </c>
      <c r="AK103" s="159">
        <f t="shared" si="45"/>
        <v>2.1379076119870416E-5</v>
      </c>
      <c r="AL103" s="159">
        <f t="shared" si="46"/>
        <v>2.0121495907646462E-5</v>
      </c>
      <c r="AM103" s="159">
        <f t="shared" si="47"/>
        <v>1.9007019864141971E-5</v>
      </c>
    </row>
    <row r="104" spans="1:39" hidden="1" outlineLevel="2">
      <c r="A104" s="160" t="s">
        <v>317</v>
      </c>
      <c r="B104" s="133">
        <f>LOOKUP($A104,'GDP data'!$A$2:$A$192,'GDP data'!P$2:P$192)</f>
        <v>7.4720142847331861E-2</v>
      </c>
      <c r="C104" s="133">
        <f>LOOKUP($A104,'GDP data'!$A$2:$A$192,'GDP data'!Q$2:Q$192)</f>
        <v>2.0129081730462017E-2</v>
      </c>
      <c r="D104" s="133">
        <f>LOOKUP($A104,'GDP data'!$A$2:$A$192,'GDP data'!R$2:R$192)</f>
        <v>3.038085692808834E-2</v>
      </c>
      <c r="E104" s="133">
        <f>LOOKUP($A104,'GDP data'!$A$2:$A$192,'GDP data'!S$2:S$192)</f>
        <v>5.5687275822238202E-2</v>
      </c>
      <c r="F104" s="133">
        <f>LOOKUP($A104,'GDP data'!$A$2:$A$192,'GDP data'!T$2:T$192)</f>
        <v>5.0331125827814738E-2</v>
      </c>
      <c r="G104" s="133">
        <f>LOOKUP($A104,'GDP data'!$A$2:$A$192,'GDP data'!U$2:U$192)</f>
        <v>6.8369976424146106E-2</v>
      </c>
      <c r="H104" s="133">
        <f>LOOKUP($A104,'GDP data'!$A$2:$A$192,'GDP data'!V$2:V$192)</f>
        <v>7.441239864518101E-2</v>
      </c>
      <c r="I104" s="133">
        <f>LOOKUP($A104,'GDP data'!$A$2:$A$192,'GDP data'!W$2:W$192)</f>
        <v>6.7157050057317536E-2</v>
      </c>
      <c r="J104" s="851"/>
      <c r="K104" s="156"/>
      <c r="L104" s="158">
        <f>LOOKUP($A104,'GDP data'!$A$2:$A$192,'GDP data'!D$2:D$192)</f>
        <v>15.648999999999999</v>
      </c>
      <c r="M104" s="158">
        <f>LOOKUP($A104,'GDP data'!$A$2:$A$192,'GDP data'!E$2:E$192)</f>
        <v>15.964</v>
      </c>
      <c r="N104" s="158">
        <f>LOOKUP($A104,'GDP data'!$A$2:$A$192,'GDP data'!F$2:F$192)</f>
        <v>16.449000000000002</v>
      </c>
      <c r="O104" s="158">
        <f>LOOKUP($A104,'GDP data'!$A$2:$A$192,'GDP data'!G$2:G$192)</f>
        <v>17.364999999999998</v>
      </c>
      <c r="P104" s="158">
        <f>LOOKUP($A104,'GDP data'!$A$2:$A$192,'GDP data'!H$2:H$192)</f>
        <v>18.239000000000001</v>
      </c>
      <c r="Q104" s="158">
        <f>LOOKUP($A104,'GDP data'!$A$2:$A$192,'GDP data'!I$2:I$192)</f>
        <v>19.486000000000001</v>
      </c>
      <c r="R104" s="158">
        <f>LOOKUP($A104,'GDP data'!$A$2:$A$192,'GDP data'!J$2:J$192)</f>
        <v>20.936</v>
      </c>
      <c r="S104" s="158">
        <f>LOOKUP($A104,'GDP data'!$A$2:$A$192,'GDP data'!K$2:K$192)</f>
        <v>22.341999999999999</v>
      </c>
      <c r="T104" s="156"/>
      <c r="U104" s="156"/>
      <c r="V104" s="133">
        <f t="shared" si="23"/>
        <v>3.5556543982086166E-4</v>
      </c>
      <c r="W104" s="133">
        <f t="shared" si="24"/>
        <v>3.4301536678331917E-4</v>
      </c>
      <c r="X104" s="133">
        <f t="shared" si="25"/>
        <v>3.3524333103920553E-4</v>
      </c>
      <c r="Y104" s="133">
        <f t="shared" si="26"/>
        <v>3.3356505844063647E-4</v>
      </c>
      <c r="Z104" s="133">
        <f t="shared" si="27"/>
        <v>3.2962386156513485E-4</v>
      </c>
      <c r="AA104" s="133">
        <f t="shared" si="28"/>
        <v>3.3103762269933449E-4</v>
      </c>
      <c r="AB104" s="133">
        <f t="shared" si="29"/>
        <v>3.3434738946090561E-4</v>
      </c>
      <c r="AC104" s="133">
        <f t="shared" si="30"/>
        <v>3.3565350198436975E-4</v>
      </c>
      <c r="AD104" s="156"/>
      <c r="AE104" s="156"/>
      <c r="AF104" s="159">
        <f t="shared" si="40"/>
        <v>2.6567900454989162E-5</v>
      </c>
      <c r="AG104" s="159">
        <f t="shared" si="41"/>
        <v>6.9045843527858381E-6</v>
      </c>
      <c r="AH104" s="159">
        <f t="shared" si="42"/>
        <v>1.0184979676397861E-5</v>
      </c>
      <c r="AI104" s="159">
        <f t="shared" si="43"/>
        <v>1.8575329414044728E-5</v>
      </c>
      <c r="AJ104" s="159">
        <f t="shared" si="44"/>
        <v>1.6590340052284988E-5</v>
      </c>
      <c r="AK104" s="159">
        <f t="shared" si="45"/>
        <v>2.2633034459458871E-5</v>
      </c>
      <c r="AL104" s="159">
        <f t="shared" si="46"/>
        <v>2.4879591230540501E-5</v>
      </c>
      <c r="AM104" s="159">
        <f t="shared" si="47"/>
        <v>2.2541499034678249E-5</v>
      </c>
    </row>
    <row r="105" spans="1:39" hidden="1" outlineLevel="2">
      <c r="A105" s="160" t="s">
        <v>318</v>
      </c>
      <c r="B105" s="133">
        <f>LOOKUP($A105,'GDP data'!$A$2:$A$192,'GDP data'!P$2:P$192)</f>
        <v>5.4839864018607853E-2</v>
      </c>
      <c r="C105" s="133">
        <f>LOOKUP($A105,'GDP data'!$A$2:$A$192,'GDP data'!Q$2:Q$192)</f>
        <v>4.6221694512764033E-2</v>
      </c>
      <c r="D105" s="133">
        <f>LOOKUP($A105,'GDP data'!$A$2:$A$192,'GDP data'!R$2:R$192)</f>
        <v>5.2245460440985658E-2</v>
      </c>
      <c r="E105" s="133">
        <f>LOOKUP($A105,'GDP data'!$A$2:$A$192,'GDP data'!S$2:S$192)</f>
        <v>5.7124147760101662E-2</v>
      </c>
      <c r="F105" s="133">
        <f>LOOKUP($A105,'GDP data'!$A$2:$A$192,'GDP data'!T$2:T$192)</f>
        <v>6.0085993295438067E-2</v>
      </c>
      <c r="G105" s="133">
        <f>LOOKUP($A105,'GDP data'!$A$2:$A$192,'GDP data'!U$2:U$192)</f>
        <v>6.3279826762451474E-2</v>
      </c>
      <c r="H105" s="133">
        <f>LOOKUP($A105,'GDP data'!$A$2:$A$192,'GDP data'!V$2:V$192)</f>
        <v>6.2940453869528623E-2</v>
      </c>
      <c r="I105" s="133">
        <f>LOOKUP($A105,'GDP data'!$A$2:$A$192,'GDP data'!W$2:W$192)</f>
        <v>6.2315623004166598E-2</v>
      </c>
      <c r="J105" s="851"/>
      <c r="K105" s="156"/>
      <c r="L105" s="158">
        <f>LOOKUP($A105,'GDP data'!$A$2:$A$192,'GDP data'!D$2:D$192)</f>
        <v>23.582000000000001</v>
      </c>
      <c r="M105" s="158">
        <f>LOOKUP($A105,'GDP data'!$A$2:$A$192,'GDP data'!E$2:E$192)</f>
        <v>24.672000000000001</v>
      </c>
      <c r="N105" s="158">
        <f>LOOKUP($A105,'GDP data'!$A$2:$A$192,'GDP data'!F$2:F$192)</f>
        <v>25.960999999999999</v>
      </c>
      <c r="O105" s="158">
        <f>LOOKUP($A105,'GDP data'!$A$2:$A$192,'GDP data'!G$2:G$192)</f>
        <v>27.443999999999999</v>
      </c>
      <c r="P105" s="158">
        <f>LOOKUP($A105,'GDP data'!$A$2:$A$192,'GDP data'!H$2:H$192)</f>
        <v>29.093</v>
      </c>
      <c r="Q105" s="158">
        <f>LOOKUP($A105,'GDP data'!$A$2:$A$192,'GDP data'!I$2:I$192)</f>
        <v>30.934000000000001</v>
      </c>
      <c r="R105" s="158">
        <f>LOOKUP($A105,'GDP data'!$A$2:$A$192,'GDP data'!J$2:J$192)</f>
        <v>32.881</v>
      </c>
      <c r="S105" s="158">
        <f>LOOKUP($A105,'GDP data'!$A$2:$A$192,'GDP data'!K$2:K$192)</f>
        <v>34.93</v>
      </c>
      <c r="T105" s="156"/>
      <c r="U105" s="156"/>
      <c r="V105" s="133">
        <f t="shared" si="23"/>
        <v>5.3581341950639403E-4</v>
      </c>
      <c r="W105" s="133">
        <f t="shared" si="24"/>
        <v>5.3012247113994298E-4</v>
      </c>
      <c r="X105" s="133">
        <f t="shared" si="25"/>
        <v>5.2910524148026101E-4</v>
      </c>
      <c r="Y105" s="133">
        <f t="shared" si="26"/>
        <v>5.2717301836134915E-4</v>
      </c>
      <c r="Z105" s="133">
        <f t="shared" si="27"/>
        <v>5.2578249928803488E-4</v>
      </c>
      <c r="AA105" s="133">
        <f t="shared" si="28"/>
        <v>5.2552180132306339E-4</v>
      </c>
      <c r="AB105" s="133">
        <f t="shared" si="29"/>
        <v>5.251087367627072E-4</v>
      </c>
      <c r="AC105" s="133">
        <f t="shared" si="30"/>
        <v>5.247684551210293E-4</v>
      </c>
      <c r="AD105" s="156"/>
      <c r="AE105" s="156"/>
      <c r="AF105" s="159">
        <f t="shared" si="40"/>
        <v>2.9383935065075933E-5</v>
      </c>
      <c r="AG105" s="159">
        <f t="shared" si="41"/>
        <v>2.4503158915382012E-5</v>
      </c>
      <c r="AH105" s="159">
        <f t="shared" si="42"/>
        <v>2.7643346962875141E-5</v>
      </c>
      <c r="AI105" s="159">
        <f t="shared" si="43"/>
        <v>3.0114309396012496E-5</v>
      </c>
      <c r="AJ105" s="159">
        <f t="shared" si="44"/>
        <v>3.1592163727079534E-5</v>
      </c>
      <c r="AK105" s="159">
        <f t="shared" si="45"/>
        <v>3.3254928547614894E-5</v>
      </c>
      <c r="AL105" s="159">
        <f t="shared" si="46"/>
        <v>3.3050582222699621E-5</v>
      </c>
      <c r="AM105" s="159">
        <f t="shared" si="47"/>
        <v>3.270127321380098E-5</v>
      </c>
    </row>
    <row r="106" spans="1:39" hidden="1" outlineLevel="2">
      <c r="A106" s="160" t="s">
        <v>321</v>
      </c>
      <c r="B106" s="133">
        <f>LOOKUP($A106,'GDP data'!$A$2:$A$192,'GDP data'!P$2:P$192)</f>
        <v>6.6746411483253665E-2</v>
      </c>
      <c r="C106" s="133">
        <f>LOOKUP($A106,'GDP data'!$A$2:$A$192,'GDP data'!Q$2:Q$192)</f>
        <v>6.8400986768333283E-3</v>
      </c>
      <c r="D106" s="133">
        <f>LOOKUP($A106,'GDP data'!$A$2:$A$192,'GDP data'!R$2:R$192)</f>
        <v>5.5963915803541653E-2</v>
      </c>
      <c r="E106" s="133">
        <f>LOOKUP($A106,'GDP data'!$A$2:$A$192,'GDP data'!S$2:S$192)</f>
        <v>5.8113167747719352E-2</v>
      </c>
      <c r="F106" s="133">
        <f>LOOKUP($A106,'GDP data'!$A$2:$A$192,'GDP data'!T$2:T$192)</f>
        <v>5.711437827062027E-2</v>
      </c>
      <c r="G106" s="133">
        <f>LOOKUP($A106,'GDP data'!$A$2:$A$192,'GDP data'!U$2:U$192)</f>
        <v>6.0157465466031734E-2</v>
      </c>
      <c r="H106" s="133">
        <f>LOOKUP($A106,'GDP data'!$A$2:$A$192,'GDP data'!V$2:V$192)</f>
        <v>5.9856806154667153E-2</v>
      </c>
      <c r="I106" s="133">
        <f>LOOKUP($A106,'GDP data'!$A$2:$A$192,'GDP data'!W$2:W$192)</f>
        <v>6.0588259975664194E-2</v>
      </c>
      <c r="J106" s="851"/>
      <c r="K106" s="156"/>
      <c r="L106" s="158">
        <f>LOOKUP($A106,'GDP data'!$A$2:$A$192,'GDP data'!D$2:D$192)</f>
        <v>17.835999999999999</v>
      </c>
      <c r="M106" s="158">
        <f>LOOKUP($A106,'GDP data'!$A$2:$A$192,'GDP data'!E$2:E$192)</f>
        <v>17.957999999999998</v>
      </c>
      <c r="N106" s="158">
        <f>LOOKUP($A106,'GDP data'!$A$2:$A$192,'GDP data'!F$2:F$192)</f>
        <v>18.963000000000001</v>
      </c>
      <c r="O106" s="158">
        <f>LOOKUP($A106,'GDP data'!$A$2:$A$192,'GDP data'!G$2:G$192)</f>
        <v>20.065000000000001</v>
      </c>
      <c r="P106" s="158">
        <f>LOOKUP($A106,'GDP data'!$A$2:$A$192,'GDP data'!H$2:H$192)</f>
        <v>21.210999999999999</v>
      </c>
      <c r="Q106" s="158">
        <f>LOOKUP($A106,'GDP data'!$A$2:$A$192,'GDP data'!I$2:I$192)</f>
        <v>22.486999999999998</v>
      </c>
      <c r="R106" s="158">
        <f>LOOKUP($A106,'GDP data'!$A$2:$A$192,'GDP data'!J$2:J$192)</f>
        <v>23.832999999999998</v>
      </c>
      <c r="S106" s="158">
        <f>LOOKUP($A106,'GDP data'!$A$2:$A$192,'GDP data'!K$2:K$192)</f>
        <v>25.277000000000001</v>
      </c>
      <c r="T106" s="156"/>
      <c r="U106" s="156"/>
      <c r="V106" s="133">
        <f t="shared" si="23"/>
        <v>4.0525689722313812E-4</v>
      </c>
      <c r="W106" s="133">
        <f t="shared" si="24"/>
        <v>3.8586005742262874E-4</v>
      </c>
      <c r="X106" s="133">
        <f t="shared" si="25"/>
        <v>3.8648059374408501E-4</v>
      </c>
      <c r="Y106" s="133">
        <f t="shared" si="26"/>
        <v>3.8542947869918637E-4</v>
      </c>
      <c r="Z106" s="133">
        <f t="shared" si="27"/>
        <v>3.8333525564219936E-4</v>
      </c>
      <c r="AA106" s="133">
        <f t="shared" si="28"/>
        <v>3.8202006679872389E-4</v>
      </c>
      <c r="AB106" s="133">
        <f t="shared" si="29"/>
        <v>3.8061240604803987E-4</v>
      </c>
      <c r="AC106" s="133">
        <f t="shared" si="30"/>
        <v>3.7974727283407548E-4</v>
      </c>
      <c r="AD106" s="156"/>
      <c r="AE106" s="156"/>
      <c r="AF106" s="159">
        <f t="shared" si="40"/>
        <v>2.7049443618482218E-5</v>
      </c>
      <c r="AG106" s="159">
        <f t="shared" si="41"/>
        <v>2.639320868219355E-6</v>
      </c>
      <c r="AH106" s="159">
        <f t="shared" si="42"/>
        <v>2.1628967407996762E-5</v>
      </c>
      <c r="AI106" s="159">
        <f t="shared" si="43"/>
        <v>2.239852795056184E-5</v>
      </c>
      <c r="AJ106" s="159">
        <f t="shared" si="44"/>
        <v>2.1893954795213496E-5</v>
      </c>
      <c r="AK106" s="159">
        <f t="shared" si="45"/>
        <v>2.298135897577537E-5</v>
      </c>
      <c r="AL106" s="159">
        <f t="shared" si="46"/>
        <v>2.2782243008878987E-5</v>
      </c>
      <c r="AM106" s="159">
        <f t="shared" si="47"/>
        <v>2.3008226491520445E-5</v>
      </c>
    </row>
    <row r="107" spans="1:39" hidden="1" outlineLevel="2">
      <c r="A107" s="160" t="s">
        <v>323</v>
      </c>
      <c r="B107" s="133">
        <f>LOOKUP($A107,'GDP data'!$A$2:$A$192,'GDP data'!P$2:P$192)</f>
        <v>3.6093648384998733E-2</v>
      </c>
      <c r="C107" s="133">
        <f>LOOKUP($A107,'GDP data'!$A$2:$A$192,'GDP data'!Q$2:Q$192)</f>
        <v>4.5297625274610454E-2</v>
      </c>
      <c r="D107" s="133">
        <f>LOOKUP($A107,'GDP data'!$A$2:$A$192,'GDP data'!R$2:R$192)</f>
        <v>3.7630104083266502E-2</v>
      </c>
      <c r="E107" s="133">
        <f>LOOKUP($A107,'GDP data'!$A$2:$A$192,'GDP data'!S$2:S$192)</f>
        <v>4.7646604938271553E-2</v>
      </c>
      <c r="F107" s="133">
        <f>LOOKUP($A107,'GDP data'!$A$2:$A$192,'GDP data'!T$2:T$192)</f>
        <v>4.7781255754004714E-2</v>
      </c>
      <c r="G107" s="133">
        <f>LOOKUP($A107,'GDP data'!$A$2:$A$192,'GDP data'!U$2:U$192)</f>
        <v>4.850188911343456E-2</v>
      </c>
      <c r="H107" s="133">
        <f>LOOKUP($A107,'GDP data'!$A$2:$A$192,'GDP data'!V$2:V$192)</f>
        <v>4.3911841112880268E-2</v>
      </c>
      <c r="I107" s="133">
        <f>LOOKUP($A107,'GDP data'!$A$2:$A$192,'GDP data'!W$2:W$192)</f>
        <v>5.1296459821786877E-2</v>
      </c>
      <c r="J107" s="851"/>
      <c r="K107" s="156"/>
      <c r="L107" s="158">
        <f>LOOKUP($A107,'GDP data'!$A$2:$A$192,'GDP data'!D$2:D$192)</f>
        <v>9.5589999999999993</v>
      </c>
      <c r="M107" s="158">
        <f>LOOKUP($A107,'GDP data'!$A$2:$A$192,'GDP data'!E$2:E$192)</f>
        <v>9.9920000000000009</v>
      </c>
      <c r="N107" s="158">
        <f>LOOKUP($A107,'GDP data'!$A$2:$A$192,'GDP data'!F$2:F$192)</f>
        <v>10.368</v>
      </c>
      <c r="O107" s="158">
        <f>LOOKUP($A107,'GDP data'!$A$2:$A$192,'GDP data'!G$2:G$192)</f>
        <v>10.862</v>
      </c>
      <c r="P107" s="158">
        <f>LOOKUP($A107,'GDP data'!$A$2:$A$192,'GDP data'!H$2:H$192)</f>
        <v>11.381</v>
      </c>
      <c r="Q107" s="158">
        <f>LOOKUP($A107,'GDP data'!$A$2:$A$192,'GDP data'!I$2:I$192)</f>
        <v>11.933</v>
      </c>
      <c r="R107" s="158">
        <f>LOOKUP($A107,'GDP data'!$A$2:$A$192,'GDP data'!J$2:J$192)</f>
        <v>12.457000000000001</v>
      </c>
      <c r="S107" s="158">
        <f>LOOKUP($A107,'GDP data'!$A$2:$A$192,'GDP data'!K$2:K$192)</f>
        <v>13.096</v>
      </c>
      <c r="T107" s="156"/>
      <c r="U107" s="156"/>
      <c r="V107" s="133">
        <f t="shared" si="23"/>
        <v>2.1719279437968026E-4</v>
      </c>
      <c r="W107" s="133">
        <f t="shared" si="24"/>
        <v>2.1469616292275903E-4</v>
      </c>
      <c r="X107" s="133">
        <f t="shared" si="25"/>
        <v>2.1130785191893019E-4</v>
      </c>
      <c r="Y107" s="133">
        <f t="shared" si="26"/>
        <v>2.0864864179569211E-4</v>
      </c>
      <c r="Z107" s="133">
        <f t="shared" si="27"/>
        <v>2.0568283176011841E-4</v>
      </c>
      <c r="AA107" s="133">
        <f t="shared" si="28"/>
        <v>2.0272359394802206E-4</v>
      </c>
      <c r="AB107" s="133">
        <f t="shared" si="29"/>
        <v>1.9893797432721157E-4</v>
      </c>
      <c r="AC107" s="133">
        <f t="shared" si="30"/>
        <v>1.9674685623432577E-4</v>
      </c>
      <c r="AD107" s="156"/>
      <c r="AE107" s="156"/>
      <c r="AF107" s="159">
        <f t="shared" si="40"/>
        <v>7.8392803520955076E-6</v>
      </c>
      <c r="AG107" s="159">
        <f t="shared" si="41"/>
        <v>9.7252263359718534E-6</v>
      </c>
      <c r="AH107" s="159">
        <f t="shared" si="42"/>
        <v>7.9515364613208078E-6</v>
      </c>
      <c r="AI107" s="159">
        <f t="shared" si="43"/>
        <v>9.9413994065462752E-6</v>
      </c>
      <c r="AJ107" s="159">
        <f t="shared" si="44"/>
        <v>9.8277839885381422E-6</v>
      </c>
      <c r="AK107" s="159">
        <f t="shared" si="45"/>
        <v>9.8324772743439003E-6</v>
      </c>
      <c r="AL107" s="159">
        <f t="shared" si="46"/>
        <v>8.7357327199747688E-6</v>
      </c>
      <c r="AM107" s="159">
        <f t="shared" si="47"/>
        <v>1.009241720588697E-5</v>
      </c>
    </row>
    <row r="108" spans="1:39" hidden="1" outlineLevel="2">
      <c r="A108" s="160" t="s">
        <v>324</v>
      </c>
      <c r="B108" s="133">
        <f>LOOKUP($A108,'GDP data'!$A$2:$A$192,'GDP data'!P$2:P$192)</f>
        <v>4.51231582589664E-2</v>
      </c>
      <c r="C108" s="133">
        <f>LOOKUP($A108,'GDP data'!$A$2:$A$192,'GDP data'!Q$2:Q$192)</f>
        <v>5.6830037304095748E-2</v>
      </c>
      <c r="D108" s="133">
        <f>LOOKUP($A108,'GDP data'!$A$2:$A$192,'GDP data'!R$2:R$192)</f>
        <v>2.5138515002604667E-2</v>
      </c>
      <c r="E108" s="133">
        <f>LOOKUP($A108,'GDP data'!$A$2:$A$192,'GDP data'!S$2:S$192)</f>
        <v>6.6484258403809227E-2</v>
      </c>
      <c r="F108" s="133">
        <f>LOOKUP($A108,'GDP data'!$A$2:$A$192,'GDP data'!T$2:T$192)</f>
        <v>5.0351514343784487E-2</v>
      </c>
      <c r="G108" s="133">
        <f>LOOKUP($A108,'GDP data'!$A$2:$A$192,'GDP data'!U$2:U$192)</f>
        <v>6.2517050393031237E-2</v>
      </c>
      <c r="H108" s="133">
        <f>LOOKUP($A108,'GDP data'!$A$2:$A$192,'GDP data'!V$2:V$192)</f>
        <v>6.3773697566801069E-2</v>
      </c>
      <c r="I108" s="133">
        <f>LOOKUP($A108,'GDP data'!$A$2:$A$192,'GDP data'!W$2:W$192)</f>
        <v>6.6206207498505698E-2</v>
      </c>
      <c r="J108" s="851"/>
      <c r="K108" s="156"/>
      <c r="L108" s="158">
        <f>LOOKUP($A108,'GDP data'!$A$2:$A$192,'GDP data'!D$2:D$192)</f>
        <v>259.75700000000001</v>
      </c>
      <c r="M108" s="158">
        <f>LOOKUP($A108,'GDP data'!$A$2:$A$192,'GDP data'!E$2:E$192)</f>
        <v>274.51900000000001</v>
      </c>
      <c r="N108" s="158">
        <f>LOOKUP($A108,'GDP data'!$A$2:$A$192,'GDP data'!F$2:F$192)</f>
        <v>281.42</v>
      </c>
      <c r="O108" s="158">
        <f>LOOKUP($A108,'GDP data'!$A$2:$A$192,'GDP data'!G$2:G$192)</f>
        <v>300.13</v>
      </c>
      <c r="P108" s="158">
        <f>LOOKUP($A108,'GDP data'!$A$2:$A$192,'GDP data'!H$2:H$192)</f>
        <v>315.24200000000002</v>
      </c>
      <c r="Q108" s="158">
        <f>LOOKUP($A108,'GDP data'!$A$2:$A$192,'GDP data'!I$2:I$192)</f>
        <v>334.95</v>
      </c>
      <c r="R108" s="158">
        <f>LOOKUP($A108,'GDP data'!$A$2:$A$192,'GDP data'!J$2:J$192)</f>
        <v>356.31099999999998</v>
      </c>
      <c r="S108" s="158">
        <f>LOOKUP($A108,'GDP data'!$A$2:$A$192,'GDP data'!K$2:K$192)</f>
        <v>379.90100000000001</v>
      </c>
      <c r="T108" s="156"/>
      <c r="U108" s="156"/>
      <c r="V108" s="133">
        <f t="shared" si="23"/>
        <v>5.9020136718990071E-3</v>
      </c>
      <c r="W108" s="133">
        <f t="shared" si="24"/>
        <v>5.8985364240785512E-3</v>
      </c>
      <c r="X108" s="133">
        <f t="shared" si="25"/>
        <v>5.7355570685788324E-3</v>
      </c>
      <c r="Y108" s="133">
        <f t="shared" si="26"/>
        <v>5.7652105378513232E-3</v>
      </c>
      <c r="Z108" s="133">
        <f t="shared" si="27"/>
        <v>5.6972029918041693E-3</v>
      </c>
      <c r="AA108" s="133">
        <f t="shared" si="28"/>
        <v>5.6902931193237236E-3</v>
      </c>
      <c r="AB108" s="133">
        <f t="shared" si="29"/>
        <v>5.6902776407243378E-3</v>
      </c>
      <c r="AC108" s="133">
        <f t="shared" si="30"/>
        <v>5.7074165722569179E-3</v>
      </c>
      <c r="AD108" s="156"/>
      <c r="AE108" s="156"/>
      <c r="AF108" s="159">
        <f t="shared" si="40"/>
        <v>2.663174969636823E-4</v>
      </c>
      <c r="AG108" s="159">
        <f t="shared" si="41"/>
        <v>3.352140450199516E-4</v>
      </c>
      <c r="AH108" s="159">
        <f t="shared" si="42"/>
        <v>1.4418338741676421E-4</v>
      </c>
      <c r="AI108" s="159">
        <f t="shared" si="43"/>
        <v>3.8329574715087136E-4</v>
      </c>
      <c r="AJ108" s="159">
        <f t="shared" si="44"/>
        <v>2.8686279816127951E-4</v>
      </c>
      <c r="AK108" s="159">
        <f t="shared" si="45"/>
        <v>3.5574034169188015E-4</v>
      </c>
      <c r="AL108" s="159">
        <f t="shared" si="46"/>
        <v>3.6289004533068424E-4</v>
      </c>
      <c r="AM108" s="159">
        <f t="shared" si="47"/>
        <v>3.7786640586325167E-4</v>
      </c>
    </row>
    <row r="109" spans="1:39" hidden="1" outlineLevel="2">
      <c r="A109" s="160" t="s">
        <v>325</v>
      </c>
      <c r="B109" s="133">
        <f>LOOKUP($A109,'GDP data'!$A$2:$A$192,'GDP data'!P$2:P$192)</f>
        <v>9.3738958377499682E-2</v>
      </c>
      <c r="C109" s="133">
        <f>LOOKUP($A109,'GDP data'!$A$2:$A$192,'GDP data'!Q$2:Q$192)</f>
        <v>7.7499596188014941E-2</v>
      </c>
      <c r="D109" s="133">
        <f>LOOKUP($A109,'GDP data'!$A$2:$A$192,'GDP data'!R$2:R$192)</f>
        <v>5.174791629189901E-2</v>
      </c>
      <c r="E109" s="133">
        <f>LOOKUP($A109,'GDP data'!$A$2:$A$192,'GDP data'!S$2:S$192)</f>
        <v>6.5735461801596395E-2</v>
      </c>
      <c r="F109" s="133">
        <f>LOOKUP($A109,'GDP data'!$A$2:$A$192,'GDP data'!T$2:T$192)</f>
        <v>7.3262718664740767E-2</v>
      </c>
      <c r="G109" s="133">
        <f>LOOKUP($A109,'GDP data'!$A$2:$A$192,'GDP data'!U$2:U$192)</f>
        <v>8.2218068535825584E-2</v>
      </c>
      <c r="H109" s="133">
        <f>LOOKUP($A109,'GDP data'!$A$2:$A$192,'GDP data'!V$2:V$192)</f>
        <v>8.6956521739130599E-2</v>
      </c>
      <c r="I109" s="133">
        <f>LOOKUP($A109,'GDP data'!$A$2:$A$192,'GDP data'!W$2:W$192)</f>
        <v>9.1716101694915286E-2</v>
      </c>
      <c r="J109" s="851"/>
      <c r="K109" s="156"/>
      <c r="L109" s="158">
        <f>LOOKUP($A109,'GDP data'!$A$2:$A$192,'GDP data'!D$2:D$192)</f>
        <v>30.954999999999998</v>
      </c>
      <c r="M109" s="158">
        <f>LOOKUP($A109,'GDP data'!$A$2:$A$192,'GDP data'!E$2:E$192)</f>
        <v>33.353999999999999</v>
      </c>
      <c r="N109" s="158">
        <f>LOOKUP($A109,'GDP data'!$A$2:$A$192,'GDP data'!F$2:F$192)</f>
        <v>35.08</v>
      </c>
      <c r="O109" s="158">
        <f>LOOKUP($A109,'GDP data'!$A$2:$A$192,'GDP data'!G$2:G$192)</f>
        <v>37.386000000000003</v>
      </c>
      <c r="P109" s="158">
        <f>LOOKUP($A109,'GDP data'!$A$2:$A$192,'GDP data'!H$2:H$192)</f>
        <v>40.125</v>
      </c>
      <c r="Q109" s="158">
        <f>LOOKUP($A109,'GDP data'!$A$2:$A$192,'GDP data'!I$2:I$192)</f>
        <v>43.423999999999999</v>
      </c>
      <c r="R109" s="158">
        <f>LOOKUP($A109,'GDP data'!$A$2:$A$192,'GDP data'!J$2:J$192)</f>
        <v>47.2</v>
      </c>
      <c r="S109" s="158">
        <f>LOOKUP($A109,'GDP data'!$A$2:$A$192,'GDP data'!K$2:K$192)</f>
        <v>51.529000000000003</v>
      </c>
      <c r="T109" s="156"/>
      <c r="U109" s="156"/>
      <c r="V109" s="133">
        <f t="shared" ref="V109:V144" si="48">L109/SUM(L$44:L$144)</f>
        <v>7.0333747777204757E-4</v>
      </c>
      <c r="W109" s="133">
        <f t="shared" ref="W109:W144" si="49">M109/SUM(M$44:M$144)</f>
        <v>7.1667091854740836E-4</v>
      </c>
      <c r="X109" s="133">
        <f t="shared" ref="X109:X144" si="50">N109/SUM(N$44:N$144)</f>
        <v>7.1495750822878762E-4</v>
      </c>
      <c r="Y109" s="133">
        <f t="shared" ref="Y109:Y144" si="51">O109/SUM(O$44:O$144)</f>
        <v>7.181493391800539E-4</v>
      </c>
      <c r="Z109" s="133">
        <f t="shared" ref="Z109:Z144" si="52">P109/SUM(P$44:P$144)</f>
        <v>7.2515803746373345E-4</v>
      </c>
      <c r="AA109" s="133">
        <f t="shared" ref="AA109:AA144" si="53">Q109/SUM(Q$44:Q$144)</f>
        <v>7.37707981530119E-4</v>
      </c>
      <c r="AB109" s="133">
        <f t="shared" ref="AB109:AB144" si="54">R109/SUM(R$44:R$144)</f>
        <v>7.5378280390498407E-4</v>
      </c>
      <c r="AC109" s="133">
        <f t="shared" ref="AC109:AC144" si="55">S109/SUM(S$44:S$144)</f>
        <v>7.7414239118040417E-4</v>
      </c>
      <c r="AD109" s="156"/>
      <c r="AE109" s="156"/>
      <c r="AF109" s="159">
        <f t="shared" si="40"/>
        <v>6.5930122554209579E-5</v>
      </c>
      <c r="AG109" s="159">
        <f t="shared" si="41"/>
        <v>5.5541706787117896E-5</v>
      </c>
      <c r="AH109" s="159">
        <f t="shared" si="42"/>
        <v>3.6997561288088001E-5</v>
      </c>
      <c r="AI109" s="159">
        <f t="shared" si="43"/>
        <v>4.7207878453512125E-5</v>
      </c>
      <c r="AJ109" s="159">
        <f t="shared" si="44"/>
        <v>5.3127049286181047E-5</v>
      </c>
      <c r="AK109" s="159">
        <f t="shared" si="45"/>
        <v>6.0652925384868879E-5</v>
      </c>
      <c r="AL109" s="159">
        <f t="shared" si="46"/>
        <v>6.5546330774346565E-5</v>
      </c>
      <c r="AM109" s="159">
        <f t="shared" si="47"/>
        <v>7.1001322275846844E-5</v>
      </c>
    </row>
    <row r="110" spans="1:39" hidden="1" outlineLevel="2">
      <c r="A110" s="160" t="s">
        <v>327</v>
      </c>
      <c r="B110" s="133">
        <f>LOOKUP($A110,'GDP data'!$A$2:$A$192,'GDP data'!P$2:P$192)</f>
        <v>8.256343233133534E-2</v>
      </c>
      <c r="C110" s="133">
        <f>LOOKUP($A110,'GDP data'!$A$2:$A$192,'GDP data'!Q$2:Q$192)</f>
        <v>7.1437492194329932E-2</v>
      </c>
      <c r="D110" s="133">
        <f>LOOKUP($A110,'GDP data'!$A$2:$A$192,'GDP data'!R$2:R$192)</f>
        <v>2.3701286086179607E-2</v>
      </c>
      <c r="E110" s="133">
        <f>LOOKUP($A110,'GDP data'!$A$2:$A$192,'GDP data'!S$2:S$192)</f>
        <v>2.5467795194898724E-2</v>
      </c>
      <c r="F110" s="133">
        <f>LOOKUP($A110,'GDP data'!$A$2:$A$192,'GDP data'!T$2:T$192)</f>
        <v>4.5155081797320307E-2</v>
      </c>
      <c r="G110" s="133">
        <f>LOOKUP($A110,'GDP data'!$A$2:$A$192,'GDP data'!U$2:U$192)</f>
        <v>5.6377930448332059E-2</v>
      </c>
      <c r="H110" s="133">
        <f>LOOKUP($A110,'GDP data'!$A$2:$A$192,'GDP data'!V$2:V$192)</f>
        <v>5.6687898089172073E-2</v>
      </c>
      <c r="I110" s="133">
        <f>LOOKUP($A110,'GDP data'!$A$2:$A$192,'GDP data'!W$2:W$192)</f>
        <v>5.7675835157513955E-2</v>
      </c>
      <c r="J110" s="851"/>
      <c r="K110" s="156"/>
      <c r="L110" s="158">
        <f>LOOKUP($A110,'GDP data'!$A$2:$A$192,'GDP data'!D$2:D$192)</f>
        <v>24.021000000000001</v>
      </c>
      <c r="M110" s="158">
        <f>LOOKUP($A110,'GDP data'!$A$2:$A$192,'GDP data'!E$2:E$192)</f>
        <v>25.736999999999998</v>
      </c>
      <c r="N110" s="158">
        <f>LOOKUP($A110,'GDP data'!$A$2:$A$192,'GDP data'!F$2:F$192)</f>
        <v>26.347000000000001</v>
      </c>
      <c r="O110" s="158">
        <f>LOOKUP($A110,'GDP data'!$A$2:$A$192,'GDP data'!G$2:G$192)</f>
        <v>27.018000000000001</v>
      </c>
      <c r="P110" s="158">
        <f>LOOKUP($A110,'GDP data'!$A$2:$A$192,'GDP data'!H$2:H$192)</f>
        <v>28.238</v>
      </c>
      <c r="Q110" s="158">
        <f>LOOKUP($A110,'GDP data'!$A$2:$A$192,'GDP data'!I$2:I$192)</f>
        <v>29.83</v>
      </c>
      <c r="R110" s="158">
        <f>LOOKUP($A110,'GDP data'!$A$2:$A$192,'GDP data'!J$2:J$192)</f>
        <v>31.521000000000001</v>
      </c>
      <c r="S110" s="158">
        <f>LOOKUP($A110,'GDP data'!$A$2:$A$192,'GDP data'!K$2:K$192)</f>
        <v>33.338999999999999</v>
      </c>
      <c r="T110" s="156"/>
      <c r="U110" s="156"/>
      <c r="V110" s="133">
        <f t="shared" si="48"/>
        <v>5.4578806504804894E-4</v>
      </c>
      <c r="W110" s="133">
        <f t="shared" si="49"/>
        <v>5.5300591924970464E-4</v>
      </c>
      <c r="X110" s="133">
        <f t="shared" si="50"/>
        <v>5.3697221976350832E-4</v>
      </c>
      <c r="Y110" s="133">
        <f t="shared" si="51"/>
        <v>5.1898996538722239E-4</v>
      </c>
      <c r="Z110" s="133">
        <f t="shared" si="52"/>
        <v>5.1033053362992912E-4</v>
      </c>
      <c r="AA110" s="133">
        <f t="shared" si="53"/>
        <v>5.067665136570433E-4</v>
      </c>
      <c r="AB110" s="133">
        <f t="shared" si="54"/>
        <v>5.0338957122646188E-4</v>
      </c>
      <c r="AC110" s="133">
        <f t="shared" si="55"/>
        <v>5.00866175931291E-4</v>
      </c>
      <c r="AD110" s="156"/>
      <c r="AE110" s="156"/>
      <c r="AF110" s="159">
        <f t="shared" si="40"/>
        <v>4.5062135975845041E-5</v>
      </c>
      <c r="AG110" s="159">
        <f t="shared" si="41"/>
        <v>3.9505356039819021E-5</v>
      </c>
      <c r="AH110" s="159">
        <f t="shared" si="42"/>
        <v>1.2726932200945818E-5</v>
      </c>
      <c r="AI110" s="159">
        <f t="shared" si="43"/>
        <v>1.3217530146689358E-5</v>
      </c>
      <c r="AJ110" s="159">
        <f t="shared" si="44"/>
        <v>2.3044016989729571E-5</v>
      </c>
      <c r="AK110" s="159">
        <f t="shared" si="45"/>
        <v>2.8570447260500506E-5</v>
      </c>
      <c r="AL110" s="159">
        <f t="shared" si="46"/>
        <v>2.8536096712837699E-5</v>
      </c>
      <c r="AM110" s="159">
        <f t="shared" si="47"/>
        <v>2.8887874998987525E-5</v>
      </c>
    </row>
    <row r="111" spans="1:39" hidden="1" outlineLevel="2">
      <c r="A111" s="160" t="s">
        <v>329</v>
      </c>
      <c r="B111" s="133">
        <f>LOOKUP($A111,'GDP data'!$A$2:$A$192,'GDP data'!P$2:P$192)</f>
        <v>3.2414609294407315E-2</v>
      </c>
      <c r="C111" s="133">
        <f>LOOKUP($A111,'GDP data'!$A$2:$A$192,'GDP data'!Q$2:Q$192)</f>
        <v>3.3684626079195423E-2</v>
      </c>
      <c r="D111" s="133">
        <f>LOOKUP($A111,'GDP data'!$A$2:$A$192,'GDP data'!R$2:R$192)</f>
        <v>3.5146460387437628E-2</v>
      </c>
      <c r="E111" s="133">
        <f>LOOKUP($A111,'GDP data'!$A$2:$A$192,'GDP data'!S$2:S$192)</f>
        <v>4.8596295439077286E-2</v>
      </c>
      <c r="F111" s="133">
        <f>LOOKUP($A111,'GDP data'!$A$2:$A$192,'GDP data'!T$2:T$192)</f>
        <v>4.5762832245199059E-2</v>
      </c>
      <c r="G111" s="133">
        <f>LOOKUP($A111,'GDP data'!$A$2:$A$192,'GDP data'!U$2:U$192)</f>
        <v>4.0362319446301864E-2</v>
      </c>
      <c r="H111" s="133">
        <f>LOOKUP($A111,'GDP data'!$A$2:$A$192,'GDP data'!V$2:V$192)</f>
        <v>4.0178369665105018E-2</v>
      </c>
      <c r="I111" s="133">
        <f>LOOKUP($A111,'GDP data'!$A$2:$A$192,'GDP data'!W$2:W$192)</f>
        <v>3.9094709806988481E-2</v>
      </c>
      <c r="J111" s="851"/>
      <c r="K111" s="156"/>
      <c r="L111" s="158">
        <f>LOOKUP($A111,'GDP data'!$A$2:$A$192,'GDP data'!D$2:D$192)</f>
        <v>815.654</v>
      </c>
      <c r="M111" s="158">
        <f>LOOKUP($A111,'GDP data'!$A$2:$A$192,'GDP data'!E$2:E$192)</f>
        <v>843.12900000000002</v>
      </c>
      <c r="N111" s="158">
        <f>LOOKUP($A111,'GDP data'!$A$2:$A$192,'GDP data'!F$2:F$192)</f>
        <v>872.76199999999994</v>
      </c>
      <c r="O111" s="158">
        <f>LOOKUP($A111,'GDP data'!$A$2:$A$192,'GDP data'!G$2:G$192)</f>
        <v>915.17499999999995</v>
      </c>
      <c r="P111" s="158">
        <f>LOOKUP($A111,'GDP data'!$A$2:$A$192,'GDP data'!H$2:H$192)</f>
        <v>957.05600000000004</v>
      </c>
      <c r="Q111" s="158">
        <f>LOOKUP($A111,'GDP data'!$A$2:$A$192,'GDP data'!I$2:I$192)</f>
        <v>995.68499999999995</v>
      </c>
      <c r="R111" s="158">
        <f>LOOKUP($A111,'GDP data'!$A$2:$A$192,'GDP data'!J$2:J$192)</f>
        <v>1035.69</v>
      </c>
      <c r="S111" s="158">
        <f>LOOKUP($A111,'GDP data'!$A$2:$A$192,'GDP data'!K$2:K$192)</f>
        <v>1076.18</v>
      </c>
      <c r="T111" s="156"/>
      <c r="U111" s="156"/>
      <c r="V111" s="133">
        <f t="shared" si="48"/>
        <v>1.8532709646088896E-2</v>
      </c>
      <c r="W111" s="133">
        <f t="shared" si="49"/>
        <v>1.8116149034117582E-2</v>
      </c>
      <c r="X111" s="133">
        <f t="shared" si="50"/>
        <v>1.7787563990786008E-2</v>
      </c>
      <c r="Y111" s="133">
        <f t="shared" si="51"/>
        <v>1.7579637337080879E-2</v>
      </c>
      <c r="Z111" s="133">
        <f t="shared" si="52"/>
        <v>1.7296370110975474E-2</v>
      </c>
      <c r="AA111" s="133">
        <f t="shared" si="53"/>
        <v>1.6915179891069835E-2</v>
      </c>
      <c r="AB111" s="133">
        <f t="shared" si="54"/>
        <v>1.6539943054583749E-2</v>
      </c>
      <c r="AC111" s="133">
        <f t="shared" si="55"/>
        <v>1.6167916290642695E-2</v>
      </c>
      <c r="AD111" s="156"/>
      <c r="AE111" s="156"/>
      <c r="AF111" s="159">
        <f t="shared" si="40"/>
        <v>6.0073054234466522E-4</v>
      </c>
      <c r="AG111" s="159">
        <f t="shared" si="41"/>
        <v>6.1023570620922813E-4</v>
      </c>
      <c r="AH111" s="159">
        <f t="shared" si="42"/>
        <v>6.2516991319117238E-4</v>
      </c>
      <c r="AI111" s="159">
        <f t="shared" si="43"/>
        <v>8.5430524974461635E-4</v>
      </c>
      <c r="AJ111" s="159">
        <f t="shared" si="44"/>
        <v>7.9153088383944567E-4</v>
      </c>
      <c r="AK111" s="159">
        <f t="shared" si="45"/>
        <v>6.8273589425502221E-4</v>
      </c>
      <c r="AL111" s="159">
        <f t="shared" si="46"/>
        <v>6.6454794628685208E-4</v>
      </c>
      <c r="AM111" s="159">
        <f t="shared" si="47"/>
        <v>6.3207999556635778E-4</v>
      </c>
    </row>
    <row r="112" spans="1:39" hidden="1" outlineLevel="2">
      <c r="A112" s="160" t="s">
        <v>332</v>
      </c>
      <c r="B112" s="133">
        <f>LOOKUP($A112,'GDP data'!$A$2:$A$192,'GDP data'!P$2:P$192)</f>
        <v>9.4552435805135726E-2</v>
      </c>
      <c r="C112" s="133">
        <f>LOOKUP($A112,'GDP data'!$A$2:$A$192,'GDP data'!Q$2:Q$192)</f>
        <v>5.0920850690638009E-2</v>
      </c>
      <c r="D112" s="133">
        <f>LOOKUP($A112,'GDP data'!$A$2:$A$192,'GDP data'!R$2:R$192)</f>
        <v>6.3683304647160099E-2</v>
      </c>
      <c r="E112" s="133">
        <f>LOOKUP($A112,'GDP data'!$A$2:$A$192,'GDP data'!S$2:S$192)</f>
        <v>6.0213788369128274E-2</v>
      </c>
      <c r="F112" s="133">
        <f>LOOKUP($A112,'GDP data'!$A$2:$A$192,'GDP data'!T$2:T$192)</f>
        <v>6.7662565905096672E-2</v>
      </c>
      <c r="G112" s="133">
        <f>LOOKUP($A112,'GDP data'!$A$2:$A$192,'GDP data'!U$2:U$192)</f>
        <v>7.420402858999342E-2</v>
      </c>
      <c r="H112" s="133">
        <f>LOOKUP($A112,'GDP data'!$A$2:$A$192,'GDP data'!V$2:V$192)</f>
        <v>8.9442696991692827E-2</v>
      </c>
      <c r="I112" s="133">
        <f>LOOKUP($A112,'GDP data'!$A$2:$A$192,'GDP data'!W$2:W$192)</f>
        <v>8.2913828842167581E-2</v>
      </c>
      <c r="J112" s="851"/>
      <c r="K112" s="133"/>
      <c r="L112" s="158">
        <f>LOOKUP($A112,'GDP data'!$A$2:$A$192,'GDP data'!D$2:D$192)</f>
        <v>18.244</v>
      </c>
      <c r="M112" s="158">
        <f>LOOKUP($A112,'GDP data'!$A$2:$A$192,'GDP data'!E$2:E$192)</f>
        <v>19.172999999999998</v>
      </c>
      <c r="N112" s="158">
        <f>LOOKUP($A112,'GDP data'!$A$2:$A$192,'GDP data'!F$2:F$192)</f>
        <v>20.393999999999998</v>
      </c>
      <c r="O112" s="158">
        <f>LOOKUP($A112,'GDP data'!$A$2:$A$192,'GDP data'!G$2:G$192)</f>
        <v>21.622</v>
      </c>
      <c r="P112" s="158">
        <f>LOOKUP($A112,'GDP data'!$A$2:$A$192,'GDP data'!H$2:H$192)</f>
        <v>23.085000000000001</v>
      </c>
      <c r="Q112" s="158">
        <f>LOOKUP($A112,'GDP data'!$A$2:$A$192,'GDP data'!I$2:I$192)</f>
        <v>24.797999999999998</v>
      </c>
      <c r="R112" s="158">
        <f>LOOKUP($A112,'GDP data'!$A$2:$A$192,'GDP data'!J$2:J$192)</f>
        <v>27.015999999999998</v>
      </c>
      <c r="S112" s="158">
        <f>LOOKUP($A112,'GDP data'!$A$2:$A$192,'GDP data'!K$2:K$192)</f>
        <v>29.256</v>
      </c>
      <c r="T112" s="156"/>
      <c r="U112" s="156"/>
      <c r="V112" s="133">
        <f t="shared" si="48"/>
        <v>4.1452718282904979E-4</v>
      </c>
      <c r="W112" s="133">
        <f t="shared" si="49"/>
        <v>4.1196652639292018E-4</v>
      </c>
      <c r="X112" s="133">
        <f t="shared" si="50"/>
        <v>4.1564547955581229E-4</v>
      </c>
      <c r="Y112" s="133">
        <f t="shared" si="51"/>
        <v>4.1533796104828343E-4</v>
      </c>
      <c r="Z112" s="133">
        <f t="shared" si="52"/>
        <v>4.1720307276885452E-4</v>
      </c>
      <c r="AA112" s="133">
        <f t="shared" si="53"/>
        <v>4.2128045610685086E-4</v>
      </c>
      <c r="AB112" s="133">
        <f t="shared" si="54"/>
        <v>4.3144483538764931E-4</v>
      </c>
      <c r="AC112" s="133">
        <f t="shared" si="55"/>
        <v>4.3952550595536307E-4</v>
      </c>
      <c r="AD112" s="156"/>
      <c r="AE112" s="156"/>
      <c r="AF112" s="159">
        <f t="shared" ref="AF112:AM112" si="56">V112*B112</f>
        <v>3.9194554843927487E-5</v>
      </c>
      <c r="AG112" s="159">
        <f t="shared" si="56"/>
        <v>2.097768597999467E-5</v>
      </c>
      <c r="AH112" s="159">
        <f t="shared" si="56"/>
        <v>2.646967769976775E-5</v>
      </c>
      <c r="AI112" s="159">
        <f t="shared" si="56"/>
        <v>2.500907208822658E-5</v>
      </c>
      <c r="AJ112" s="159">
        <f t="shared" si="56"/>
        <v>2.8229030407031463E-5</v>
      </c>
      <c r="AK112" s="159">
        <f t="shared" si="56"/>
        <v>3.1260707009358226E-5</v>
      </c>
      <c r="AL112" s="159">
        <f t="shared" si="56"/>
        <v>3.8589589680208308E-5</v>
      </c>
      <c r="AM112" s="159">
        <f t="shared" si="56"/>
        <v>3.6442742572550082E-5</v>
      </c>
    </row>
    <row r="113" spans="1:39" hidden="1" outlineLevel="2">
      <c r="A113" s="160" t="s">
        <v>333</v>
      </c>
      <c r="B113" s="133">
        <f>LOOKUP($A113,'GDP data'!$A$2:$A$192,'GDP data'!P$2:P$192)</f>
        <v>8.2172659064549514E-2</v>
      </c>
      <c r="C113" s="133">
        <f>LOOKUP($A113,'GDP data'!$A$2:$A$192,'GDP data'!Q$2:Q$192)</f>
        <v>3.76630151278039E-2</v>
      </c>
      <c r="D113" s="133">
        <f>LOOKUP($A113,'GDP data'!$A$2:$A$192,'GDP data'!R$2:R$192)</f>
        <v>-3.6195455459481218E-3</v>
      </c>
      <c r="E113" s="133">
        <f>LOOKUP($A113,'GDP data'!$A$2:$A$192,'GDP data'!S$2:S$192)</f>
        <v>2.5988441427392095E-2</v>
      </c>
      <c r="F113" s="133">
        <f>LOOKUP($A113,'GDP data'!$A$2:$A$192,'GDP data'!T$2:T$192)</f>
        <v>3.8679219978004831E-2</v>
      </c>
      <c r="G113" s="133">
        <f>LOOKUP($A113,'GDP data'!$A$2:$A$192,'GDP data'!U$2:U$192)</f>
        <v>3.8228787370124362E-2</v>
      </c>
      <c r="H113" s="133">
        <f>LOOKUP($A113,'GDP data'!$A$2:$A$192,'GDP data'!V$2:V$192)</f>
        <v>3.8844208606251707E-2</v>
      </c>
      <c r="I113" s="133">
        <f>LOOKUP($A113,'GDP data'!$A$2:$A$192,'GDP data'!W$2:W$192)</f>
        <v>3.8245740053473698E-2</v>
      </c>
      <c r="J113" s="851"/>
      <c r="K113" s="156"/>
      <c r="L113" s="158">
        <f>LOOKUP($A113,'GDP data'!$A$2:$A$192,'GDP data'!D$2:D$192)</f>
        <v>1054.3499999999999</v>
      </c>
      <c r="M113" s="158">
        <f>LOOKUP($A113,'GDP data'!$A$2:$A$192,'GDP data'!E$2:E$192)</f>
        <v>1094.06</v>
      </c>
      <c r="N113" s="158">
        <f>LOOKUP($A113,'GDP data'!$A$2:$A$192,'GDP data'!F$2:F$192)</f>
        <v>1090.0999999999999</v>
      </c>
      <c r="O113" s="158">
        <f>LOOKUP($A113,'GDP data'!$A$2:$A$192,'GDP data'!G$2:G$192)</f>
        <v>1118.43</v>
      </c>
      <c r="P113" s="158">
        <f>LOOKUP($A113,'GDP data'!$A$2:$A$192,'GDP data'!H$2:H$192)</f>
        <v>1161.69</v>
      </c>
      <c r="Q113" s="158">
        <f>LOOKUP($A113,'GDP data'!$A$2:$A$192,'GDP data'!I$2:I$192)</f>
        <v>1206.0999999999999</v>
      </c>
      <c r="R113" s="158">
        <f>LOOKUP($A113,'GDP data'!$A$2:$A$192,'GDP data'!J$2:J$192)</f>
        <v>1252.95</v>
      </c>
      <c r="S113" s="158">
        <f>LOOKUP($A113,'GDP data'!$A$2:$A$192,'GDP data'!K$2:K$192)</f>
        <v>1300.8699999999999</v>
      </c>
      <c r="T113" s="156"/>
      <c r="U113" s="156"/>
      <c r="V113" s="133">
        <f t="shared" si="48"/>
        <v>2.3956190266159208E-2</v>
      </c>
      <c r="W113" s="133">
        <f t="shared" si="49"/>
        <v>2.3507854684474951E-2</v>
      </c>
      <c r="X113" s="133">
        <f t="shared" si="50"/>
        <v>2.2217080379709275E-2</v>
      </c>
      <c r="Y113" s="133">
        <f t="shared" si="51"/>
        <v>2.1483971685099978E-2</v>
      </c>
      <c r="Z113" s="133">
        <f t="shared" si="52"/>
        <v>2.0994612848379928E-2</v>
      </c>
      <c r="AA113" s="133">
        <f t="shared" si="53"/>
        <v>2.0489812005422728E-2</v>
      </c>
      <c r="AB113" s="133">
        <f t="shared" si="54"/>
        <v>2.0009579748998935E-2</v>
      </c>
      <c r="AC113" s="133">
        <f t="shared" si="55"/>
        <v>1.9543531068230556E-2</v>
      </c>
      <c r="AD113" s="156"/>
      <c r="AE113" s="156"/>
      <c r="AF113" s="159">
        <f t="shared" ref="AF113:AF144" si="57">V113*B113</f>
        <v>1.9685438552265802E-3</v>
      </c>
      <c r="AG113" s="159">
        <f t="shared" ref="AG113:AG144" si="58">W113*C113</f>
        <v>8.8537668660359581E-4</v>
      </c>
      <c r="AH113" s="159">
        <f t="shared" ref="AH113:AH144" si="59">X113*D113</f>
        <v>-8.0415734332348111E-5</v>
      </c>
      <c r="AI113" s="159">
        <f t="shared" ref="AI113:AI144" si="60">Y113*E113</f>
        <v>5.5833493976597105E-4</v>
      </c>
      <c r="AJ113" s="159">
        <f t="shared" ref="AJ113:AJ144" si="61">Z113*F113</f>
        <v>8.1205524871553385E-4</v>
      </c>
      <c r="AK113" s="159">
        <f t="shared" ref="AK113:AK144" si="62">AA113*G113</f>
        <v>7.833006664091269E-4</v>
      </c>
      <c r="AL113" s="159">
        <f t="shared" ref="AL113:AL144" si="63">AB113*H113</f>
        <v>7.7725628989354432E-4</v>
      </c>
      <c r="AM113" s="159">
        <f t="shared" ref="AM113:AM144" si="64">AC113*I113</f>
        <v>7.47456808962533E-4</v>
      </c>
    </row>
    <row r="114" spans="1:39" hidden="1" outlineLevel="2">
      <c r="A114" s="160" t="s">
        <v>334</v>
      </c>
      <c r="B114" s="133">
        <f>LOOKUP($A114,'GDP data'!$A$2:$A$192,'GDP data'!P$2:P$192)</f>
        <v>3.7480362085733354E-2</v>
      </c>
      <c r="C114" s="133">
        <f>LOOKUP($A114,'GDP data'!$A$2:$A$192,'GDP data'!Q$2:Q$192)</f>
        <v>2.7127199307758865E-2</v>
      </c>
      <c r="D114" s="133">
        <f>LOOKUP($A114,'GDP data'!$A$2:$A$192,'GDP data'!R$2:R$192)</f>
        <v>2.3675601297370008E-2</v>
      </c>
      <c r="E114" s="133">
        <f>LOOKUP($A114,'GDP data'!$A$2:$A$192,'GDP data'!S$2:S$192)</f>
        <v>3.128909078938702E-2</v>
      </c>
      <c r="F114" s="133">
        <f>LOOKUP($A114,'GDP data'!$A$2:$A$192,'GDP data'!T$2:T$192)</f>
        <v>3.592309451989939E-2</v>
      </c>
      <c r="G114" s="133">
        <f>LOOKUP($A114,'GDP data'!$A$2:$A$192,'GDP data'!U$2:U$192)</f>
        <v>4.0498450366802219E-2</v>
      </c>
      <c r="H114" s="133">
        <f>LOOKUP($A114,'GDP data'!$A$2:$A$192,'GDP data'!V$2:V$192)</f>
        <v>3.9998124470965069E-2</v>
      </c>
      <c r="I114" s="133">
        <f>LOOKUP($A114,'GDP data'!$A$2:$A$192,'GDP data'!W$2:W$192)</f>
        <v>3.9586927273288053E-2</v>
      </c>
      <c r="J114" s="851"/>
      <c r="K114" s="156"/>
      <c r="L114" s="158">
        <f>LOOKUP($A114,'GDP data'!$A$2:$A$192,'GDP data'!D$2:D$192)</f>
        <v>346.7</v>
      </c>
      <c r="M114" s="158">
        <f>LOOKUP($A114,'GDP data'!$A$2:$A$192,'GDP data'!E$2:E$192)</f>
        <v>356.10500000000002</v>
      </c>
      <c r="N114" s="158">
        <f>LOOKUP($A114,'GDP data'!$A$2:$A$192,'GDP data'!F$2:F$192)</f>
        <v>364.536</v>
      </c>
      <c r="O114" s="158">
        <f>LOOKUP($A114,'GDP data'!$A$2:$A$192,'GDP data'!G$2:G$192)</f>
        <v>375.94200000000001</v>
      </c>
      <c r="P114" s="158">
        <f>LOOKUP($A114,'GDP data'!$A$2:$A$192,'GDP data'!H$2:H$192)</f>
        <v>389.447</v>
      </c>
      <c r="Q114" s="158">
        <f>LOOKUP($A114,'GDP data'!$A$2:$A$192,'GDP data'!I$2:I$192)</f>
        <v>405.21899999999999</v>
      </c>
      <c r="R114" s="158">
        <f>LOOKUP($A114,'GDP data'!$A$2:$A$192,'GDP data'!J$2:J$192)</f>
        <v>421.42700000000002</v>
      </c>
      <c r="S114" s="158">
        <f>LOOKUP($A114,'GDP data'!$A$2:$A$192,'GDP data'!K$2:K$192)</f>
        <v>438.11</v>
      </c>
      <c r="T114" s="156"/>
      <c r="U114" s="156"/>
      <c r="V114" s="133">
        <f t="shared" si="48"/>
        <v>7.8774706361999323E-3</v>
      </c>
      <c r="W114" s="133">
        <f t="shared" si="49"/>
        <v>7.6515589569264514E-3</v>
      </c>
      <c r="X114" s="133">
        <f t="shared" si="50"/>
        <v>7.4295253768440527E-3</v>
      </c>
      <c r="Y114" s="133">
        <f t="shared" si="51"/>
        <v>7.2214866225332429E-3</v>
      </c>
      <c r="Z114" s="133">
        <f t="shared" si="52"/>
        <v>7.0382709586576603E-3</v>
      </c>
      <c r="AA114" s="133">
        <f t="shared" si="53"/>
        <v>6.8840569861747724E-3</v>
      </c>
      <c r="AB114" s="133">
        <f t="shared" si="54"/>
        <v>6.7301785106200366E-3</v>
      </c>
      <c r="AC114" s="133">
        <f t="shared" si="55"/>
        <v>6.5819154844853744E-3</v>
      </c>
      <c r="AD114" s="156"/>
      <c r="AE114" s="156"/>
      <c r="AF114" s="159">
        <f t="shared" si="57"/>
        <v>2.9525045176450574E-4</v>
      </c>
      <c r="AG114" s="159">
        <f t="shared" si="58"/>
        <v>2.0756536483961137E-4</v>
      </c>
      <c r="AH114" s="159">
        <f t="shared" si="59"/>
        <v>1.7589848065085244E-4</v>
      </c>
      <c r="AI114" s="159">
        <f t="shared" si="60"/>
        <v>2.2595375056678647E-4</v>
      </c>
      <c r="AJ114" s="159">
        <f t="shared" si="61"/>
        <v>2.5283647290452201E-4</v>
      </c>
      <c r="AK114" s="159">
        <f t="shared" si="62"/>
        <v>2.787936401768371E-4</v>
      </c>
      <c r="AL114" s="159">
        <f t="shared" si="63"/>
        <v>2.6919451777959453E-4</v>
      </c>
      <c r="AM114" s="159">
        <f t="shared" si="64"/>
        <v>2.60557809603251E-4</v>
      </c>
    </row>
    <row r="115" spans="1:39" hidden="1" outlineLevel="2">
      <c r="A115" s="160" t="s">
        <v>335</v>
      </c>
      <c r="B115" s="133">
        <f>LOOKUP($A115,'GDP data'!$A$2:$A$192,'GDP data'!P$2:P$192)</f>
        <v>4.3819010594562169E-2</v>
      </c>
      <c r="C115" s="133">
        <f>LOOKUP($A115,'GDP data'!$A$2:$A$192,'GDP data'!Q$2:Q$192)</f>
        <v>5.3069335205435442E-2</v>
      </c>
      <c r="D115" s="133">
        <f>LOOKUP($A115,'GDP data'!$A$2:$A$192,'GDP data'!R$2:R$192)</f>
        <v>4.3462785731234632E-2</v>
      </c>
      <c r="E115" s="133">
        <f>LOOKUP($A115,'GDP data'!$A$2:$A$192,'GDP data'!S$2:S$192)</f>
        <v>1.725547524296811E-2</v>
      </c>
      <c r="F115" s="133">
        <f>LOOKUP($A115,'GDP data'!$A$2:$A$192,'GDP data'!T$2:T$192)</f>
        <v>5.7573370519794276E-2</v>
      </c>
      <c r="G115" s="133">
        <f>LOOKUP($A115,'GDP data'!$A$2:$A$192,'GDP data'!U$2:U$192)</f>
        <v>5.090111173181544E-2</v>
      </c>
      <c r="H115" s="133">
        <f>LOOKUP($A115,'GDP data'!$A$2:$A$192,'GDP data'!V$2:V$192)</f>
        <v>4.3479093734585472E-2</v>
      </c>
      <c r="I115" s="133">
        <f>LOOKUP($A115,'GDP data'!$A$2:$A$192,'GDP data'!W$2:W$192)</f>
        <v>3.9005562388706227E-2</v>
      </c>
      <c r="J115" s="851"/>
      <c r="K115" s="156"/>
      <c r="L115" s="158">
        <f>LOOKUP($A115,'GDP data'!$A$2:$A$192,'GDP data'!D$2:D$192)</f>
        <v>168.08199999999999</v>
      </c>
      <c r="M115" s="158">
        <f>LOOKUP($A115,'GDP data'!$A$2:$A$192,'GDP data'!E$2:E$192)</f>
        <v>177.00200000000001</v>
      </c>
      <c r="N115" s="158">
        <f>LOOKUP($A115,'GDP data'!$A$2:$A$192,'GDP data'!F$2:F$192)</f>
        <v>184.69499999999999</v>
      </c>
      <c r="O115" s="158">
        <f>LOOKUP($A115,'GDP data'!$A$2:$A$192,'GDP data'!G$2:G$192)</f>
        <v>187.88200000000001</v>
      </c>
      <c r="P115" s="158">
        <f>LOOKUP($A115,'GDP data'!$A$2:$A$192,'GDP data'!H$2:H$192)</f>
        <v>198.69900000000001</v>
      </c>
      <c r="Q115" s="158">
        <f>LOOKUP($A115,'GDP data'!$A$2:$A$192,'GDP data'!I$2:I$192)</f>
        <v>208.81299999999999</v>
      </c>
      <c r="R115" s="158">
        <f>LOOKUP($A115,'GDP data'!$A$2:$A$192,'GDP data'!J$2:J$192)</f>
        <v>217.892</v>
      </c>
      <c r="S115" s="158">
        <f>LOOKUP($A115,'GDP data'!$A$2:$A$192,'GDP data'!K$2:K$192)</f>
        <v>226.39099999999999</v>
      </c>
      <c r="T115" s="156"/>
      <c r="U115" s="156"/>
      <c r="V115" s="133">
        <f t="shared" si="48"/>
        <v>3.8190395716001069E-3</v>
      </c>
      <c r="W115" s="133">
        <f t="shared" si="49"/>
        <v>3.8032075890366487E-3</v>
      </c>
      <c r="X115" s="133">
        <f t="shared" si="50"/>
        <v>3.7642268238972615E-3</v>
      </c>
      <c r="Y115" s="133">
        <f t="shared" si="51"/>
        <v>3.6090337063025436E-3</v>
      </c>
      <c r="Z115" s="133">
        <f t="shared" si="52"/>
        <v>3.5909826015204085E-3</v>
      </c>
      <c r="AA115" s="133">
        <f t="shared" si="53"/>
        <v>3.5474165610549177E-3</v>
      </c>
      <c r="AB115" s="133">
        <f t="shared" si="54"/>
        <v>3.4797297183996774E-3</v>
      </c>
      <c r="AC115" s="133">
        <f t="shared" si="55"/>
        <v>3.4011696342200093E-3</v>
      </c>
      <c r="AD115" s="156"/>
      <c r="AE115" s="156"/>
      <c r="AF115" s="159">
        <f t="shared" si="57"/>
        <v>1.6734653544899725E-4</v>
      </c>
      <c r="AG115" s="159">
        <f t="shared" si="58"/>
        <v>2.0183369839844187E-4</v>
      </c>
      <c r="AH115" s="159">
        <f t="shared" si="59"/>
        <v>1.6360378389081254E-4</v>
      </c>
      <c r="AI115" s="159">
        <f t="shared" si="60"/>
        <v>6.2275591770140983E-5</v>
      </c>
      <c r="AJ115" s="159">
        <f t="shared" si="61"/>
        <v>2.0674497184746925E-4</v>
      </c>
      <c r="AK115" s="159">
        <f t="shared" si="62"/>
        <v>1.8056744673354886E-4</v>
      </c>
      <c r="AL115" s="159">
        <f t="shared" si="63"/>
        <v>1.5129549459732229E-4</v>
      </c>
      <c r="AM115" s="159">
        <f t="shared" si="64"/>
        <v>1.3266453436214172E-4</v>
      </c>
    </row>
    <row r="116" spans="1:39" hidden="1" outlineLevel="2">
      <c r="A116" s="160" t="s">
        <v>343</v>
      </c>
      <c r="B116" s="133">
        <f>LOOKUP($A116,'GDP data'!$A$2:$A$192,'GDP data'!P$2:P$192)</f>
        <v>5.13624385696414E-2</v>
      </c>
      <c r="C116" s="133">
        <f>LOOKUP($A116,'GDP data'!$A$2:$A$192,'GDP data'!Q$2:Q$192)</f>
        <v>5.0159376200513028E-2</v>
      </c>
      <c r="D116" s="133">
        <f>LOOKUP($A116,'GDP data'!$A$2:$A$192,'GDP data'!R$2:R$192)</f>
        <v>3.9438819900339928E-2</v>
      </c>
      <c r="E116" s="133">
        <f>LOOKUP($A116,'GDP data'!$A$2:$A$192,'GDP data'!S$2:S$192)</f>
        <v>5.6509373840754273E-2</v>
      </c>
      <c r="F116" s="133">
        <f>LOOKUP($A116,'GDP data'!$A$2:$A$192,'GDP data'!T$2:T$192)</f>
        <v>5.3540882654806721E-2</v>
      </c>
      <c r="G116" s="133">
        <f>LOOKUP($A116,'GDP data'!$A$2:$A$192,'GDP data'!U$2:U$192)</f>
        <v>5.2076123089018322E-2</v>
      </c>
      <c r="H116" s="133">
        <f>LOOKUP($A116,'GDP data'!$A$2:$A$192,'GDP data'!V$2:V$192)</f>
        <v>4.9555293830971126E-2</v>
      </c>
      <c r="I116" s="133">
        <f>LOOKUP($A116,'GDP data'!$A$2:$A$192,'GDP data'!W$2:W$192)</f>
        <v>4.8136453689945347E-2</v>
      </c>
      <c r="J116" s="851"/>
      <c r="K116" s="156"/>
      <c r="L116" s="158">
        <f>LOOKUP($A116,'GDP data'!$A$2:$A$192,'GDP data'!D$2:D$192)</f>
        <v>963.13</v>
      </c>
      <c r="M116" s="158">
        <f>LOOKUP($A116,'GDP data'!$A$2:$A$192,'GDP data'!E$2:E$192)</f>
        <v>1011.44</v>
      </c>
      <c r="N116" s="158">
        <f>LOOKUP($A116,'GDP data'!$A$2:$A$192,'GDP data'!F$2:F$192)</f>
        <v>1051.33</v>
      </c>
      <c r="O116" s="158">
        <f>LOOKUP($A116,'GDP data'!$A$2:$A$192,'GDP data'!G$2:G$192)</f>
        <v>1110.74</v>
      </c>
      <c r="P116" s="158">
        <f>LOOKUP($A116,'GDP data'!$A$2:$A$192,'GDP data'!H$2:H$192)</f>
        <v>1170.21</v>
      </c>
      <c r="Q116" s="158">
        <f>LOOKUP($A116,'GDP data'!$A$2:$A$192,'GDP data'!I$2:I$192)</f>
        <v>1231.1500000000001</v>
      </c>
      <c r="R116" s="158">
        <f>LOOKUP($A116,'GDP data'!$A$2:$A$192,'GDP data'!J$2:J$192)</f>
        <v>1292.1600000000001</v>
      </c>
      <c r="S116" s="158">
        <f>LOOKUP($A116,'GDP data'!$A$2:$A$192,'GDP data'!K$2:K$192)</f>
        <v>1354.36</v>
      </c>
      <c r="T116" s="156"/>
      <c r="U116" s="156"/>
      <c r="V116" s="133">
        <f t="shared" si="48"/>
        <v>2.1883554352013963E-2</v>
      </c>
      <c r="W116" s="133">
        <f t="shared" si="49"/>
        <v>2.1732614794495137E-2</v>
      </c>
      <c r="X116" s="133">
        <f t="shared" si="50"/>
        <v>2.1426917820016288E-2</v>
      </c>
      <c r="Y116" s="133">
        <f t="shared" si="51"/>
        <v>2.1336254132585809E-2</v>
      </c>
      <c r="Z116" s="133">
        <f t="shared" si="52"/>
        <v>2.1148590330727367E-2</v>
      </c>
      <c r="AA116" s="133">
        <f t="shared" si="53"/>
        <v>2.0915373559801172E-2</v>
      </c>
      <c r="AB116" s="133">
        <f t="shared" si="54"/>
        <v>2.063576245537848E-2</v>
      </c>
      <c r="AC116" s="133">
        <f t="shared" si="55"/>
        <v>2.0347134408179705E-2</v>
      </c>
      <c r="AD116" s="156"/>
      <c r="AE116" s="156"/>
      <c r="AF116" s="159">
        <f t="shared" si="57"/>
        <v>1.1239927160907259E-3</v>
      </c>
      <c r="AG116" s="159">
        <f t="shared" si="58"/>
        <v>1.0900944012979168E-3</v>
      </c>
      <c r="AH116" s="159">
        <f t="shared" si="59"/>
        <v>8.4505235292300657E-4</v>
      </c>
      <c r="AI116" s="159">
        <f t="shared" si="60"/>
        <v>1.2056983611396298E-3</v>
      </c>
      <c r="AJ116" s="159">
        <f t="shared" si="61"/>
        <v>1.1323141932120541E-3</v>
      </c>
      <c r="AK116" s="159">
        <f t="shared" si="62"/>
        <v>1.0891915679530051E-3</v>
      </c>
      <c r="AL116" s="159">
        <f t="shared" si="63"/>
        <v>1.0226112719024028E-3</v>
      </c>
      <c r="AM116" s="159">
        <f t="shared" si="64"/>
        <v>9.7943889316243595E-4</v>
      </c>
    </row>
    <row r="117" spans="1:39" hidden="1" outlineLevel="2">
      <c r="A117" s="160" t="s">
        <v>344</v>
      </c>
      <c r="B117" s="133">
        <f>LOOKUP($A117,'GDP data'!$A$2:$A$192,'GDP data'!P$2:P$192)</f>
        <v>2.7038498933406707E-2</v>
      </c>
      <c r="C117" s="133">
        <f>LOOKUP($A117,'GDP data'!$A$2:$A$192,'GDP data'!Q$2:Q$192)</f>
        <v>2.696248988862493E-2</v>
      </c>
      <c r="D117" s="133">
        <f>LOOKUP($A117,'GDP data'!$A$2:$A$192,'GDP data'!R$2:R$192)</f>
        <v>2.6921886286245034E-2</v>
      </c>
      <c r="E117" s="133">
        <f>LOOKUP($A117,'GDP data'!$A$2:$A$192,'GDP data'!S$2:S$192)</f>
        <v>4.2752305254943002E-2</v>
      </c>
      <c r="F117" s="133">
        <f>LOOKUP($A117,'GDP data'!$A$2:$A$192,'GDP data'!T$2:T$192)</f>
        <v>3.9949120040086994E-2</v>
      </c>
      <c r="G117" s="133">
        <f>LOOKUP($A117,'GDP data'!$A$2:$A$192,'GDP data'!U$2:U$192)</f>
        <v>3.870174636611301E-2</v>
      </c>
      <c r="H117" s="133">
        <f>LOOKUP($A117,'GDP data'!$A$2:$A$192,'GDP data'!V$2:V$192)</f>
        <v>3.6349795413455066E-2</v>
      </c>
      <c r="I117" s="133">
        <f>LOOKUP($A117,'GDP data'!$A$2:$A$192,'GDP data'!W$2:W$192)</f>
        <v>3.3020383803140207E-2</v>
      </c>
      <c r="J117" s="851"/>
      <c r="K117" s="156"/>
      <c r="L117" s="158">
        <f>LOOKUP($A117,'GDP data'!$A$2:$A$192,'GDP data'!D$2:D$192)</f>
        <v>283.09699999999998</v>
      </c>
      <c r="M117" s="158">
        <f>LOOKUP($A117,'GDP data'!$A$2:$A$192,'GDP data'!E$2:E$192)</f>
        <v>290.73</v>
      </c>
      <c r="N117" s="158">
        <f>LOOKUP($A117,'GDP data'!$A$2:$A$192,'GDP data'!F$2:F$192)</f>
        <v>298.55700000000002</v>
      </c>
      <c r="O117" s="158">
        <f>LOOKUP($A117,'GDP data'!$A$2:$A$192,'GDP data'!G$2:G$192)</f>
        <v>311.32100000000003</v>
      </c>
      <c r="P117" s="158">
        <f>LOOKUP($A117,'GDP data'!$A$2:$A$192,'GDP data'!H$2:H$192)</f>
        <v>323.75799999999998</v>
      </c>
      <c r="Q117" s="158">
        <f>LOOKUP($A117,'GDP data'!$A$2:$A$192,'GDP data'!I$2:I$192)</f>
        <v>336.28800000000001</v>
      </c>
      <c r="R117" s="158">
        <f>LOOKUP($A117,'GDP data'!$A$2:$A$192,'GDP data'!J$2:J$192)</f>
        <v>348.512</v>
      </c>
      <c r="S117" s="158">
        <f>LOOKUP($A117,'GDP data'!$A$2:$A$192,'GDP data'!K$2:K$192)</f>
        <v>360.02</v>
      </c>
      <c r="T117" s="156"/>
      <c r="U117" s="156"/>
      <c r="V117" s="133">
        <f t="shared" si="48"/>
        <v>6.4323285396489533E-3</v>
      </c>
      <c r="W117" s="133">
        <f t="shared" si="49"/>
        <v>6.2468590318788767E-3</v>
      </c>
      <c r="X117" s="133">
        <f t="shared" si="50"/>
        <v>6.0848223712731521E-3</v>
      </c>
      <c r="Y117" s="133">
        <f t="shared" si="51"/>
        <v>5.9801789553007431E-3</v>
      </c>
      <c r="Z117" s="133">
        <f t="shared" si="52"/>
        <v>5.8511081842537917E-3</v>
      </c>
      <c r="AA117" s="133">
        <f t="shared" si="53"/>
        <v>5.71302371252765E-3</v>
      </c>
      <c r="AB117" s="133">
        <f t="shared" si="54"/>
        <v>5.5657278083587666E-3</v>
      </c>
      <c r="AC117" s="133">
        <f t="shared" si="55"/>
        <v>5.4087357346886047E-3</v>
      </c>
      <c r="AD117" s="156"/>
      <c r="AE117" s="156"/>
      <c r="AF117" s="159">
        <f t="shared" si="57"/>
        <v>1.7392050835861975E-4</v>
      </c>
      <c r="AG117" s="159">
        <f t="shared" si="58"/>
        <v>1.6843087348269954E-4</v>
      </c>
      <c r="AH117" s="159">
        <f t="shared" si="59"/>
        <v>1.6381489595141565E-4</v>
      </c>
      <c r="AI117" s="159">
        <f t="shared" si="60"/>
        <v>2.5566643617620349E-4</v>
      </c>
      <c r="AJ117" s="159">
        <f t="shared" si="61"/>
        <v>2.3374662322029019E-4</v>
      </c>
      <c r="AK117" s="159">
        <f t="shared" si="62"/>
        <v>2.2110399470583444E-4</v>
      </c>
      <c r="AL117" s="159">
        <f t="shared" si="63"/>
        <v>2.0231306716081882E-4</v>
      </c>
      <c r="AM117" s="159">
        <f t="shared" si="64"/>
        <v>1.7859852984917726E-4</v>
      </c>
    </row>
    <row r="118" spans="1:39" hidden="1" outlineLevel="2">
      <c r="A118" s="160" t="s">
        <v>346</v>
      </c>
      <c r="B118" s="133">
        <f>LOOKUP($A118,'GDP data'!$A$2:$A$192,'GDP data'!P$2:P$192)</f>
        <v>5.845301700897032E-2</v>
      </c>
      <c r="C118" s="133">
        <f>LOOKUP($A118,'GDP data'!$A$2:$A$192,'GDP data'!Q$2:Q$192)</f>
        <v>4.6736947957222386E-2</v>
      </c>
      <c r="D118" s="133">
        <f>LOOKUP($A118,'GDP data'!$A$2:$A$192,'GDP data'!R$2:R$192)</f>
        <v>3.5346576580562283E-2</v>
      </c>
      <c r="E118" s="133">
        <f>LOOKUP($A118,'GDP data'!$A$2:$A$192,'GDP data'!S$2:S$192)</f>
        <v>4.3058637519344023E-2</v>
      </c>
      <c r="F118" s="133">
        <f>LOOKUP($A118,'GDP data'!$A$2:$A$192,'GDP data'!T$2:T$192)</f>
        <v>5.1013958388201219E-2</v>
      </c>
      <c r="G118" s="133">
        <f>LOOKUP($A118,'GDP data'!$A$2:$A$192,'GDP data'!U$2:U$192)</f>
        <v>4.8710474074445287E-2</v>
      </c>
      <c r="H118" s="133">
        <f>LOOKUP($A118,'GDP data'!$A$2:$A$192,'GDP data'!V$2:V$192)</f>
        <v>4.9511758677633244E-2</v>
      </c>
      <c r="I118" s="133">
        <f>LOOKUP($A118,'GDP data'!$A$2:$A$192,'GDP data'!W$2:W$192)</f>
        <v>5.1984912991674959E-2</v>
      </c>
      <c r="J118" s="851"/>
      <c r="K118" s="156"/>
      <c r="L118" s="158">
        <f>LOOKUP($A118,'GDP data'!$A$2:$A$192,'GDP data'!D$2:D$192)</f>
        <v>302.30900000000003</v>
      </c>
      <c r="M118" s="158">
        <f>LOOKUP($A118,'GDP data'!$A$2:$A$192,'GDP data'!E$2:E$192)</f>
        <v>316.43799999999999</v>
      </c>
      <c r="N118" s="158">
        <f>LOOKUP($A118,'GDP data'!$A$2:$A$192,'GDP data'!F$2:F$192)</f>
        <v>327.62299999999999</v>
      </c>
      <c r="O118" s="158">
        <f>LOOKUP($A118,'GDP data'!$A$2:$A$192,'GDP data'!G$2:G$192)</f>
        <v>341.73</v>
      </c>
      <c r="P118" s="158">
        <f>LOOKUP($A118,'GDP data'!$A$2:$A$192,'GDP data'!H$2:H$192)</f>
        <v>359.16300000000001</v>
      </c>
      <c r="Q118" s="158">
        <f>LOOKUP($A118,'GDP data'!$A$2:$A$192,'GDP data'!I$2:I$192)</f>
        <v>376.65800000000002</v>
      </c>
      <c r="R118" s="158">
        <f>LOOKUP($A118,'GDP data'!$A$2:$A$192,'GDP data'!J$2:J$192)</f>
        <v>395.30700000000002</v>
      </c>
      <c r="S118" s="158">
        <f>LOOKUP($A118,'GDP data'!$A$2:$A$192,'GDP data'!K$2:K$192)</f>
        <v>415.85700000000003</v>
      </c>
      <c r="T118" s="156"/>
      <c r="U118" s="156"/>
      <c r="V118" s="133">
        <f t="shared" si="48"/>
        <v>6.8688499295037949E-3</v>
      </c>
      <c r="W118" s="133">
        <f t="shared" si="49"/>
        <v>6.7992418337622113E-3</v>
      </c>
      <c r="X118" s="133">
        <f t="shared" si="50"/>
        <v>6.6772099121562177E-3</v>
      </c>
      <c r="Y118" s="133">
        <f t="shared" si="51"/>
        <v>6.5643067907237961E-3</v>
      </c>
      <c r="Z118" s="133">
        <f t="shared" si="52"/>
        <v>6.4909641422950005E-3</v>
      </c>
      <c r="AA118" s="133">
        <f t="shared" si="53"/>
        <v>6.3988488602425295E-3</v>
      </c>
      <c r="AB118" s="133">
        <f t="shared" si="54"/>
        <v>6.3130427725268546E-3</v>
      </c>
      <c r="AC118" s="133">
        <f t="shared" si="55"/>
        <v>6.2475990678862265E-3</v>
      </c>
      <c r="AD118" s="156"/>
      <c r="AE118" s="156"/>
      <c r="AF118" s="159">
        <f t="shared" si="57"/>
        <v>4.0150500176134994E-4</v>
      </c>
      <c r="AG118" s="159">
        <f t="shared" si="58"/>
        <v>3.1777581173311379E-4</v>
      </c>
      <c r="AH118" s="159">
        <f t="shared" si="59"/>
        <v>2.3601651150451929E-4</v>
      </c>
      <c r="AI118" s="159">
        <f t="shared" si="60"/>
        <v>2.8265010666754438E-4</v>
      </c>
      <c r="AJ118" s="159">
        <f t="shared" si="61"/>
        <v>3.3112977465434338E-4</v>
      </c>
      <c r="AK118" s="159">
        <f t="shared" si="62"/>
        <v>3.1169096151313749E-4</v>
      </c>
      <c r="AL118" s="159">
        <f t="shared" si="63"/>
        <v>3.1256985027492632E-4</v>
      </c>
      <c r="AM118" s="159">
        <f t="shared" si="64"/>
        <v>3.2478089395093508E-4</v>
      </c>
    </row>
    <row r="119" spans="1:39" hidden="1" outlineLevel="2">
      <c r="A119" s="160" t="s">
        <v>347</v>
      </c>
      <c r="B119" s="133">
        <f>LOOKUP($A119,'GDP data'!$A$2:$A$192,'GDP data'!P$2:P$192)</f>
        <v>4.9261736429835778E-2</v>
      </c>
      <c r="C119" s="133">
        <f>LOOKUP($A119,'GDP data'!$A$2:$A$192,'GDP data'!Q$2:Q$192)</f>
        <v>5.0651325127158531E-2</v>
      </c>
      <c r="D119" s="133">
        <f>LOOKUP($A119,'GDP data'!$A$2:$A$192,'GDP data'!R$2:R$192)</f>
        <v>6.1555028868943262E-2</v>
      </c>
      <c r="E119" s="133">
        <f>LOOKUP($A119,'GDP data'!$A$2:$A$192,'GDP data'!S$2:S$192)</f>
        <v>7.3378831862254579E-2</v>
      </c>
      <c r="F119" s="133">
        <f>LOOKUP($A119,'GDP data'!$A$2:$A$192,'GDP data'!T$2:T$192)</f>
        <v>6.4215074087825341E-2</v>
      </c>
      <c r="G119" s="133">
        <f>LOOKUP($A119,'GDP data'!$A$2:$A$192,'GDP data'!U$2:U$192)</f>
        <v>6.0005312485133189E-2</v>
      </c>
      <c r="H119" s="133">
        <f>LOOKUP($A119,'GDP data'!$A$2:$A$192,'GDP data'!V$2:V$192)</f>
        <v>5.466551221801863E-2</v>
      </c>
      <c r="I119" s="133">
        <f>LOOKUP($A119,'GDP data'!$A$2:$A$192,'GDP data'!W$2:W$192)</f>
        <v>5.4399574449222055E-2</v>
      </c>
      <c r="J119" s="851"/>
      <c r="K119" s="156"/>
      <c r="L119" s="158">
        <f>LOOKUP($A119,'GDP data'!$A$2:$A$192,'GDP data'!D$2:D$192)</f>
        <v>395.96199999999999</v>
      </c>
      <c r="M119" s="158">
        <f>LOOKUP($A119,'GDP data'!$A$2:$A$192,'GDP data'!E$2:E$192)</f>
        <v>416.01799999999997</v>
      </c>
      <c r="N119" s="158">
        <f>LOOKUP($A119,'GDP data'!$A$2:$A$192,'GDP data'!F$2:F$192)</f>
        <v>441.62599999999998</v>
      </c>
      <c r="O119" s="158">
        <f>LOOKUP($A119,'GDP data'!$A$2:$A$192,'GDP data'!G$2:G$192)</f>
        <v>474.03199999999998</v>
      </c>
      <c r="P119" s="158">
        <f>LOOKUP($A119,'GDP data'!$A$2:$A$192,'GDP data'!H$2:H$192)</f>
        <v>504.47199999999998</v>
      </c>
      <c r="Q119" s="158">
        <f>LOOKUP($A119,'GDP data'!$A$2:$A$192,'GDP data'!I$2:I$192)</f>
        <v>534.74300000000005</v>
      </c>
      <c r="R119" s="158">
        <f>LOOKUP($A119,'GDP data'!$A$2:$A$192,'GDP data'!J$2:J$192)</f>
        <v>563.97500000000002</v>
      </c>
      <c r="S119" s="158">
        <f>LOOKUP($A119,'GDP data'!$A$2:$A$192,'GDP data'!K$2:K$192)</f>
        <v>594.65499999999997</v>
      </c>
      <c r="T119" s="156"/>
      <c r="U119" s="156"/>
      <c r="V119" s="133">
        <f t="shared" si="48"/>
        <v>8.9967667379607652E-3</v>
      </c>
      <c r="W119" s="133">
        <f t="shared" si="49"/>
        <v>8.9388979490392668E-3</v>
      </c>
      <c r="X119" s="133">
        <f t="shared" si="50"/>
        <v>9.0006791484904952E-3</v>
      </c>
      <c r="Y119" s="133">
        <f t="shared" si="51"/>
        <v>9.1057018014818192E-3</v>
      </c>
      <c r="Z119" s="133">
        <f t="shared" si="52"/>
        <v>9.117057332720363E-3</v>
      </c>
      <c r="AA119" s="133">
        <f t="shared" si="53"/>
        <v>9.0844735438319942E-3</v>
      </c>
      <c r="AB119" s="133">
        <f t="shared" si="54"/>
        <v>9.0066664583117236E-3</v>
      </c>
      <c r="AC119" s="133">
        <f t="shared" si="55"/>
        <v>8.9337585365014491E-3</v>
      </c>
      <c r="AD119" s="156"/>
      <c r="AE119" s="156"/>
      <c r="AF119" s="159">
        <f t="shared" si="57"/>
        <v>4.4319635176613665E-4</v>
      </c>
      <c r="AG119" s="159">
        <f t="shared" si="58"/>
        <v>4.5276702629527848E-4</v>
      </c>
      <c r="AH119" s="159">
        <f t="shared" si="59"/>
        <v>5.5403706482542807E-4</v>
      </c>
      <c r="AI119" s="159">
        <f t="shared" si="60"/>
        <v>6.6816576147876304E-4</v>
      </c>
      <c r="AJ119" s="159">
        <f t="shared" si="61"/>
        <v>5.8545251208358938E-4</v>
      </c>
      <c r="AK119" s="159">
        <f t="shared" si="62"/>
        <v>5.4511667376056405E-4</v>
      </c>
      <c r="AL119" s="159">
        <f t="shared" si="63"/>
        <v>4.9235403532045812E-4</v>
      </c>
      <c r="AM119" s="159">
        <f t="shared" si="64"/>
        <v>4.8599266261778365E-4</v>
      </c>
    </row>
    <row r="120" spans="1:39" hidden="1" outlineLevel="2">
      <c r="A120" s="160" t="s">
        <v>349</v>
      </c>
      <c r="B120" s="133">
        <f>LOOKUP($A120,'GDP data'!$A$2:$A$192,'GDP data'!P$2:P$192)</f>
        <v>9.5532724073338349E-2</v>
      </c>
      <c r="C120" s="133">
        <f>LOOKUP($A120,'GDP data'!$A$2:$A$192,'GDP data'!Q$2:Q$192)</f>
        <v>0.10051813471502569</v>
      </c>
      <c r="D120" s="133">
        <f>LOOKUP($A120,'GDP data'!$A$2:$A$192,'GDP data'!R$2:R$192)</f>
        <v>7.2834274952919165E-2</v>
      </c>
      <c r="E120" s="133">
        <f>LOOKUP($A120,'GDP data'!$A$2:$A$192,'GDP data'!S$2:S$192)</f>
        <v>8.0089524729012096E-2</v>
      </c>
      <c r="F120" s="133">
        <f>LOOKUP($A120,'GDP data'!$A$2:$A$192,'GDP data'!T$2:T$192)</f>
        <v>8.8940354298716162E-2</v>
      </c>
      <c r="G120" s="133">
        <f>LOOKUP($A120,'GDP data'!$A$2:$A$192,'GDP data'!U$2:U$192)</f>
        <v>9.5406887802693907E-2</v>
      </c>
      <c r="H120" s="133">
        <f>LOOKUP($A120,'GDP data'!$A$2:$A$192,'GDP data'!V$2:V$192)</f>
        <v>9.762245384562962E-2</v>
      </c>
      <c r="I120" s="133">
        <f>LOOKUP($A120,'GDP data'!$A$2:$A$192,'GDP data'!W$2:W$192)</f>
        <v>9.7101539225422195E-2</v>
      </c>
      <c r="J120" s="851"/>
      <c r="K120" s="156"/>
      <c r="L120" s="158">
        <f>LOOKUP($A120,'GDP data'!$A$2:$A$192,'GDP data'!D$2:D$192)</f>
        <v>19.3</v>
      </c>
      <c r="M120" s="158">
        <f>LOOKUP($A120,'GDP data'!$A$2:$A$192,'GDP data'!E$2:E$192)</f>
        <v>21.24</v>
      </c>
      <c r="N120" s="158">
        <f>LOOKUP($A120,'GDP data'!$A$2:$A$192,'GDP data'!F$2:F$192)</f>
        <v>22.786999999999999</v>
      </c>
      <c r="O120" s="158">
        <f>LOOKUP($A120,'GDP data'!$A$2:$A$192,'GDP data'!G$2:G$192)</f>
        <v>24.611999999999998</v>
      </c>
      <c r="P120" s="158">
        <f>LOOKUP($A120,'GDP data'!$A$2:$A$192,'GDP data'!H$2:H$192)</f>
        <v>26.800999999999998</v>
      </c>
      <c r="Q120" s="158">
        <f>LOOKUP($A120,'GDP data'!$A$2:$A$192,'GDP data'!I$2:I$192)</f>
        <v>29.358000000000001</v>
      </c>
      <c r="R120" s="158">
        <f>LOOKUP($A120,'GDP data'!$A$2:$A$192,'GDP data'!J$2:J$192)</f>
        <v>32.223999999999997</v>
      </c>
      <c r="S120" s="158">
        <f>LOOKUP($A120,'GDP data'!$A$2:$A$192,'GDP data'!K$2:K$192)</f>
        <v>35.353000000000002</v>
      </c>
      <c r="T120" s="156"/>
      <c r="U120" s="156"/>
      <c r="V120" s="133">
        <f t="shared" si="48"/>
        <v>4.3852086322082118E-4</v>
      </c>
      <c r="W120" s="133">
        <f t="shared" si="49"/>
        <v>4.5637975385102092E-4</v>
      </c>
      <c r="X120" s="133">
        <f t="shared" si="50"/>
        <v>4.6441666875739407E-4</v>
      </c>
      <c r="Y120" s="133">
        <f t="shared" si="51"/>
        <v>4.7277300422349233E-4</v>
      </c>
      <c r="Z120" s="133">
        <f t="shared" si="52"/>
        <v>4.8436038783963913E-4</v>
      </c>
      <c r="AA120" s="133">
        <f t="shared" si="53"/>
        <v>4.9874794864041168E-4</v>
      </c>
      <c r="AB120" s="133">
        <f t="shared" si="54"/>
        <v>5.1461646341174156E-4</v>
      </c>
      <c r="AC120" s="133">
        <f t="shared" si="55"/>
        <v>5.31123366558653E-4</v>
      </c>
      <c r="AD120" s="156"/>
      <c r="AE120" s="156"/>
      <c r="AF120" s="159">
        <f t="shared" si="57"/>
        <v>4.1893092626476856E-5</v>
      </c>
      <c r="AG120" s="159">
        <f t="shared" si="58"/>
        <v>4.5874441578807186E-5</v>
      </c>
      <c r="AH120" s="159">
        <f t="shared" si="59"/>
        <v>3.3825451344994821E-5</v>
      </c>
      <c r="AI120" s="159">
        <f t="shared" si="60"/>
        <v>3.7864165212966729E-5</v>
      </c>
      <c r="AJ120" s="159">
        <f t="shared" si="61"/>
        <v>4.3079184502721076E-5</v>
      </c>
      <c r="AK120" s="159">
        <f t="shared" si="62"/>
        <v>4.75839895777595E-5</v>
      </c>
      <c r="AL120" s="159">
        <f t="shared" si="63"/>
        <v>5.0238121947613881E-5</v>
      </c>
      <c r="AM120" s="159">
        <f t="shared" si="64"/>
        <v>5.1572896411433336E-5</v>
      </c>
    </row>
    <row r="121" spans="1:39" hidden="1" outlineLevel="2">
      <c r="A121" s="160" t="s">
        <v>351</v>
      </c>
      <c r="B121" s="133">
        <f>LOOKUP($A121,'GDP data'!$A$2:$A$192,'GDP data'!P$2:P$192)</f>
        <v>8.2858622475401322E-3</v>
      </c>
      <c r="C121" s="133">
        <f>LOOKUP($A121,'GDP data'!$A$2:$A$192,'GDP data'!Q$2:Q$192)</f>
        <v>1.5921931176168469E-2</v>
      </c>
      <c r="D121" s="133">
        <f>LOOKUP($A121,'GDP data'!$A$2:$A$192,'GDP data'!R$2:R$192)</f>
        <v>2.2750252780586511E-2</v>
      </c>
      <c r="E121" s="133">
        <f>LOOKUP($A121,'GDP data'!$A$2:$A$192,'GDP data'!S$2:S$192)</f>
        <v>2.9658922392486353E-2</v>
      </c>
      <c r="F121" s="133">
        <f>LOOKUP($A121,'GDP data'!$A$2:$A$192,'GDP data'!T$2:T$192)</f>
        <v>3.2645223235717502E-2</v>
      </c>
      <c r="G121" s="133">
        <f>LOOKUP($A121,'GDP data'!$A$2:$A$192,'GDP data'!U$2:U$192)</f>
        <v>3.4402603440260471E-2</v>
      </c>
      <c r="H121" s="133">
        <f>LOOKUP($A121,'GDP data'!$A$2:$A$192,'GDP data'!V$2:V$192)</f>
        <v>3.4157303370786485E-2</v>
      </c>
      <c r="I121" s="133">
        <f>LOOKUP($A121,'GDP data'!$A$2:$A$192,'GDP data'!W$2:W$192)</f>
        <v>3.3898305084745672E-2</v>
      </c>
      <c r="J121" s="851"/>
      <c r="K121" s="156"/>
      <c r="L121" s="158">
        <f>LOOKUP($A121,'GDP data'!$A$2:$A$192,'GDP data'!D$2:D$192)</f>
        <v>1.9470000000000001</v>
      </c>
      <c r="M121" s="158">
        <f>LOOKUP($A121,'GDP data'!$A$2:$A$192,'GDP data'!E$2:E$192)</f>
        <v>1.978</v>
      </c>
      <c r="N121" s="158">
        <f>LOOKUP($A121,'GDP data'!$A$2:$A$192,'GDP data'!F$2:F$192)</f>
        <v>2.0230000000000001</v>
      </c>
      <c r="O121" s="158">
        <f>LOOKUP($A121,'GDP data'!$A$2:$A$192,'GDP data'!G$2:G$192)</f>
        <v>2.0830000000000002</v>
      </c>
      <c r="P121" s="158">
        <f>LOOKUP($A121,'GDP data'!$A$2:$A$192,'GDP data'!H$2:H$192)</f>
        <v>2.1509999999999998</v>
      </c>
      <c r="Q121" s="158">
        <f>LOOKUP($A121,'GDP data'!$A$2:$A$192,'GDP data'!I$2:I$192)</f>
        <v>2.2250000000000001</v>
      </c>
      <c r="R121" s="158">
        <f>LOOKUP($A121,'GDP data'!$A$2:$A$192,'GDP data'!J$2:J$192)</f>
        <v>2.3010000000000002</v>
      </c>
      <c r="S121" s="158">
        <f>LOOKUP($A121,'GDP data'!$A$2:$A$192,'GDP data'!K$2:K$192)</f>
        <v>2.379</v>
      </c>
      <c r="T121" s="156"/>
      <c r="U121" s="156"/>
      <c r="V121" s="133">
        <f t="shared" si="48"/>
        <v>4.4238348222328433E-5</v>
      </c>
      <c r="W121" s="133">
        <f t="shared" si="49"/>
        <v>4.250090174751975E-5</v>
      </c>
      <c r="X121" s="133">
        <f t="shared" si="50"/>
        <v>4.1230303282407004E-5</v>
      </c>
      <c r="Y121" s="133">
        <f t="shared" si="51"/>
        <v>4.0012439777244219E-5</v>
      </c>
      <c r="Z121" s="133">
        <f t="shared" si="52"/>
        <v>3.8873892550392291E-5</v>
      </c>
      <c r="AA121" s="133">
        <f t="shared" si="53"/>
        <v>3.7799379580520331E-5</v>
      </c>
      <c r="AB121" s="133">
        <f t="shared" si="54"/>
        <v>3.6746911690367972E-5</v>
      </c>
      <c r="AC121" s="133">
        <f t="shared" si="55"/>
        <v>3.5740743049897755E-5</v>
      </c>
      <c r="AD121" s="156"/>
      <c r="AE121" s="156"/>
      <c r="AF121" s="159">
        <f t="shared" si="57"/>
        <v>3.6655285942892526E-7</v>
      </c>
      <c r="AG121" s="159">
        <f t="shared" si="58"/>
        <v>6.7669643254910763E-7</v>
      </c>
      <c r="AH121" s="159">
        <f t="shared" si="59"/>
        <v>9.3799982189500513E-7</v>
      </c>
      <c r="AI121" s="159">
        <f t="shared" si="60"/>
        <v>1.1867258460873202E-6</v>
      </c>
      <c r="AJ121" s="159">
        <f t="shared" si="61"/>
        <v>1.2690469003488519E-6</v>
      </c>
      <c r="AK121" s="159">
        <f t="shared" si="62"/>
        <v>1.3003970659965202E-6</v>
      </c>
      <c r="AL121" s="159">
        <f t="shared" si="63"/>
        <v>1.2551754105473993E-6</v>
      </c>
      <c r="AM121" s="159">
        <f t="shared" si="64"/>
        <v>1.2115506118609377E-6</v>
      </c>
    </row>
    <row r="122" spans="1:39" hidden="1" outlineLevel="2">
      <c r="A122" s="160" t="s">
        <v>352</v>
      </c>
      <c r="B122" s="133">
        <f>LOOKUP($A122,'GDP data'!$A$2:$A$192,'GDP data'!P$2:P$192)</f>
        <v>5.8823529411764497E-2</v>
      </c>
      <c r="C122" s="133">
        <f>LOOKUP($A122,'GDP data'!$A$2:$A$192,'GDP data'!Q$2:Q$192)</f>
        <v>5.2083333333333481E-2</v>
      </c>
      <c r="D122" s="133">
        <f>LOOKUP($A122,'GDP data'!$A$2:$A$192,'GDP data'!R$2:R$192)</f>
        <v>5.2805280528052778E-2</v>
      </c>
      <c r="E122" s="133">
        <f>LOOKUP($A122,'GDP data'!$A$2:$A$192,'GDP data'!S$2:S$192)</f>
        <v>6.8965517241379448E-2</v>
      </c>
      <c r="F122" s="133">
        <f>LOOKUP($A122,'GDP data'!$A$2:$A$192,'GDP data'!T$2:T$192)</f>
        <v>7.4780058651026327E-2</v>
      </c>
      <c r="G122" s="133">
        <f>LOOKUP($A122,'GDP data'!$A$2:$A$192,'GDP data'!U$2:U$192)</f>
        <v>7.776261937244211E-2</v>
      </c>
      <c r="H122" s="133">
        <f>LOOKUP($A122,'GDP data'!$A$2:$A$192,'GDP data'!V$2:V$192)</f>
        <v>7.7215189873417689E-2</v>
      </c>
      <c r="I122" s="133">
        <f>LOOKUP($A122,'GDP data'!$A$2:$A$192,'GDP data'!W$2:W$192)</f>
        <v>7.7555816686251555E-2</v>
      </c>
      <c r="J122" s="851"/>
      <c r="K122" s="156"/>
      <c r="L122" s="158">
        <f>LOOKUP($A122,'GDP data'!$A$2:$A$192,'GDP data'!D$2:D$192)</f>
        <v>0.57599999999999996</v>
      </c>
      <c r="M122" s="158">
        <f>LOOKUP($A122,'GDP data'!$A$2:$A$192,'GDP data'!E$2:E$192)</f>
        <v>0.60599999999999998</v>
      </c>
      <c r="N122" s="158">
        <f>LOOKUP($A122,'GDP data'!$A$2:$A$192,'GDP data'!F$2:F$192)</f>
        <v>0.63800000000000001</v>
      </c>
      <c r="O122" s="158">
        <f>LOOKUP($A122,'GDP data'!$A$2:$A$192,'GDP data'!G$2:G$192)</f>
        <v>0.68200000000000005</v>
      </c>
      <c r="P122" s="158">
        <f>LOOKUP($A122,'GDP data'!$A$2:$A$192,'GDP data'!H$2:H$192)</f>
        <v>0.73299999999999998</v>
      </c>
      <c r="Q122" s="158">
        <f>LOOKUP($A122,'GDP data'!$A$2:$A$192,'GDP data'!I$2:I$192)</f>
        <v>0.79</v>
      </c>
      <c r="R122" s="158">
        <f>LOOKUP($A122,'GDP data'!$A$2:$A$192,'GDP data'!J$2:J$192)</f>
        <v>0.85099999999999998</v>
      </c>
      <c r="S122" s="158">
        <f>LOOKUP($A122,'GDP data'!$A$2:$A$192,'GDP data'!K$2:K$192)</f>
        <v>0.91700000000000004</v>
      </c>
      <c r="T122" s="156"/>
      <c r="U122" s="156"/>
      <c r="V122" s="133">
        <f t="shared" si="48"/>
        <v>1.3087462031875284E-5</v>
      </c>
      <c r="W122" s="133">
        <f t="shared" si="49"/>
        <v>1.3021004276540428E-5</v>
      </c>
      <c r="X122" s="133">
        <f t="shared" si="50"/>
        <v>1.3002933017387873E-5</v>
      </c>
      <c r="Y122" s="133">
        <f t="shared" si="51"/>
        <v>1.3100568376418894E-5</v>
      </c>
      <c r="Z122" s="133">
        <f t="shared" si="52"/>
        <v>1.3247123774726895E-5</v>
      </c>
      <c r="AA122" s="133">
        <f t="shared" si="53"/>
        <v>1.342090331173531E-5</v>
      </c>
      <c r="AB122" s="133">
        <f t="shared" si="54"/>
        <v>1.3590448434812318E-5</v>
      </c>
      <c r="AC122" s="133">
        <f t="shared" si="55"/>
        <v>1.3776486497165298E-5</v>
      </c>
      <c r="AD122" s="156"/>
      <c r="AE122" s="156"/>
      <c r="AF122" s="159">
        <f t="shared" si="57"/>
        <v>7.6985070775736694E-7</v>
      </c>
      <c r="AG122" s="159">
        <f t="shared" si="58"/>
        <v>6.7817730606981592E-7</v>
      </c>
      <c r="AH122" s="159">
        <f t="shared" si="59"/>
        <v>6.866235256706464E-7</v>
      </c>
      <c r="AI122" s="159">
        <f t="shared" si="60"/>
        <v>9.034874742357876E-7</v>
      </c>
      <c r="AJ122" s="159">
        <f t="shared" si="61"/>
        <v>9.9062069283148246E-7</v>
      </c>
      <c r="AK122" s="159">
        <f t="shared" si="62"/>
        <v>1.0436445958648206E-6</v>
      </c>
      <c r="AL122" s="159">
        <f t="shared" si="63"/>
        <v>1.0493890563589253E-6</v>
      </c>
      <c r="AM122" s="159">
        <f t="shared" si="64"/>
        <v>1.0684466613547717E-6</v>
      </c>
    </row>
    <row r="123" spans="1:39" hidden="1" outlineLevel="2">
      <c r="A123" s="160" t="s">
        <v>353</v>
      </c>
      <c r="B123" s="133">
        <f>LOOKUP($A123,'GDP data'!$A$2:$A$192,'GDP data'!P$2:P$192)</f>
        <v>5.539808823816883E-2</v>
      </c>
      <c r="C123" s="133">
        <f>LOOKUP($A123,'GDP data'!$A$2:$A$192,'GDP data'!Q$2:Q$192)</f>
        <v>5.2348230877985902E-2</v>
      </c>
      <c r="D123" s="133">
        <f>LOOKUP($A123,'GDP data'!$A$2:$A$192,'GDP data'!R$2:R$192)</f>
        <v>3.0395653908431575E-2</v>
      </c>
      <c r="E123" s="133">
        <f>LOOKUP($A123,'GDP data'!$A$2:$A$192,'GDP data'!S$2:S$192)</f>
        <v>1.8749323874215129E-2</v>
      </c>
      <c r="F123" s="133">
        <f>LOOKUP($A123,'GDP data'!$A$2:$A$192,'GDP data'!T$2:T$192)</f>
        <v>3.0906631791913997E-2</v>
      </c>
      <c r="G123" s="133">
        <f>LOOKUP($A123,'GDP data'!$A$2:$A$192,'GDP data'!U$2:U$192)</f>
        <v>3.799280045105613E-2</v>
      </c>
      <c r="H123" s="133">
        <f>LOOKUP($A123,'GDP data'!$A$2:$A$192,'GDP data'!V$2:V$192)</f>
        <v>3.9876948146910118E-2</v>
      </c>
      <c r="I123" s="133">
        <f>LOOKUP($A123,'GDP data'!$A$2:$A$192,'GDP data'!W$2:W$192)</f>
        <v>4.1090110949829173E-2</v>
      </c>
      <c r="J123" s="851"/>
      <c r="K123" s="156"/>
      <c r="L123" s="158">
        <f>LOOKUP($A123,'GDP data'!$A$2:$A$192,'GDP data'!D$2:D$192)</f>
        <v>1619.73</v>
      </c>
      <c r="M123" s="158">
        <f>LOOKUP($A123,'GDP data'!$A$2:$A$192,'GDP data'!E$2:E$192)</f>
        <v>1704.52</v>
      </c>
      <c r="N123" s="158">
        <f>LOOKUP($A123,'GDP data'!$A$2:$A$192,'GDP data'!F$2:F$192)</f>
        <v>1756.33</v>
      </c>
      <c r="O123" s="158">
        <f>LOOKUP($A123,'GDP data'!$A$2:$A$192,'GDP data'!G$2:G$192)</f>
        <v>1789.26</v>
      </c>
      <c r="P123" s="158">
        <f>LOOKUP($A123,'GDP data'!$A$2:$A$192,'GDP data'!H$2:H$192)</f>
        <v>1844.56</v>
      </c>
      <c r="Q123" s="158">
        <f>LOOKUP($A123,'GDP data'!$A$2:$A$192,'GDP data'!I$2:I$192)</f>
        <v>1914.64</v>
      </c>
      <c r="R123" s="158">
        <f>LOOKUP($A123,'GDP data'!$A$2:$A$192,'GDP data'!J$2:J$192)</f>
        <v>1990.99</v>
      </c>
      <c r="S123" s="158">
        <f>LOOKUP($A123,'GDP data'!$A$2:$A$192,'GDP data'!K$2:K$192)</f>
        <v>2072.8000000000002</v>
      </c>
      <c r="T123" s="156"/>
      <c r="U123" s="156"/>
      <c r="V123" s="133">
        <f t="shared" si="48"/>
        <v>3.6802352216821793E-2</v>
      </c>
      <c r="W123" s="133">
        <f t="shared" si="49"/>
        <v>3.6624690114601802E-2</v>
      </c>
      <c r="X123" s="133">
        <f t="shared" si="50"/>
        <v>3.5795362611957433E-2</v>
      </c>
      <c r="Y123" s="133">
        <f t="shared" si="51"/>
        <v>3.4369975034004796E-2</v>
      </c>
      <c r="Z123" s="133">
        <f t="shared" si="52"/>
        <v>3.3335763478731566E-2</v>
      </c>
      <c r="AA123" s="133">
        <f t="shared" si="53"/>
        <v>3.2526833312380876E-2</v>
      </c>
      <c r="AB123" s="133">
        <f t="shared" si="54"/>
        <v>3.1796059846330174E-2</v>
      </c>
      <c r="AC123" s="133">
        <f t="shared" si="55"/>
        <v>3.114056838748553E-2</v>
      </c>
      <c r="AD123" s="156"/>
      <c r="AE123" s="156"/>
      <c r="AF123" s="159">
        <f t="shared" si="57"/>
        <v>2.0387799554796621E-3</v>
      </c>
      <c r="AG123" s="159">
        <f t="shared" si="58"/>
        <v>1.917237733953863E-3</v>
      </c>
      <c r="AH123" s="159">
        <f t="shared" si="59"/>
        <v>1.0880234534798694E-3</v>
      </c>
      <c r="AI123" s="159">
        <f t="shared" si="60"/>
        <v>6.4441379346124412E-4</v>
      </c>
      <c r="AJ123" s="159">
        <f t="shared" si="61"/>
        <v>1.0302961673394906E-3</v>
      </c>
      <c r="AK123" s="159">
        <f t="shared" si="62"/>
        <v>1.2357854873420518E-3</v>
      </c>
      <c r="AL123" s="159">
        <f t="shared" si="63"/>
        <v>1.2679298297681592E-3</v>
      </c>
      <c r="AM123" s="159">
        <f t="shared" si="64"/>
        <v>1.2795694100825234E-3</v>
      </c>
    </row>
    <row r="124" spans="1:39" hidden="1" outlineLevel="2">
      <c r="A124" s="160" t="s">
        <v>354</v>
      </c>
      <c r="B124" s="133">
        <f>LOOKUP($A124,'GDP data'!$A$2:$A$192,'GDP data'!P$2:P$192)</f>
        <v>5.9687101489844796E-2</v>
      </c>
      <c r="C124" s="133">
        <f>LOOKUP($A124,'GDP data'!$A$2:$A$192,'GDP data'!Q$2:Q$192)</f>
        <v>7.6166715585559208E-2</v>
      </c>
      <c r="D124" s="133">
        <f>LOOKUP($A124,'GDP data'!$A$2:$A$192,'GDP data'!R$2:R$192)</f>
        <v>8.1058229919541924E-2</v>
      </c>
      <c r="E124" s="133">
        <f>LOOKUP($A124,'GDP data'!$A$2:$A$192,'GDP data'!S$2:S$192)</f>
        <v>8.6610994777606809E-2</v>
      </c>
      <c r="F124" s="133">
        <f>LOOKUP($A124,'GDP data'!$A$2:$A$192,'GDP data'!T$2:T$192)</f>
        <v>9.1130717436730846E-2</v>
      </c>
      <c r="G124" s="133">
        <f>LOOKUP($A124,'GDP data'!$A$2:$A$192,'GDP data'!U$2:U$192)</f>
        <v>9.3478029577614752E-2</v>
      </c>
      <c r="H124" s="133">
        <f>LOOKUP($A124,'GDP data'!$A$2:$A$192,'GDP data'!V$2:V$192)</f>
        <v>9.3017825173192126E-2</v>
      </c>
      <c r="I124" s="133">
        <f>LOOKUP($A124,'GDP data'!$A$2:$A$192,'GDP data'!W$2:W$192)</f>
        <v>9.3309357641361723E-2</v>
      </c>
      <c r="J124" s="851"/>
      <c r="K124" s="156"/>
      <c r="L124" s="158">
        <f>LOOKUP($A124,'GDP data'!$A$2:$A$192,'GDP data'!D$2:D$192)</f>
        <v>34.07</v>
      </c>
      <c r="M124" s="158">
        <f>LOOKUP($A124,'GDP data'!$A$2:$A$192,'GDP data'!E$2:E$192)</f>
        <v>36.664999999999999</v>
      </c>
      <c r="N124" s="158">
        <f>LOOKUP($A124,'GDP data'!$A$2:$A$192,'GDP data'!F$2:F$192)</f>
        <v>39.637</v>
      </c>
      <c r="O124" s="158">
        <f>LOOKUP($A124,'GDP data'!$A$2:$A$192,'GDP data'!G$2:G$192)</f>
        <v>43.07</v>
      </c>
      <c r="P124" s="158">
        <f>LOOKUP($A124,'GDP data'!$A$2:$A$192,'GDP data'!H$2:H$192)</f>
        <v>46.994999999999997</v>
      </c>
      <c r="Q124" s="158">
        <f>LOOKUP($A124,'GDP data'!$A$2:$A$192,'GDP data'!I$2:I$192)</f>
        <v>51.387999999999998</v>
      </c>
      <c r="R124" s="158">
        <f>LOOKUP($A124,'GDP data'!$A$2:$A$192,'GDP data'!J$2:J$192)</f>
        <v>56.167999999999999</v>
      </c>
      <c r="S124" s="158">
        <f>LOOKUP($A124,'GDP data'!$A$2:$A$192,'GDP data'!K$2:K$192)</f>
        <v>61.408999999999999</v>
      </c>
      <c r="T124" s="156"/>
      <c r="U124" s="156"/>
      <c r="V124" s="133">
        <f t="shared" si="48"/>
        <v>7.7411429067012318E-4</v>
      </c>
      <c r="W124" s="133">
        <f t="shared" si="49"/>
        <v>7.8781373234216971E-4</v>
      </c>
      <c r="X124" s="133">
        <f t="shared" si="50"/>
        <v>8.0783268967116477E-4</v>
      </c>
      <c r="Y124" s="133">
        <f t="shared" si="51"/>
        <v>8.2733354834657147E-4</v>
      </c>
      <c r="Z124" s="133">
        <f t="shared" si="52"/>
        <v>8.4931593696219697E-4</v>
      </c>
      <c r="AA124" s="133">
        <f t="shared" si="53"/>
        <v>8.730042777005747E-4</v>
      </c>
      <c r="AB124" s="133">
        <f t="shared" si="54"/>
        <v>8.9700153664693091E-4</v>
      </c>
      <c r="AC124" s="133">
        <f t="shared" si="55"/>
        <v>9.2257389237123636E-4</v>
      </c>
      <c r="AD124" s="156"/>
      <c r="AE124" s="156"/>
      <c r="AF124" s="159">
        <f t="shared" si="57"/>
        <v>4.6204638231966856E-5</v>
      </c>
      <c r="AG124" s="159">
        <f t="shared" si="58"/>
        <v>6.0005184485703907E-5</v>
      </c>
      <c r="AH124" s="159">
        <f t="shared" si="59"/>
        <v>6.548148789588723E-5</v>
      </c>
      <c r="AI124" s="159">
        <f t="shared" si="60"/>
        <v>7.1656181635183815E-5</v>
      </c>
      <c r="AJ124" s="159">
        <f t="shared" si="61"/>
        <v>7.739877066581428E-5</v>
      </c>
      <c r="AK124" s="159">
        <f t="shared" si="62"/>
        <v>8.1606719692278528E-5</v>
      </c>
      <c r="AL124" s="159">
        <f t="shared" si="63"/>
        <v>8.3437132115908905E-5</v>
      </c>
      <c r="AM124" s="159">
        <f t="shared" si="64"/>
        <v>8.6084777273850858E-5</v>
      </c>
    </row>
    <row r="125" spans="1:39" hidden="1" outlineLevel="2">
      <c r="A125" s="160" t="s">
        <v>355</v>
      </c>
      <c r="B125" s="133">
        <f>LOOKUP($A125,'GDP data'!$A$2:$A$192,'GDP data'!P$2:P$192)</f>
        <v>-6.873639592164249E-4</v>
      </c>
      <c r="C125" s="133">
        <f>LOOKUP($A125,'GDP data'!$A$2:$A$192,'GDP data'!Q$2:Q$192)</f>
        <v>1.8498639959146468E-2</v>
      </c>
      <c r="D125" s="133">
        <f>LOOKUP($A125,'GDP data'!$A$2:$A$192,'GDP data'!R$2:R$192)</f>
        <v>4.0899230517354335E-2</v>
      </c>
      <c r="E125" s="133">
        <f>LOOKUP($A125,'GDP data'!$A$2:$A$192,'GDP data'!S$2:S$192)</f>
        <v>4.794298353403792E-2</v>
      </c>
      <c r="F125" s="133">
        <f>LOOKUP($A125,'GDP data'!$A$2:$A$192,'GDP data'!T$2:T$192)</f>
        <v>5.5092774994840443E-2</v>
      </c>
      <c r="G125" s="133">
        <f>LOOKUP($A125,'GDP data'!$A$2:$A$192,'GDP data'!U$2:U$192)</f>
        <v>5.7088241831518172E-2</v>
      </c>
      <c r="H125" s="133">
        <f>LOOKUP($A125,'GDP data'!$A$2:$A$192,'GDP data'!V$2:V$192)</f>
        <v>6.1869196608800969E-2</v>
      </c>
      <c r="I125" s="133">
        <f>LOOKUP($A125,'GDP data'!$A$2:$A$192,'GDP data'!W$2:W$192)</f>
        <v>6.1606944840477906E-2</v>
      </c>
      <c r="J125" s="851"/>
      <c r="K125" s="156"/>
      <c r="L125" s="158">
        <f>LOOKUP($A125,'GDP data'!$A$2:$A$192,'GDP data'!D$2:D$192)</f>
        <v>95.953000000000003</v>
      </c>
      <c r="M125" s="158">
        <f>LOOKUP($A125,'GDP data'!$A$2:$A$192,'GDP data'!E$2:E$192)</f>
        <v>97.727999999999994</v>
      </c>
      <c r="N125" s="158">
        <f>LOOKUP($A125,'GDP data'!$A$2:$A$192,'GDP data'!F$2:F$192)</f>
        <v>101.72499999999999</v>
      </c>
      <c r="O125" s="158">
        <f>LOOKUP($A125,'GDP data'!$A$2:$A$192,'GDP data'!G$2:G$192)</f>
        <v>106.602</v>
      </c>
      <c r="P125" s="158">
        <f>LOOKUP($A125,'GDP data'!$A$2:$A$192,'GDP data'!H$2:H$192)</f>
        <v>112.47499999999999</v>
      </c>
      <c r="Q125" s="158">
        <f>LOOKUP($A125,'GDP data'!$A$2:$A$192,'GDP data'!I$2:I$192)</f>
        <v>118.896</v>
      </c>
      <c r="R125" s="158">
        <f>LOOKUP($A125,'GDP data'!$A$2:$A$192,'GDP data'!J$2:J$192)</f>
        <v>126.252</v>
      </c>
      <c r="S125" s="158">
        <f>LOOKUP($A125,'GDP data'!$A$2:$A$192,'GDP data'!K$2:K$192)</f>
        <v>134.03</v>
      </c>
      <c r="T125" s="156"/>
      <c r="U125" s="156"/>
      <c r="V125" s="133">
        <f t="shared" si="48"/>
        <v>2.1801757714314742E-3</v>
      </c>
      <c r="W125" s="133">
        <f t="shared" si="49"/>
        <v>2.0998625510523813E-3</v>
      </c>
      <c r="X125" s="133">
        <f t="shared" si="50"/>
        <v>2.0732341084542024E-3</v>
      </c>
      <c r="Y125" s="133">
        <f t="shared" si="51"/>
        <v>2.04772256607479E-3</v>
      </c>
      <c r="Z125" s="133">
        <f t="shared" si="52"/>
        <v>2.0327015642051943E-3</v>
      </c>
      <c r="AA125" s="133">
        <f t="shared" si="53"/>
        <v>2.0198629369013689E-3</v>
      </c>
      <c r="AB125" s="133">
        <f t="shared" si="54"/>
        <v>2.0162412406485603E-3</v>
      </c>
      <c r="AC125" s="133">
        <f t="shared" si="55"/>
        <v>2.0135904964177368E-3</v>
      </c>
      <c r="AD125" s="156"/>
      <c r="AE125" s="156"/>
      <c r="AF125" s="159">
        <f t="shared" si="57"/>
        <v>-1.4985742500388616E-6</v>
      </c>
      <c r="AG125" s="159">
        <f t="shared" si="58"/>
        <v>3.8844601295612818E-5</v>
      </c>
      <c r="AH125" s="159">
        <f t="shared" si="59"/>
        <v>8.4793679718110016E-5</v>
      </c>
      <c r="AI125" s="159">
        <f t="shared" si="60"/>
        <v>9.8173929267601531E-5</v>
      </c>
      <c r="AJ125" s="159">
        <f t="shared" si="61"/>
        <v>1.1198716990841699E-4</v>
      </c>
      <c r="AK125" s="159">
        <f t="shared" si="62"/>
        <v>1.1531042380834587E-4</v>
      </c>
      <c r="AL125" s="159">
        <f t="shared" si="63"/>
        <v>1.2474322572845857E-4</v>
      </c>
      <c r="AM125" s="159">
        <f t="shared" si="64"/>
        <v>1.2405115864411805E-4</v>
      </c>
    </row>
    <row r="126" spans="1:39" hidden="1" outlineLevel="2">
      <c r="A126" s="160" t="s">
        <v>359</v>
      </c>
      <c r="B126" s="133">
        <f>LOOKUP($A126,'GDP data'!$A$2:$A$192,'GDP data'!P$2:P$192)</f>
        <v>4.4117647058823595E-2</v>
      </c>
      <c r="C126" s="133">
        <f>LOOKUP($A126,'GDP data'!$A$2:$A$192,'GDP data'!Q$2:Q$192)</f>
        <v>4.9570232029499284E-2</v>
      </c>
      <c r="D126" s="133">
        <f>LOOKUP($A126,'GDP data'!$A$2:$A$192,'GDP data'!R$2:R$192)</f>
        <v>4.6029275135823777E-2</v>
      </c>
      <c r="E126" s="133">
        <f>LOOKUP($A126,'GDP data'!$A$2:$A$192,'GDP data'!S$2:S$192)</f>
        <v>5.0891722742459011E-2</v>
      </c>
      <c r="F126" s="133">
        <f>LOOKUP($A126,'GDP data'!$A$2:$A$192,'GDP data'!T$2:T$192)</f>
        <v>5.7130863091906292E-2</v>
      </c>
      <c r="G126" s="133">
        <f>LOOKUP($A126,'GDP data'!$A$2:$A$192,'GDP data'!U$2:U$192)</f>
        <v>6.1170029703442097E-2</v>
      </c>
      <c r="H126" s="133">
        <f>LOOKUP($A126,'GDP data'!$A$2:$A$192,'GDP data'!V$2:V$192)</f>
        <v>5.6770781359145817E-2</v>
      </c>
      <c r="I126" s="133">
        <f>LOOKUP($A126,'GDP data'!$A$2:$A$192,'GDP data'!W$2:W$192)</f>
        <v>5.5472667352855165E-2</v>
      </c>
      <c r="J126" s="851"/>
      <c r="K126" s="156"/>
      <c r="L126" s="158">
        <f>LOOKUP($A126,'GDP data'!$A$2:$A$192,'GDP data'!D$2:D$192)</f>
        <v>154.851</v>
      </c>
      <c r="M126" s="158">
        <f>LOOKUP($A126,'GDP data'!$A$2:$A$192,'GDP data'!E$2:E$192)</f>
        <v>162.52699999999999</v>
      </c>
      <c r="N126" s="158">
        <f>LOOKUP($A126,'GDP data'!$A$2:$A$192,'GDP data'!F$2:F$192)</f>
        <v>170.00800000000001</v>
      </c>
      <c r="O126" s="158">
        <f>LOOKUP($A126,'GDP data'!$A$2:$A$192,'GDP data'!G$2:G$192)</f>
        <v>178.66</v>
      </c>
      <c r="P126" s="158">
        <f>LOOKUP($A126,'GDP data'!$A$2:$A$192,'GDP data'!H$2:H$192)</f>
        <v>188.86699999999999</v>
      </c>
      <c r="Q126" s="158">
        <f>LOOKUP($A126,'GDP data'!$A$2:$A$192,'GDP data'!I$2:I$192)</f>
        <v>200.42</v>
      </c>
      <c r="R126" s="158">
        <f>LOOKUP($A126,'GDP data'!$A$2:$A$192,'GDP data'!J$2:J$192)</f>
        <v>211.798</v>
      </c>
      <c r="S126" s="158">
        <f>LOOKUP($A126,'GDP data'!$A$2:$A$192,'GDP data'!K$2:K$192)</f>
        <v>223.547</v>
      </c>
      <c r="T126" s="156"/>
      <c r="U126" s="156"/>
      <c r="V126" s="133">
        <f t="shared" si="48"/>
        <v>3.5184142067672215E-3</v>
      </c>
      <c r="W126" s="133">
        <f t="shared" si="49"/>
        <v>3.4921860759955215E-3</v>
      </c>
      <c r="X126" s="133">
        <f t="shared" si="50"/>
        <v>3.4648944144515322E-3</v>
      </c>
      <c r="Y126" s="133">
        <f t="shared" si="51"/>
        <v>3.4318878975527849E-3</v>
      </c>
      <c r="Z126" s="133">
        <f t="shared" si="52"/>
        <v>3.4132940326894192E-3</v>
      </c>
      <c r="AA126" s="133">
        <f t="shared" si="53"/>
        <v>3.4048322047316336E-3</v>
      </c>
      <c r="AB126" s="133">
        <f t="shared" si="54"/>
        <v>3.3824086928277079E-3</v>
      </c>
      <c r="AC126" s="133">
        <f t="shared" si="55"/>
        <v>3.3584429956181141E-3</v>
      </c>
      <c r="AD126" s="156"/>
      <c r="AE126" s="156"/>
      <c r="AF126" s="159">
        <f t="shared" si="57"/>
        <v>1.5522415618090705E-4</v>
      </c>
      <c r="AG126" s="159">
        <f t="shared" si="58"/>
        <v>1.7310847407728461E-4</v>
      </c>
      <c r="AH126" s="159">
        <f t="shared" si="59"/>
        <v>1.594865783193686E-4</v>
      </c>
      <c r="AI126" s="159">
        <f t="shared" si="60"/>
        <v>1.746546873654569E-4</v>
      </c>
      <c r="AJ126" s="159">
        <f t="shared" si="61"/>
        <v>1.9500443407399992E-4</v>
      </c>
      <c r="AK126" s="159">
        <f t="shared" si="62"/>
        <v>2.0827368709867028E-4</v>
      </c>
      <c r="AL126" s="159">
        <f t="shared" si="63"/>
        <v>1.92021984367796E-4</v>
      </c>
      <c r="AM126" s="159">
        <f t="shared" si="64"/>
        <v>1.8630179111945005E-4</v>
      </c>
    </row>
    <row r="127" spans="1:39" hidden="1" outlineLevel="2">
      <c r="A127" s="160" t="s">
        <v>360</v>
      </c>
      <c r="B127" s="133">
        <f>LOOKUP($A127,'GDP data'!$A$2:$A$192,'GDP data'!P$2:P$192)</f>
        <v>4.8291827667795939E-2</v>
      </c>
      <c r="C127" s="133">
        <f>LOOKUP($A127,'GDP data'!$A$2:$A$192,'GDP data'!Q$2:Q$192)</f>
        <v>3.367757859184195E-2</v>
      </c>
      <c r="D127" s="133">
        <f>LOOKUP($A127,'GDP data'!$A$2:$A$192,'GDP data'!R$2:R$192)</f>
        <v>4.4629111816268052E-2</v>
      </c>
      <c r="E127" s="133">
        <f>LOOKUP($A127,'GDP data'!$A$2:$A$192,'GDP data'!S$2:S$192)</f>
        <v>5.8045985653919496E-2</v>
      </c>
      <c r="F127" s="133">
        <f>LOOKUP($A127,'GDP data'!$A$2:$A$192,'GDP data'!T$2:T$192)</f>
        <v>4.5139925240551992E-2</v>
      </c>
      <c r="G127" s="133">
        <f>LOOKUP($A127,'GDP data'!$A$2:$A$192,'GDP data'!U$2:U$192)</f>
        <v>4.259196301081114E-2</v>
      </c>
      <c r="H127" s="133">
        <f>LOOKUP($A127,'GDP data'!$A$2:$A$192,'GDP data'!V$2:V$192)</f>
        <v>3.9065047543271669E-2</v>
      </c>
      <c r="I127" s="133">
        <f>LOOKUP($A127,'GDP data'!$A$2:$A$192,'GDP data'!W$2:W$192)</f>
        <v>3.9077602872134687E-2</v>
      </c>
      <c r="J127" s="851"/>
      <c r="K127" s="156"/>
      <c r="L127" s="158">
        <f>LOOKUP($A127,'GDP data'!$A$2:$A$192,'GDP data'!D$2:D$192)</f>
        <v>61.584000000000003</v>
      </c>
      <c r="M127" s="158">
        <f>LOOKUP($A127,'GDP data'!$A$2:$A$192,'GDP data'!E$2:E$192)</f>
        <v>63.658000000000001</v>
      </c>
      <c r="N127" s="158">
        <f>LOOKUP($A127,'GDP data'!$A$2:$A$192,'GDP data'!F$2:F$192)</f>
        <v>66.498999999999995</v>
      </c>
      <c r="O127" s="158">
        <f>LOOKUP($A127,'GDP data'!$A$2:$A$192,'GDP data'!G$2:G$192)</f>
        <v>70.358999999999995</v>
      </c>
      <c r="P127" s="158">
        <f>LOOKUP($A127,'GDP data'!$A$2:$A$192,'GDP data'!H$2:H$192)</f>
        <v>73.534999999999997</v>
      </c>
      <c r="Q127" s="158">
        <f>LOOKUP($A127,'GDP data'!$A$2:$A$192,'GDP data'!I$2:I$192)</f>
        <v>76.667000000000002</v>
      </c>
      <c r="R127" s="158">
        <f>LOOKUP($A127,'GDP data'!$A$2:$A$192,'GDP data'!J$2:J$192)</f>
        <v>79.662000000000006</v>
      </c>
      <c r="S127" s="158">
        <f>LOOKUP($A127,'GDP data'!$A$2:$A$192,'GDP data'!K$2:K$192)</f>
        <v>82.775000000000006</v>
      </c>
      <c r="T127" s="156"/>
      <c r="U127" s="156"/>
      <c r="V127" s="133">
        <f t="shared" si="48"/>
        <v>1.3992678155746658E-3</v>
      </c>
      <c r="W127" s="133">
        <f t="shared" si="49"/>
        <v>1.3678070795973773E-3</v>
      </c>
      <c r="X127" s="133">
        <f t="shared" si="50"/>
        <v>1.355301007403254E-3</v>
      </c>
      <c r="Y127" s="133">
        <f t="shared" si="51"/>
        <v>1.3515291648041889E-3</v>
      </c>
      <c r="Z127" s="133">
        <f t="shared" si="52"/>
        <v>1.3289594089693616E-3</v>
      </c>
      <c r="AA127" s="133">
        <f t="shared" si="53"/>
        <v>1.3024561951908999E-3</v>
      </c>
      <c r="AB127" s="133">
        <f t="shared" si="54"/>
        <v>1.2722001212855686E-3</v>
      </c>
      <c r="AC127" s="133">
        <f t="shared" si="55"/>
        <v>1.2435645254120584E-3</v>
      </c>
      <c r="AD127" s="156"/>
      <c r="AE127" s="156"/>
      <c r="AF127" s="159">
        <f t="shared" si="57"/>
        <v>6.7573200210825036E-5</v>
      </c>
      <c r="AG127" s="159">
        <f t="shared" si="58"/>
        <v>4.6064430421618491E-5</v>
      </c>
      <c r="AH127" s="159">
        <f t="shared" si="59"/>
        <v>6.0485880204100559E-5</v>
      </c>
      <c r="AI127" s="159">
        <f t="shared" si="60"/>
        <v>7.8450842511077745E-5</v>
      </c>
      <c r="AJ127" s="159">
        <f t="shared" si="61"/>
        <v>5.9989128368605145E-5</v>
      </c>
      <c r="AK127" s="159">
        <f t="shared" si="62"/>
        <v>5.5474166088772622E-5</v>
      </c>
      <c r="AL127" s="159">
        <f t="shared" si="63"/>
        <v>4.9698558222576722E-5</v>
      </c>
      <c r="AM127" s="159">
        <f t="shared" si="64"/>
        <v>4.8595520669927066E-5</v>
      </c>
    </row>
    <row r="128" spans="1:39" hidden="1" outlineLevel="2">
      <c r="A128" s="160" t="s">
        <v>362</v>
      </c>
      <c r="B128" s="133">
        <f>LOOKUP($A128,'GDP data'!$A$2:$A$192,'GDP data'!P$2:P$192)</f>
        <v>5.459928394381719E-2</v>
      </c>
      <c r="C128" s="133">
        <f>LOOKUP($A128,'GDP data'!$A$2:$A$192,'GDP data'!Q$2:Q$192)</f>
        <v>4.7267741724880796E-2</v>
      </c>
      <c r="D128" s="133">
        <f>LOOKUP($A128,'GDP data'!$A$2:$A$192,'GDP data'!R$2:R$192)</f>
        <v>4.5134343245433639E-2</v>
      </c>
      <c r="E128" s="133">
        <f>LOOKUP($A128,'GDP data'!$A$2:$A$192,'GDP data'!S$2:S$192)</f>
        <v>4.2111541902773553E-2</v>
      </c>
      <c r="F128" s="133">
        <f>LOOKUP($A128,'GDP data'!$A$2:$A$192,'GDP data'!T$2:T$192)</f>
        <v>5.5348863831492068E-2</v>
      </c>
      <c r="G128" s="133">
        <f>LOOKUP($A128,'GDP data'!$A$2:$A$192,'GDP data'!U$2:U$192)</f>
        <v>5.7056079835123175E-2</v>
      </c>
      <c r="H128" s="133">
        <f>LOOKUP($A128,'GDP data'!$A$2:$A$192,'GDP data'!V$2:V$192)</f>
        <v>5.6798358132375659E-2</v>
      </c>
      <c r="I128" s="133">
        <f>LOOKUP($A128,'GDP data'!$A$2:$A$192,'GDP data'!W$2:W$192)</f>
        <v>5.9571782298392995E-2</v>
      </c>
      <c r="J128" s="851"/>
      <c r="K128" s="156"/>
      <c r="L128" s="158">
        <f>LOOKUP($A128,'GDP data'!$A$2:$A$192,'GDP data'!D$2:D$192)</f>
        <v>15.317</v>
      </c>
      <c r="M128" s="158">
        <f>LOOKUP($A128,'GDP data'!$A$2:$A$192,'GDP data'!E$2:E$192)</f>
        <v>16.041</v>
      </c>
      <c r="N128" s="158">
        <f>LOOKUP($A128,'GDP data'!$A$2:$A$192,'GDP data'!F$2:F$192)</f>
        <v>16.765000000000001</v>
      </c>
      <c r="O128" s="158">
        <f>LOOKUP($A128,'GDP data'!$A$2:$A$192,'GDP data'!G$2:G$192)</f>
        <v>17.471</v>
      </c>
      <c r="P128" s="158">
        <f>LOOKUP($A128,'GDP data'!$A$2:$A$192,'GDP data'!H$2:H$192)</f>
        <v>18.437999999999999</v>
      </c>
      <c r="Q128" s="158">
        <f>LOOKUP($A128,'GDP data'!$A$2:$A$192,'GDP data'!I$2:I$192)</f>
        <v>19.489999999999998</v>
      </c>
      <c r="R128" s="158">
        <f>LOOKUP($A128,'GDP data'!$A$2:$A$192,'GDP data'!J$2:J$192)</f>
        <v>20.597000000000001</v>
      </c>
      <c r="S128" s="158">
        <f>LOOKUP($A128,'GDP data'!$A$2:$A$192,'GDP data'!K$2:K$192)</f>
        <v>21.824000000000002</v>
      </c>
      <c r="T128" s="156"/>
      <c r="U128" s="156"/>
      <c r="V128" s="133">
        <f t="shared" si="48"/>
        <v>3.4802197212193358E-4</v>
      </c>
      <c r="W128" s="133">
        <f t="shared" si="49"/>
        <v>3.4466985082505779E-4</v>
      </c>
      <c r="X128" s="133">
        <f t="shared" si="50"/>
        <v>3.4168365522963586E-4</v>
      </c>
      <c r="Y128" s="133">
        <f t="shared" si="51"/>
        <v>3.356012171618981E-4</v>
      </c>
      <c r="Z128" s="133">
        <f t="shared" si="52"/>
        <v>3.3322028398146585E-4</v>
      </c>
      <c r="AA128" s="133">
        <f t="shared" si="53"/>
        <v>3.3110557664015337E-4</v>
      </c>
      <c r="AB128" s="133">
        <f t="shared" si="54"/>
        <v>3.289335680515033E-4</v>
      </c>
      <c r="AC128" s="133">
        <f t="shared" si="55"/>
        <v>3.2787136457375734E-4</v>
      </c>
      <c r="AD128" s="156"/>
      <c r="AE128" s="156"/>
      <c r="AF128" s="159">
        <f t="shared" si="57"/>
        <v>1.900175047457268E-5</v>
      </c>
      <c r="AG128" s="159">
        <f t="shared" si="58"/>
        <v>1.6291765489152023E-5</v>
      </c>
      <c r="AH128" s="159">
        <f t="shared" si="59"/>
        <v>1.5421667376488793E-5</v>
      </c>
      <c r="AI128" s="159">
        <f t="shared" si="60"/>
        <v>1.4132684719135079E-5</v>
      </c>
      <c r="AJ128" s="159">
        <f t="shared" si="61"/>
        <v>1.8443364123981271E-5</v>
      </c>
      <c r="AK128" s="159">
        <f t="shared" si="62"/>
        <v>1.8891586214635085E-5</v>
      </c>
      <c r="AL128" s="159">
        <f t="shared" si="63"/>
        <v>1.8682886599949444E-5</v>
      </c>
      <c r="AM128" s="159">
        <f t="shared" si="64"/>
        <v>1.9531881552264912E-5</v>
      </c>
    </row>
    <row r="129" spans="1:39" s="156" customFormat="1" hidden="1" outlineLevel="2">
      <c r="A129" s="160" t="s">
        <v>363</v>
      </c>
      <c r="B129" s="133">
        <f>LOOKUP($A129,'GDP data'!$A$2:$A$192,'GDP data'!P$2:P$192)</f>
        <v>3.5248661590711938E-2</v>
      </c>
      <c r="C129" s="133">
        <f>LOOKUP($A129,'GDP data'!$A$2:$A$192,'GDP data'!Q$2:Q$192)</f>
        <v>2.3973079698778488E-2</v>
      </c>
      <c r="D129" s="133">
        <f>LOOKUP($A129,'GDP data'!$A$2:$A$192,'GDP data'!R$2:R$192)</f>
        <v>1.5587734241907958E-2</v>
      </c>
      <c r="E129" s="133">
        <f>LOOKUP($A129,'GDP data'!$A$2:$A$192,'GDP data'!S$2:S$192)</f>
        <v>2.4495891648832702E-2</v>
      </c>
      <c r="F129" s="133">
        <f>LOOKUP($A129,'GDP data'!$A$2:$A$192,'GDP data'!T$2:T$192)</f>
        <v>3.0122772779249463E-2</v>
      </c>
      <c r="G129" s="133">
        <f>LOOKUP($A129,'GDP data'!$A$2:$A$192,'GDP data'!U$2:U$192)</f>
        <v>3.7491652214262094E-2</v>
      </c>
      <c r="H129" s="133">
        <f>LOOKUP($A129,'GDP data'!$A$2:$A$192,'GDP data'!V$2:V$192)</f>
        <v>4.3479335207982306E-2</v>
      </c>
      <c r="I129" s="133">
        <f>LOOKUP($A129,'GDP data'!$A$2:$A$192,'GDP data'!W$2:W$192)</f>
        <v>4.321160139618363E-2</v>
      </c>
      <c r="J129" s="851"/>
      <c r="L129" s="158">
        <f>LOOKUP($A129,'GDP data'!$A$2:$A$192,'GDP data'!D$2:D$192)</f>
        <v>710.83900000000006</v>
      </c>
      <c r="M129" s="158">
        <f>LOOKUP($A129,'GDP data'!$A$2:$A$192,'GDP data'!E$2:E$192)</f>
        <v>727.88</v>
      </c>
      <c r="N129" s="158">
        <f>LOOKUP($A129,'GDP data'!$A$2:$A$192,'GDP data'!F$2:F$192)</f>
        <v>739.226</v>
      </c>
      <c r="O129" s="158">
        <f>LOOKUP($A129,'GDP data'!$A$2:$A$192,'GDP data'!G$2:G$192)</f>
        <v>757.33399999999995</v>
      </c>
      <c r="P129" s="158">
        <f>LOOKUP($A129,'GDP data'!$A$2:$A$192,'GDP data'!H$2:H$192)</f>
        <v>780.14700000000005</v>
      </c>
      <c r="Q129" s="158">
        <f>LOOKUP($A129,'GDP data'!$A$2:$A$192,'GDP data'!I$2:I$192)</f>
        <v>809.39599999999996</v>
      </c>
      <c r="R129" s="158">
        <f>LOOKUP($A129,'GDP data'!$A$2:$A$192,'GDP data'!J$2:J$192)</f>
        <v>844.58799999999997</v>
      </c>
      <c r="S129" s="158">
        <f>LOOKUP($A129,'GDP data'!$A$2:$A$192,'GDP data'!K$2:K$192)</f>
        <v>881.08399999999995</v>
      </c>
      <c r="V129" s="133">
        <f t="shared" si="48"/>
        <v>1.615117781818784E-2</v>
      </c>
      <c r="W129" s="133">
        <f t="shared" si="49"/>
        <v>1.5639816159749582E-2</v>
      </c>
      <c r="X129" s="133">
        <f t="shared" si="50"/>
        <v>1.5065997120237566E-2</v>
      </c>
      <c r="Y129" s="133">
        <f t="shared" si="51"/>
        <v>1.4547662537810594E-2</v>
      </c>
      <c r="Z129" s="133">
        <f t="shared" si="52"/>
        <v>1.4099186727806089E-2</v>
      </c>
      <c r="AA129" s="133">
        <f t="shared" si="53"/>
        <v>1.3750411970766216E-2</v>
      </c>
      <c r="AB129" s="133">
        <f t="shared" si="54"/>
        <v>1.3488048957298784E-2</v>
      </c>
      <c r="AC129" s="133">
        <f t="shared" si="55"/>
        <v>1.3236904938787774E-2</v>
      </c>
      <c r="AF129" s="159">
        <f t="shared" ref="AF129:AM129" si="65">V129*B129</f>
        <v>5.6930740120471638E-4</v>
      </c>
      <c r="AG129" s="159">
        <f t="shared" si="65"/>
        <v>3.7493455927192044E-4</v>
      </c>
      <c r="AH129" s="159">
        <f t="shared" si="65"/>
        <v>2.348447591996138E-4</v>
      </c>
      <c r="AI129" s="159">
        <f t="shared" si="65"/>
        <v>3.5635796526999085E-4</v>
      </c>
      <c r="AJ129" s="159">
        <f t="shared" si="65"/>
        <v>4.2470659817391259E-4</v>
      </c>
      <c r="AK129" s="159">
        <f t="shared" si="65"/>
        <v>5.1552566341079317E-4</v>
      </c>
      <c r="AL129" s="159">
        <f t="shared" si="65"/>
        <v>5.8645140191607007E-4</v>
      </c>
      <c r="AM129" s="159">
        <f t="shared" si="65"/>
        <v>5.719878599340718E-4</v>
      </c>
    </row>
    <row r="130" spans="1:39" hidden="1" outlineLevel="2">
      <c r="A130" s="160" t="s">
        <v>364</v>
      </c>
      <c r="B130" s="133">
        <f>LOOKUP($A130,'GDP data'!$A$2:$A$192,'GDP data'!P$2:P$192)</f>
        <v>4.7625412100151365E-2</v>
      </c>
      <c r="C130" s="133">
        <f>LOOKUP($A130,'GDP data'!$A$2:$A$192,'GDP data'!Q$2:Q$192)</f>
        <v>9.1005741016372266E-3</v>
      </c>
      <c r="D130" s="133">
        <f>LOOKUP($A130,'GDP data'!$A$2:$A$192,'GDP data'!R$2:R$192)</f>
        <v>-0.12735471364153561</v>
      </c>
      <c r="E130" s="133">
        <f>LOOKUP($A130,'GDP data'!$A$2:$A$192,'GDP data'!S$2:S$192)</f>
        <v>-4.621625537257934E-2</v>
      </c>
      <c r="F130" s="133">
        <f>LOOKUP($A130,'GDP data'!$A$2:$A$192,'GDP data'!T$2:T$192)</f>
        <v>-1.5392405063291092E-2</v>
      </c>
      <c r="G130" s="133">
        <f>LOOKUP($A130,'GDP data'!$A$2:$A$192,'GDP data'!U$2:U$192)</f>
        <v>2.6432171140594374E-2</v>
      </c>
      <c r="H130" s="133">
        <f>LOOKUP($A130,'GDP data'!$A$2:$A$192,'GDP data'!V$2:V$192)</f>
        <v>8.0360721442885641E-2</v>
      </c>
      <c r="I130" s="133">
        <f>LOOKUP($A130,'GDP data'!$A$2:$A$192,'GDP data'!W$2:W$192)</f>
        <v>0.1462159154145799</v>
      </c>
      <c r="J130" s="851"/>
      <c r="K130" s="156"/>
      <c r="L130" s="158">
        <f>LOOKUP($A130,'GDP data'!$A$2:$A$192,'GDP data'!D$2:D$192)</f>
        <v>23.515000000000001</v>
      </c>
      <c r="M130" s="158">
        <f>LOOKUP($A130,'GDP data'!$A$2:$A$192,'GDP data'!E$2:E$192)</f>
        <v>23.728999999999999</v>
      </c>
      <c r="N130" s="158">
        <f>LOOKUP($A130,'GDP data'!$A$2:$A$192,'GDP data'!F$2:F$192)</f>
        <v>20.707000000000001</v>
      </c>
      <c r="O130" s="158">
        <f>LOOKUP($A130,'GDP data'!$A$2:$A$192,'GDP data'!G$2:G$192)</f>
        <v>19.75</v>
      </c>
      <c r="P130" s="158">
        <f>LOOKUP($A130,'GDP data'!$A$2:$A$192,'GDP data'!H$2:H$192)</f>
        <v>19.446000000000002</v>
      </c>
      <c r="Q130" s="158">
        <f>LOOKUP($A130,'GDP data'!$A$2:$A$192,'GDP data'!I$2:I$192)</f>
        <v>19.96</v>
      </c>
      <c r="R130" s="158">
        <f>LOOKUP($A130,'GDP data'!$A$2:$A$192,'GDP data'!J$2:J$192)</f>
        <v>21.564</v>
      </c>
      <c r="S130" s="158">
        <f>LOOKUP($A130,'GDP data'!$A$2:$A$192,'GDP data'!K$2:K$192)</f>
        <v>24.716999999999999</v>
      </c>
      <c r="T130" s="156"/>
      <c r="U130" s="156"/>
      <c r="V130" s="133">
        <f t="shared" si="48"/>
        <v>5.3429109319365852E-4</v>
      </c>
      <c r="W130" s="133">
        <f t="shared" si="49"/>
        <v>5.0986041333007893E-4</v>
      </c>
      <c r="X130" s="133">
        <f t="shared" si="50"/>
        <v>4.2202466142797913E-4</v>
      </c>
      <c r="Y130" s="133">
        <f t="shared" si="51"/>
        <v>3.793786296690222E-4</v>
      </c>
      <c r="Z130" s="133">
        <f t="shared" si="52"/>
        <v>3.5143733823102209E-4</v>
      </c>
      <c r="AA130" s="133">
        <f t="shared" si="53"/>
        <v>3.3909016468637566E-4</v>
      </c>
      <c r="AB130" s="133">
        <f t="shared" si="54"/>
        <v>3.4437653354676007E-4</v>
      </c>
      <c r="AC130" s="133">
        <f t="shared" si="55"/>
        <v>3.7133415130908903E-4</v>
      </c>
      <c r="AD130" s="156"/>
      <c r="AE130" s="156"/>
      <c r="AF130" s="159">
        <f t="shared" si="57"/>
        <v>2.5445833494788367E-5</v>
      </c>
      <c r="AG130" s="159">
        <f t="shared" si="58"/>
        <v>4.6400224730017679E-6</v>
      </c>
      <c r="AH130" s="159">
        <f t="shared" si="59"/>
        <v>-5.3746829905826301E-5</v>
      </c>
      <c r="AI130" s="159">
        <f t="shared" si="60"/>
        <v>-1.7533459631682734E-5</v>
      </c>
      <c r="AJ130" s="159">
        <f t="shared" si="61"/>
        <v>-5.4094658644167287E-6</v>
      </c>
      <c r="AK130" s="159">
        <f t="shared" si="62"/>
        <v>8.9628892650826117E-6</v>
      </c>
      <c r="AL130" s="159">
        <f t="shared" si="63"/>
        <v>2.7674346683817748E-5</v>
      </c>
      <c r="AM130" s="159">
        <f t="shared" si="64"/>
        <v>5.4294962858354576E-5</v>
      </c>
    </row>
    <row r="131" spans="1:39" hidden="1" outlineLevel="2">
      <c r="A131" s="160" t="s">
        <v>369</v>
      </c>
      <c r="B131" s="133">
        <f>LOOKUP($A131,'GDP data'!$A$2:$A$192,'GDP data'!P$2:P$192)</f>
        <v>2.0689655172413834E-2</v>
      </c>
      <c r="C131" s="133">
        <f>LOOKUP($A131,'GDP data'!$A$2:$A$192,'GDP data'!Q$2:Q$192)</f>
        <v>1.942567567567588E-2</v>
      </c>
      <c r="D131" s="133">
        <f>LOOKUP($A131,'GDP data'!$A$2:$A$192,'GDP data'!R$2:R$192)</f>
        <v>2.0712510356255098E-2</v>
      </c>
      <c r="E131" s="133">
        <f>LOOKUP($A131,'GDP data'!$A$2:$A$192,'GDP data'!S$2:S$192)</f>
        <v>3.9772727272727293E-2</v>
      </c>
      <c r="F131" s="133">
        <f>LOOKUP($A131,'GDP data'!$A$2:$A$192,'GDP data'!T$2:T$192)</f>
        <v>4.7619047619047672E-2</v>
      </c>
      <c r="G131" s="133">
        <f>LOOKUP($A131,'GDP data'!$A$2:$A$192,'GDP data'!U$2:U$192)</f>
        <v>5.1415797317436729E-2</v>
      </c>
      <c r="H131" s="133">
        <f>LOOKUP($A131,'GDP data'!$A$2:$A$192,'GDP data'!V$2:V$192)</f>
        <v>5.1027639971651384E-2</v>
      </c>
      <c r="I131" s="133">
        <f>LOOKUP($A131,'GDP data'!$A$2:$A$192,'GDP data'!W$2:W$192)</f>
        <v>5.1921780175320231E-2</v>
      </c>
      <c r="J131" s="851"/>
      <c r="K131" s="156"/>
      <c r="L131" s="158">
        <f>LOOKUP($A131,'GDP data'!$A$2:$A$192,'GDP data'!D$2:D$192)</f>
        <v>1.1839999999999999</v>
      </c>
      <c r="M131" s="158">
        <f>LOOKUP($A131,'GDP data'!$A$2:$A$192,'GDP data'!E$2:E$192)</f>
        <v>1.2070000000000001</v>
      </c>
      <c r="N131" s="158">
        <f>LOOKUP($A131,'GDP data'!$A$2:$A$192,'GDP data'!F$2:F$192)</f>
        <v>1.232</v>
      </c>
      <c r="O131" s="158">
        <f>LOOKUP($A131,'GDP data'!$A$2:$A$192,'GDP data'!G$2:G$192)</f>
        <v>1.2809999999999999</v>
      </c>
      <c r="P131" s="158">
        <f>LOOKUP($A131,'GDP data'!$A$2:$A$192,'GDP data'!H$2:H$192)</f>
        <v>1.3420000000000001</v>
      </c>
      <c r="Q131" s="158">
        <f>LOOKUP($A131,'GDP data'!$A$2:$A$192,'GDP data'!I$2:I$192)</f>
        <v>1.411</v>
      </c>
      <c r="R131" s="158">
        <f>LOOKUP($A131,'GDP data'!$A$2:$A$192,'GDP data'!J$2:J$192)</f>
        <v>1.4830000000000001</v>
      </c>
      <c r="S131" s="158">
        <f>LOOKUP($A131,'GDP data'!$A$2:$A$192,'GDP data'!K$2:K$192)</f>
        <v>1.56</v>
      </c>
      <c r="T131" s="156"/>
      <c r="U131" s="156"/>
      <c r="V131" s="133">
        <f t="shared" si="48"/>
        <v>2.6902005287743639E-5</v>
      </c>
      <c r="W131" s="133">
        <f t="shared" si="49"/>
        <v>2.5934574524396532E-5</v>
      </c>
      <c r="X131" s="133">
        <f t="shared" si="50"/>
        <v>2.5109112033576582E-5</v>
      </c>
      <c r="Y131" s="133">
        <f t="shared" si="51"/>
        <v>2.4606786056000883E-5</v>
      </c>
      <c r="Z131" s="133">
        <f t="shared" si="52"/>
        <v>2.4253260717167114E-5</v>
      </c>
      <c r="AA131" s="133">
        <f t="shared" si="53"/>
        <v>2.3970752623871546E-5</v>
      </c>
      <c r="AB131" s="133">
        <f t="shared" si="54"/>
        <v>2.3683472419302784E-5</v>
      </c>
      <c r="AC131" s="133">
        <f t="shared" si="55"/>
        <v>2.3436552819605086E-5</v>
      </c>
      <c r="AD131" s="156"/>
      <c r="AE131" s="156"/>
      <c r="AF131" s="159">
        <f t="shared" si="57"/>
        <v>5.5659321284986949E-7</v>
      </c>
      <c r="AG131" s="159">
        <f t="shared" si="58"/>
        <v>5.0379663349757311E-7</v>
      </c>
      <c r="AH131" s="159">
        <f t="shared" si="59"/>
        <v>5.2007274303182443E-7</v>
      </c>
      <c r="AI131" s="159">
        <f t="shared" si="60"/>
        <v>9.7867899086367192E-7</v>
      </c>
      <c r="AJ131" s="159">
        <f t="shared" si="61"/>
        <v>1.154917177007959E-6</v>
      </c>
      <c r="AK131" s="159">
        <f t="shared" si="62"/>
        <v>1.2324753584553942E-6</v>
      </c>
      <c r="AL131" s="159">
        <f t="shared" si="63"/>
        <v>1.2085117038907178E-6</v>
      </c>
      <c r="AM131" s="159">
        <f t="shared" si="64"/>
        <v>1.2168675435668167E-6</v>
      </c>
    </row>
    <row r="132" spans="1:39" hidden="1" outlineLevel="2">
      <c r="A132" s="160" t="s">
        <v>371</v>
      </c>
      <c r="B132" s="133">
        <f>LOOKUP($A132,'GDP data'!$A$2:$A$192,'GDP data'!P$2:P$192)</f>
        <v>2.1598521598521714E-2</v>
      </c>
      <c r="C132" s="133">
        <f>LOOKUP($A132,'GDP data'!$A$2:$A$192,'GDP data'!Q$2:Q$192)</f>
        <v>-1.6506500847936811E-2</v>
      </c>
      <c r="D132" s="133">
        <f>LOOKUP($A132,'GDP data'!$A$2:$A$192,'GDP data'!R$2:R$192)</f>
        <v>-9.3573974020002337E-2</v>
      </c>
      <c r="E132" s="133">
        <f>LOOKUP($A132,'GDP data'!$A$2:$A$192,'GDP data'!S$2:S$192)</f>
        <v>5.4533925174382603E-3</v>
      </c>
      <c r="F132" s="133">
        <f>LOOKUP($A132,'GDP data'!$A$2:$A$192,'GDP data'!T$2:T$192)</f>
        <v>3.128153380423826E-2</v>
      </c>
      <c r="G132" s="133">
        <f>LOOKUP($A132,'GDP data'!$A$2:$A$192,'GDP data'!U$2:U$192)</f>
        <v>4.0484344422700547E-2</v>
      </c>
      <c r="H132" s="133">
        <f>LOOKUP($A132,'GDP data'!$A$2:$A$192,'GDP data'!V$2:V$192)</f>
        <v>4.7607852356882807E-2</v>
      </c>
      <c r="I132" s="133">
        <f>LOOKUP($A132,'GDP data'!$A$2:$A$192,'GDP data'!W$2:W$192)</f>
        <v>4.9820466786355322E-2</v>
      </c>
      <c r="J132" s="851"/>
      <c r="K132" s="156"/>
      <c r="L132" s="158">
        <f>LOOKUP($A132,'GDP data'!$A$2:$A$192,'GDP data'!D$2:D$192)</f>
        <v>8.8450000000000006</v>
      </c>
      <c r="M132" s="158">
        <f>LOOKUP($A132,'GDP data'!$A$2:$A$192,'GDP data'!E$2:E$192)</f>
        <v>8.6989999999999998</v>
      </c>
      <c r="N132" s="158">
        <f>LOOKUP($A132,'GDP data'!$A$2:$A$192,'GDP data'!F$2:F$192)</f>
        <v>7.8849999999999998</v>
      </c>
      <c r="O132" s="158">
        <f>LOOKUP($A132,'GDP data'!$A$2:$A$192,'GDP data'!G$2:G$192)</f>
        <v>7.9279999999999999</v>
      </c>
      <c r="P132" s="158">
        <f>LOOKUP($A132,'GDP data'!$A$2:$A$192,'GDP data'!H$2:H$192)</f>
        <v>8.1760000000000002</v>
      </c>
      <c r="Q132" s="158">
        <f>LOOKUP($A132,'GDP data'!$A$2:$A$192,'GDP data'!I$2:I$192)</f>
        <v>8.5069999999999997</v>
      </c>
      <c r="R132" s="158">
        <f>LOOKUP($A132,'GDP data'!$A$2:$A$192,'GDP data'!J$2:J$192)</f>
        <v>8.9120000000000008</v>
      </c>
      <c r="S132" s="158">
        <f>LOOKUP($A132,'GDP data'!$A$2:$A$192,'GDP data'!K$2:K$192)</f>
        <v>9.3559999999999999</v>
      </c>
      <c r="T132" s="156"/>
      <c r="U132" s="156"/>
      <c r="V132" s="133">
        <f t="shared" si="48"/>
        <v>2.0096979456933489E-4</v>
      </c>
      <c r="W132" s="133">
        <f t="shared" si="49"/>
        <v>1.8691372310499207E-4</v>
      </c>
      <c r="X132" s="133">
        <f t="shared" si="50"/>
        <v>1.6070239316944102E-4</v>
      </c>
      <c r="Y132" s="133">
        <f t="shared" si="51"/>
        <v>1.5228930511473459E-4</v>
      </c>
      <c r="Z132" s="133">
        <f t="shared" si="52"/>
        <v>1.4776055113528935E-4</v>
      </c>
      <c r="AA132" s="133">
        <f t="shared" si="53"/>
        <v>1.4452104363662312E-4</v>
      </c>
      <c r="AB132" s="133">
        <f t="shared" si="54"/>
        <v>1.4232441416104274E-4</v>
      </c>
      <c r="AC132" s="133">
        <f t="shared" si="55"/>
        <v>1.4055922319245205E-4</v>
      </c>
      <c r="AD132" s="156"/>
      <c r="AE132" s="156"/>
      <c r="AF132" s="159">
        <f t="shared" si="57"/>
        <v>4.3406504486562519E-6</v>
      </c>
      <c r="AG132" s="159">
        <f t="shared" si="58"/>
        <v>-3.0852915289235777E-6</v>
      </c>
      <c r="AH132" s="159">
        <f t="shared" si="59"/>
        <v>-1.5037561563389475E-5</v>
      </c>
      <c r="AI132" s="159">
        <f t="shared" si="60"/>
        <v>8.3049335699856584E-7</v>
      </c>
      <c r="AJ132" s="159">
        <f t="shared" si="61"/>
        <v>4.6221766752714298E-6</v>
      </c>
      <c r="AK132" s="159">
        <f t="shared" si="62"/>
        <v>5.8508397069131852E-6</v>
      </c>
      <c r="AL132" s="159">
        <f t="shared" si="63"/>
        <v>6.7757596961587635E-6</v>
      </c>
      <c r="AM132" s="159">
        <f t="shared" si="64"/>
        <v>7.0027261105754623E-6</v>
      </c>
    </row>
    <row r="133" spans="1:39" hidden="1" outlineLevel="2">
      <c r="A133" s="160" t="s">
        <v>372</v>
      </c>
      <c r="B133" s="133">
        <f>LOOKUP($A133,'GDP data'!$A$2:$A$192,'GDP data'!P$2:P$192)</f>
        <v>5.4813359528487204E-2</v>
      </c>
      <c r="C133" s="133">
        <f>LOOKUP($A133,'GDP data'!$A$2:$A$192,'GDP data'!Q$2:Q$192)</f>
        <v>2.1978021978022122E-2</v>
      </c>
      <c r="D133" s="133">
        <f>LOOKUP($A133,'GDP data'!$A$2:$A$192,'GDP data'!R$2:R$192)</f>
        <v>1.2666302168762522E-2</v>
      </c>
      <c r="E133" s="133">
        <f>LOOKUP($A133,'GDP data'!$A$2:$A$192,'GDP data'!S$2:S$192)</f>
        <v>1.9976603977323926E-2</v>
      </c>
      <c r="F133" s="133">
        <f>LOOKUP($A133,'GDP data'!$A$2:$A$192,'GDP data'!T$2:T$192)</f>
        <v>1.0145566828407393E-2</v>
      </c>
      <c r="G133" s="133">
        <f>LOOKUP($A133,'GDP data'!$A$2:$A$192,'GDP data'!U$2:U$192)</f>
        <v>2.2270742358078577E-2</v>
      </c>
      <c r="H133" s="133">
        <f>LOOKUP($A133,'GDP data'!$A$2:$A$192,'GDP data'!V$2:V$192)</f>
        <v>3.4515164459632652E-2</v>
      </c>
      <c r="I133" s="133">
        <f>LOOKUP($A133,'GDP data'!$A$2:$A$192,'GDP data'!W$2:W$192)</f>
        <v>4.0548352465108461E-2</v>
      </c>
      <c r="J133" s="851"/>
      <c r="K133" s="156"/>
      <c r="L133" s="158">
        <f>LOOKUP($A133,'GDP data'!$A$2:$A$192,'GDP data'!D$2:D$192)</f>
        <v>10.738</v>
      </c>
      <c r="M133" s="158">
        <f>LOOKUP($A133,'GDP data'!$A$2:$A$192,'GDP data'!E$2:E$192)</f>
        <v>10.974</v>
      </c>
      <c r="N133" s="158">
        <f>LOOKUP($A133,'GDP data'!$A$2:$A$192,'GDP data'!F$2:F$192)</f>
        <v>11.113</v>
      </c>
      <c r="O133" s="158">
        <f>LOOKUP($A133,'GDP data'!$A$2:$A$192,'GDP data'!G$2:G$192)</f>
        <v>11.335000000000001</v>
      </c>
      <c r="P133" s="158">
        <f>LOOKUP($A133,'GDP data'!$A$2:$A$192,'GDP data'!H$2:H$192)</f>
        <v>11.45</v>
      </c>
      <c r="Q133" s="158">
        <f>LOOKUP($A133,'GDP data'!$A$2:$A$192,'GDP data'!I$2:I$192)</f>
        <v>11.705</v>
      </c>
      <c r="R133" s="158">
        <f>LOOKUP($A133,'GDP data'!$A$2:$A$192,'GDP data'!J$2:J$192)</f>
        <v>12.109</v>
      </c>
      <c r="S133" s="158">
        <f>LOOKUP($A133,'GDP data'!$A$2:$A$192,'GDP data'!K$2:K$192)</f>
        <v>12.6</v>
      </c>
      <c r="T133" s="156"/>
      <c r="U133" s="156"/>
      <c r="V133" s="133">
        <f t="shared" si="48"/>
        <v>2.4398119322617499E-4</v>
      </c>
      <c r="W133" s="133">
        <f t="shared" si="49"/>
        <v>2.3579620615636084E-4</v>
      </c>
      <c r="X133" s="133">
        <f t="shared" si="50"/>
        <v>2.2649152762105237E-4</v>
      </c>
      <c r="Y133" s="133">
        <f t="shared" si="51"/>
        <v>2.1773451986320844E-4</v>
      </c>
      <c r="Z133" s="133">
        <f t="shared" si="52"/>
        <v>2.0692983249743919E-4</v>
      </c>
      <c r="AA133" s="133">
        <f t="shared" si="53"/>
        <v>1.9885021932134403E-4</v>
      </c>
      <c r="AB133" s="133">
        <f t="shared" si="54"/>
        <v>1.933804231458782E-4</v>
      </c>
      <c r="AC133" s="133">
        <f t="shared" si="55"/>
        <v>1.8929523431219491E-4</v>
      </c>
      <c r="AD133" s="156"/>
      <c r="AE133" s="156"/>
      <c r="AF133" s="159">
        <f t="shared" si="57"/>
        <v>1.3373428862495637E-5</v>
      </c>
      <c r="AG133" s="159">
        <f t="shared" si="58"/>
        <v>5.1823342012387339E-6</v>
      </c>
      <c r="AH133" s="159">
        <f t="shared" si="59"/>
        <v>2.8688101275128725E-6</v>
      </c>
      <c r="AI133" s="159">
        <f t="shared" si="60"/>
        <v>4.3495962755000848E-6</v>
      </c>
      <c r="AJ133" s="159">
        <f t="shared" si="61"/>
        <v>2.0994204443939171E-6</v>
      </c>
      <c r="AK133" s="159">
        <f t="shared" si="62"/>
        <v>4.4285420023530719E-6</v>
      </c>
      <c r="AL133" s="159">
        <f t="shared" si="63"/>
        <v>6.6745571081533387E-6</v>
      </c>
      <c r="AM133" s="159">
        <f t="shared" si="64"/>
        <v>7.6756098808561717E-6</v>
      </c>
    </row>
    <row r="134" spans="1:39" hidden="1" outlineLevel="2">
      <c r="A134" s="160" t="s">
        <v>376</v>
      </c>
      <c r="B134" s="133">
        <f>LOOKUP($A134,'GDP data'!$A$2:$A$192,'GDP data'!P$2:P$192)</f>
        <v>8.8852687131972363E-2</v>
      </c>
      <c r="C134" s="133">
        <f>LOOKUP($A134,'GDP data'!$A$2:$A$192,'GDP data'!Q$2:Q$192)</f>
        <v>8.1142367334216425E-2</v>
      </c>
      <c r="D134" s="133">
        <f>LOOKUP($A134,'GDP data'!$A$2:$A$192,'GDP data'!R$2:R$192)</f>
        <v>8.3175367405923017E-2</v>
      </c>
      <c r="E134" s="133">
        <f>LOOKUP($A134,'GDP data'!$A$2:$A$192,'GDP data'!S$2:S$192)</f>
        <v>8.3529075144893383E-2</v>
      </c>
      <c r="F134" s="133">
        <f>LOOKUP($A134,'GDP data'!$A$2:$A$192,'GDP data'!T$2:T$192)</f>
        <v>8.8954530939104215E-2</v>
      </c>
      <c r="G134" s="133">
        <f>LOOKUP($A134,'GDP data'!$A$2:$A$192,'GDP data'!U$2:U$192)</f>
        <v>9.0649161689816848E-2</v>
      </c>
      <c r="H134" s="133">
        <f>LOOKUP($A134,'GDP data'!$A$2:$A$192,'GDP data'!V$2:V$192)</f>
        <v>9.0240182010910219E-2</v>
      </c>
      <c r="I134" s="133">
        <f>LOOKUP($A134,'GDP data'!$A$2:$A$192,'GDP data'!W$2:W$192)</f>
        <v>8.8419564897769476E-2</v>
      </c>
      <c r="J134" s="851"/>
      <c r="K134" s="156"/>
      <c r="L134" s="158">
        <f>LOOKUP($A134,'GDP data'!$A$2:$A$192,'GDP data'!D$2:D$192)</f>
        <v>128.33000000000001</v>
      </c>
      <c r="M134" s="158">
        <f>LOOKUP($A134,'GDP data'!$A$2:$A$192,'GDP data'!E$2:E$192)</f>
        <v>138.74299999999999</v>
      </c>
      <c r="N134" s="158">
        <f>LOOKUP($A134,'GDP data'!$A$2:$A$192,'GDP data'!F$2:F$192)</f>
        <v>150.28299999999999</v>
      </c>
      <c r="O134" s="158">
        <f>LOOKUP($A134,'GDP data'!$A$2:$A$192,'GDP data'!G$2:G$192)</f>
        <v>162.83600000000001</v>
      </c>
      <c r="P134" s="158">
        <f>LOOKUP($A134,'GDP data'!$A$2:$A$192,'GDP data'!H$2:H$192)</f>
        <v>177.321</v>
      </c>
      <c r="Q134" s="158">
        <f>LOOKUP($A134,'GDP data'!$A$2:$A$192,'GDP data'!I$2:I$192)</f>
        <v>193.39500000000001</v>
      </c>
      <c r="R134" s="158">
        <f>LOOKUP($A134,'GDP data'!$A$2:$A$192,'GDP data'!J$2:J$192)</f>
        <v>210.84700000000001</v>
      </c>
      <c r="S134" s="158">
        <f>LOOKUP($A134,'GDP data'!$A$2:$A$192,'GDP data'!K$2:K$192)</f>
        <v>229.49</v>
      </c>
      <c r="T134" s="156"/>
      <c r="U134" s="156"/>
      <c r="V134" s="133">
        <f t="shared" si="48"/>
        <v>2.9158229210947142E-3</v>
      </c>
      <c r="W134" s="133">
        <f t="shared" si="49"/>
        <v>2.9811438883499152E-3</v>
      </c>
      <c r="X134" s="133">
        <f t="shared" si="50"/>
        <v>3.0628836718684977E-3</v>
      </c>
      <c r="Y134" s="133">
        <f t="shared" si="51"/>
        <v>3.1279239767486029E-3</v>
      </c>
      <c r="Z134" s="133">
        <f t="shared" si="52"/>
        <v>3.2046292426444033E-3</v>
      </c>
      <c r="AA134" s="133">
        <f t="shared" si="53"/>
        <v>3.2854880961684179E-3</v>
      </c>
      <c r="AB134" s="133">
        <f t="shared" si="54"/>
        <v>3.367221246926995E-3</v>
      </c>
      <c r="AC134" s="133">
        <f t="shared" si="55"/>
        <v>3.4477272478020331E-3</v>
      </c>
      <c r="AD134" s="156"/>
      <c r="AE134" s="156"/>
      <c r="AF134" s="159">
        <f t="shared" si="57"/>
        <v>2.5907870174026235E-4</v>
      </c>
      <c r="AG134" s="159">
        <f t="shared" si="58"/>
        <v>2.418970724646431E-4</v>
      </c>
      <c r="AH134" s="159">
        <f t="shared" si="59"/>
        <v>2.5475647472926488E-4</v>
      </c>
      <c r="AI134" s="159">
        <f t="shared" si="60"/>
        <v>2.612725969013478E-4</v>
      </c>
      <c r="AJ134" s="159">
        <f t="shared" si="61"/>
        <v>2.850662911131697E-4</v>
      </c>
      <c r="AK134" s="159">
        <f t="shared" si="62"/>
        <v>2.9782674165953945E-4</v>
      </c>
      <c r="AL134" s="159">
        <f t="shared" si="63"/>
        <v>3.0385865819369611E-4</v>
      </c>
      <c r="AM134" s="159">
        <f t="shared" si="64"/>
        <v>3.0484654313684003E-4</v>
      </c>
    </row>
    <row r="135" spans="1:39" hidden="1" outlineLevel="2">
      <c r="A135" s="160" t="s">
        <v>379</v>
      </c>
      <c r="B135" s="133">
        <f>LOOKUP($A135,'GDP data'!$A$2:$A$192,'GDP data'!P$2:P$192)</f>
        <v>7.2941667536262189E-2</v>
      </c>
      <c r="C135" s="133">
        <f>LOOKUP($A135,'GDP data'!$A$2:$A$192,'GDP data'!Q$2:Q$192)</f>
        <v>6.4481618362186355E-2</v>
      </c>
      <c r="D135" s="133">
        <f>LOOKUP($A135,'GDP data'!$A$2:$A$192,'GDP data'!R$2:R$192)</f>
        <v>6.3316582914572761E-2</v>
      </c>
      <c r="E135" s="133">
        <f>LOOKUP($A135,'GDP data'!$A$2:$A$192,'GDP data'!S$2:S$192)</f>
        <v>6.8310706306925484E-2</v>
      </c>
      <c r="F135" s="133">
        <f>LOOKUP($A135,'GDP data'!$A$2:$A$192,'GDP data'!T$2:T$192)</f>
        <v>7.3433604118072981E-2</v>
      </c>
      <c r="G135" s="133">
        <f>LOOKUP($A135,'GDP data'!$A$2:$A$192,'GDP data'!U$2:U$192)</f>
        <v>7.6502322793346345E-2</v>
      </c>
      <c r="H135" s="133">
        <f>LOOKUP($A135,'GDP data'!$A$2:$A$192,'GDP data'!V$2:V$192)</f>
        <v>7.823484373912426E-2</v>
      </c>
      <c r="I135" s="133">
        <f>LOOKUP($A135,'GDP data'!$A$2:$A$192,'GDP data'!W$2:W$192)</f>
        <v>7.791620941191657E-2</v>
      </c>
      <c r="J135" s="851"/>
      <c r="K135" s="156"/>
      <c r="L135" s="158">
        <f>LOOKUP($A135,'GDP data'!$A$2:$A$192,'GDP data'!D$2:D$192)</f>
        <v>10.282</v>
      </c>
      <c r="M135" s="158">
        <f>LOOKUP($A135,'GDP data'!$A$2:$A$192,'GDP data'!E$2:E$192)</f>
        <v>10.945</v>
      </c>
      <c r="N135" s="158">
        <f>LOOKUP($A135,'GDP data'!$A$2:$A$192,'GDP data'!F$2:F$192)</f>
        <v>11.638</v>
      </c>
      <c r="O135" s="158">
        <f>LOOKUP($A135,'GDP data'!$A$2:$A$192,'GDP data'!G$2:G$192)</f>
        <v>12.433</v>
      </c>
      <c r="P135" s="158">
        <f>LOOKUP($A135,'GDP data'!$A$2:$A$192,'GDP data'!H$2:H$192)</f>
        <v>13.346</v>
      </c>
      <c r="Q135" s="158">
        <f>LOOKUP($A135,'GDP data'!$A$2:$A$192,'GDP data'!I$2:I$192)</f>
        <v>14.367000000000001</v>
      </c>
      <c r="R135" s="158">
        <f>LOOKUP($A135,'GDP data'!$A$2:$A$192,'GDP data'!J$2:J$192)</f>
        <v>15.491</v>
      </c>
      <c r="S135" s="158">
        <f>LOOKUP($A135,'GDP data'!$A$2:$A$192,'GDP data'!K$2:K$192)</f>
        <v>16.698</v>
      </c>
      <c r="T135" s="156"/>
      <c r="U135" s="156"/>
      <c r="V135" s="133">
        <f t="shared" si="48"/>
        <v>2.3362028578427374E-4</v>
      </c>
      <c r="W135" s="133">
        <f t="shared" si="49"/>
        <v>2.3517308878999175E-4</v>
      </c>
      <c r="X135" s="133">
        <f t="shared" si="50"/>
        <v>2.3719143331717876E-4</v>
      </c>
      <c r="Y135" s="133">
        <f t="shared" si="51"/>
        <v>2.3882605076835204E-4</v>
      </c>
      <c r="Z135" s="133">
        <f t="shared" si="52"/>
        <v>2.4119524406208067E-4</v>
      </c>
      <c r="AA135" s="133">
        <f t="shared" si="53"/>
        <v>2.4407356693633062E-4</v>
      </c>
      <c r="AB135" s="133">
        <f t="shared" si="54"/>
        <v>2.4739087744262941E-4</v>
      </c>
      <c r="AC135" s="133">
        <f t="shared" si="55"/>
        <v>2.5086125575754216E-4</v>
      </c>
      <c r="AD135" s="156"/>
      <c r="AE135" s="156"/>
      <c r="AF135" s="159">
        <f t="shared" si="57"/>
        <v>1.7040653215403056E-5</v>
      </c>
      <c r="AG135" s="159">
        <f t="shared" si="58"/>
        <v>1.5164341360412814E-5</v>
      </c>
      <c r="AH135" s="159">
        <f t="shared" si="59"/>
        <v>1.5018151054253504E-5</v>
      </c>
      <c r="AI135" s="159">
        <f t="shared" si="60"/>
        <v>1.6314376212479772E-5</v>
      </c>
      <c r="AJ135" s="159">
        <f t="shared" si="61"/>
        <v>1.7711836067616825E-5</v>
      </c>
      <c r="AK135" s="159">
        <f t="shared" si="62"/>
        <v>1.8672194803086592E-5</v>
      </c>
      <c r="AL135" s="159">
        <f t="shared" si="63"/>
        <v>1.9354586639208953E-5</v>
      </c>
      <c r="AM135" s="159">
        <f t="shared" si="64"/>
        <v>1.9546158136941017E-5</v>
      </c>
    </row>
    <row r="136" spans="1:39" hidden="1" outlineLevel="2">
      <c r="A136" s="160" t="s">
        <v>382</v>
      </c>
      <c r="B136" s="133">
        <f>LOOKUP($A136,'GDP data'!$A$2:$A$192,'GDP data'!P$2:P$192)</f>
        <v>4.0910227556889334E-2</v>
      </c>
      <c r="C136" s="133">
        <f>LOOKUP($A136,'GDP data'!$A$2:$A$192,'GDP data'!Q$2:Q$192)</f>
        <v>2.1965438267749215E-2</v>
      </c>
      <c r="D136" s="133">
        <f>LOOKUP($A136,'GDP data'!$A$2:$A$192,'GDP data'!R$2:R$192)</f>
        <v>2.2888082682317235E-2</v>
      </c>
      <c r="E136" s="133">
        <f>LOOKUP($A136,'GDP data'!$A$2:$A$192,'GDP data'!S$2:S$192)</f>
        <v>4.1151506794747883E-2</v>
      </c>
      <c r="F136" s="133">
        <f>LOOKUP($A136,'GDP data'!$A$2:$A$192,'GDP data'!T$2:T$192)</f>
        <v>5.0333298997895737E-2</v>
      </c>
      <c r="G136" s="133">
        <f>LOOKUP($A136,'GDP data'!$A$2:$A$192,'GDP data'!U$2:U$192)</f>
        <v>5.7511120451122499E-2</v>
      </c>
      <c r="H136" s="133">
        <f>LOOKUP($A136,'GDP data'!$A$2:$A$192,'GDP data'!V$2:V$192)</f>
        <v>6.3107342761567153E-2</v>
      </c>
      <c r="I136" s="133">
        <f>LOOKUP($A136,'GDP data'!$A$2:$A$192,'GDP data'!W$2:W$192)</f>
        <v>6.4657428407646655E-2</v>
      </c>
      <c r="J136" s="851"/>
      <c r="K136" s="156"/>
      <c r="L136" s="158">
        <f>LOOKUP($A136,'GDP data'!$A$2:$A$192,'GDP data'!D$2:D$192)</f>
        <v>124.878</v>
      </c>
      <c r="M136" s="158">
        <f>LOOKUP($A136,'GDP data'!$A$2:$A$192,'GDP data'!E$2:E$192)</f>
        <v>127.621</v>
      </c>
      <c r="N136" s="158">
        <f>LOOKUP($A136,'GDP data'!$A$2:$A$192,'GDP data'!F$2:F$192)</f>
        <v>130.542</v>
      </c>
      <c r="O136" s="158">
        <f>LOOKUP($A136,'GDP data'!$A$2:$A$192,'GDP data'!G$2:G$192)</f>
        <v>135.91399999999999</v>
      </c>
      <c r="P136" s="158">
        <f>LOOKUP($A136,'GDP data'!$A$2:$A$192,'GDP data'!H$2:H$192)</f>
        <v>142.755</v>
      </c>
      <c r="Q136" s="158">
        <f>LOOKUP($A136,'GDP data'!$A$2:$A$192,'GDP data'!I$2:I$192)</f>
        <v>150.965</v>
      </c>
      <c r="R136" s="158">
        <f>LOOKUP($A136,'GDP data'!$A$2:$A$192,'GDP data'!J$2:J$192)</f>
        <v>160.49199999999999</v>
      </c>
      <c r="S136" s="158">
        <f>LOOKUP($A136,'GDP data'!$A$2:$A$192,'GDP data'!K$2:K$192)</f>
        <v>170.869</v>
      </c>
      <c r="T136" s="156"/>
      <c r="U136" s="156"/>
      <c r="V136" s="133">
        <f t="shared" si="48"/>
        <v>2.8373890340564613E-3</v>
      </c>
      <c r="W136" s="133">
        <f t="shared" si="49"/>
        <v>2.7421676349444982E-3</v>
      </c>
      <c r="X136" s="133">
        <f t="shared" si="50"/>
        <v>2.6605468369213913E-3</v>
      </c>
      <c r="Y136" s="133">
        <f t="shared" si="51"/>
        <v>2.6107780796372393E-3</v>
      </c>
      <c r="Z136" s="133">
        <f t="shared" si="52"/>
        <v>2.579936090670038E-3</v>
      </c>
      <c r="AA136" s="133">
        <f t="shared" si="53"/>
        <v>2.5646666689317986E-3</v>
      </c>
      <c r="AB136" s="133">
        <f t="shared" si="54"/>
        <v>2.5630531729728535E-3</v>
      </c>
      <c r="AC136" s="133">
        <f t="shared" si="55"/>
        <v>2.5670386818801932E-3</v>
      </c>
      <c r="AD136" s="156"/>
      <c r="AE136" s="156"/>
      <c r="AF136" s="159">
        <f t="shared" si="57"/>
        <v>1.1607823105067226E-4</v>
      </c>
      <c r="AG136" s="159">
        <f t="shared" si="58"/>
        <v>6.0232913905193244E-5</v>
      </c>
      <c r="AH136" s="159">
        <f t="shared" si="59"/>
        <v>6.0894815983634391E-5</v>
      </c>
      <c r="AI136" s="159">
        <f t="shared" si="60"/>
        <v>1.0743745188377069E-4</v>
      </c>
      <c r="AJ136" s="159">
        <f t="shared" si="61"/>
        <v>1.2985669464715726E-4</v>
      </c>
      <c r="AK136" s="159">
        <f t="shared" si="62"/>
        <v>1.4749685371391578E-4</v>
      </c>
      <c r="AL136" s="159">
        <f t="shared" si="63"/>
        <v>1.6174747510292012E-4</v>
      </c>
      <c r="AM136" s="159">
        <f t="shared" si="64"/>
        <v>1.6597811979332823E-4</v>
      </c>
    </row>
    <row r="137" spans="1:39" hidden="1" outlineLevel="2">
      <c r="A137" s="160" t="s">
        <v>383</v>
      </c>
      <c r="B137" s="133">
        <f>LOOKUP($A137,'GDP data'!$A$2:$A$192,'GDP data'!P$2:P$192)</f>
        <v>7.0538270891984833E-2</v>
      </c>
      <c r="C137" s="133">
        <f>LOOKUP($A137,'GDP data'!$A$2:$A$192,'GDP data'!Q$2:Q$192)</f>
        <v>7.2363763050538932E-2</v>
      </c>
      <c r="D137" s="133">
        <f>LOOKUP($A137,'GDP data'!$A$2:$A$192,'GDP data'!R$2:R$192)</f>
        <v>4.5001047998323163E-2</v>
      </c>
      <c r="E137" s="133">
        <f>LOOKUP($A137,'GDP data'!$A$2:$A$192,'GDP data'!S$2:S$192)</f>
        <v>6.9418537015865311E-2</v>
      </c>
      <c r="F137" s="133">
        <f>LOOKUP($A137,'GDP data'!$A$2:$A$192,'GDP data'!T$2:T$192)</f>
        <v>5.4925165985221014E-2</v>
      </c>
      <c r="G137" s="133">
        <f>LOOKUP($A137,'GDP data'!$A$2:$A$192,'GDP data'!U$2:U$192)</f>
        <v>5.7056883539420289E-2</v>
      </c>
      <c r="H137" s="133">
        <f>LOOKUP($A137,'GDP data'!$A$2:$A$192,'GDP data'!V$2:V$192)</f>
        <v>5.6878434802352995E-2</v>
      </c>
      <c r="I137" s="133">
        <f>LOOKUP($A137,'GDP data'!$A$2:$A$192,'GDP data'!W$2:W$192)</f>
        <v>5.7421921623234562E-2</v>
      </c>
      <c r="J137" s="851"/>
      <c r="K137" s="156"/>
      <c r="L137" s="158">
        <f>LOOKUP($A137,'GDP data'!$A$2:$A$192,'GDP data'!D$2:D$192)</f>
        <v>1779.62</v>
      </c>
      <c r="M137" s="158">
        <f>LOOKUP($A137,'GDP data'!$A$2:$A$192,'GDP data'!E$2:E$192)</f>
        <v>1908.4</v>
      </c>
      <c r="N137" s="158">
        <f>LOOKUP($A137,'GDP data'!$A$2:$A$192,'GDP data'!F$2:F$192)</f>
        <v>1994.28</v>
      </c>
      <c r="O137" s="158">
        <f>LOOKUP($A137,'GDP data'!$A$2:$A$192,'GDP data'!G$2:G$192)</f>
        <v>2132.7199999999998</v>
      </c>
      <c r="P137" s="158">
        <f>LOOKUP($A137,'GDP data'!$A$2:$A$192,'GDP data'!H$2:H$192)</f>
        <v>2249.86</v>
      </c>
      <c r="Q137" s="158">
        <f>LOOKUP($A137,'GDP data'!$A$2:$A$192,'GDP data'!I$2:I$192)</f>
        <v>2378.23</v>
      </c>
      <c r="R137" s="158">
        <f>LOOKUP($A137,'GDP data'!$A$2:$A$192,'GDP data'!J$2:J$192)</f>
        <v>2513.5</v>
      </c>
      <c r="S137" s="158">
        <f>LOOKUP($A137,'GDP data'!$A$2:$A$192,'GDP data'!K$2:K$192)</f>
        <v>2657.83</v>
      </c>
      <c r="T137" s="156"/>
      <c r="U137" s="156"/>
      <c r="V137" s="133">
        <f t="shared" si="48"/>
        <v>4.0435258995079673E-2</v>
      </c>
      <c r="W137" s="133">
        <f t="shared" si="49"/>
        <v>4.1005420068233919E-2</v>
      </c>
      <c r="X137" s="133">
        <f t="shared" si="50"/>
        <v>4.0644967488896996E-2</v>
      </c>
      <c r="Y137" s="133">
        <f t="shared" si="51"/>
        <v>4.0967513471783137E-2</v>
      </c>
      <c r="Z137" s="133">
        <f t="shared" si="52"/>
        <v>4.0660537374907303E-2</v>
      </c>
      <c r="AA137" s="133">
        <f t="shared" si="53"/>
        <v>4.0402525168440839E-2</v>
      </c>
      <c r="AB137" s="133">
        <f t="shared" si="54"/>
        <v>4.0140531305406298E-2</v>
      </c>
      <c r="AC137" s="133">
        <f t="shared" si="55"/>
        <v>3.9929726397776269E-2</v>
      </c>
      <c r="AD137" s="156"/>
      <c r="AE137" s="156"/>
      <c r="AF137" s="159">
        <f t="shared" si="57"/>
        <v>2.8522332525824966E-3</v>
      </c>
      <c r="AG137" s="159">
        <f t="shared" si="58"/>
        <v>2.9673065016054931E-3</v>
      </c>
      <c r="AH137" s="159">
        <f t="shared" si="59"/>
        <v>1.8290661328581382E-3</v>
      </c>
      <c r="AI137" s="159">
        <f t="shared" si="60"/>
        <v>2.8439048503889385E-3</v>
      </c>
      <c r="AJ137" s="159">
        <f t="shared" si="61"/>
        <v>2.2332867643650662E-3</v>
      </c>
      <c r="AK137" s="159">
        <f t="shared" si="62"/>
        <v>2.3052421732342259E-3</v>
      </c>
      <c r="AL137" s="159">
        <f t="shared" si="63"/>
        <v>2.2831305927863616E-3</v>
      </c>
      <c r="AM137" s="159">
        <f t="shared" si="64"/>
        <v>2.2928416196503088E-3</v>
      </c>
    </row>
    <row r="138" spans="1:39" hidden="1" outlineLevel="2">
      <c r="A138" s="160" t="s">
        <v>386</v>
      </c>
      <c r="B138" s="133">
        <f>LOOKUP($A138,'GDP data'!$A$2:$A$192,'GDP data'!P$2:P$192)</f>
        <v>6.4385322915636367E-2</v>
      </c>
      <c r="C138" s="133">
        <f>LOOKUP($A138,'GDP data'!$A$2:$A$192,'GDP data'!Q$2:Q$192)</f>
        <v>6.8149839381952404E-2</v>
      </c>
      <c r="D138" s="133">
        <f>LOOKUP($A138,'GDP data'!$A$2:$A$192,'GDP data'!R$2:R$192)</f>
        <v>3.6287716856390206E-2</v>
      </c>
      <c r="E138" s="133">
        <f>LOOKUP($A138,'GDP data'!$A$2:$A$192,'GDP data'!S$2:S$192)</f>
        <v>6.2622919364896612E-2</v>
      </c>
      <c r="F138" s="133">
        <f>LOOKUP($A138,'GDP data'!$A$2:$A$192,'GDP data'!T$2:T$192)</f>
        <v>7.2869879246134639E-2</v>
      </c>
      <c r="G138" s="133">
        <f>LOOKUP($A138,'GDP data'!$A$2:$A$192,'GDP data'!U$2:U$192)</f>
        <v>7.9859467533423878E-2</v>
      </c>
      <c r="H138" s="133">
        <f>LOOKUP($A138,'GDP data'!$A$2:$A$192,'GDP data'!V$2:V$192)</f>
        <v>8.4649178347733667E-2</v>
      </c>
      <c r="I138" s="133">
        <f>LOOKUP($A138,'GDP data'!$A$2:$A$192,'GDP data'!W$2:W$192)</f>
        <v>8.6969797663203119E-2</v>
      </c>
      <c r="J138" s="851"/>
      <c r="K138" s="156"/>
      <c r="L138" s="158">
        <f>LOOKUP($A138,'GDP data'!$A$2:$A$192,'GDP data'!D$2:D$192)</f>
        <v>75.334000000000003</v>
      </c>
      <c r="M138" s="158">
        <f>LOOKUP($A138,'GDP data'!$A$2:$A$192,'GDP data'!E$2:E$192)</f>
        <v>80.468000000000004</v>
      </c>
      <c r="N138" s="158">
        <f>LOOKUP($A138,'GDP data'!$A$2:$A$192,'GDP data'!F$2:F$192)</f>
        <v>83.388000000000005</v>
      </c>
      <c r="O138" s="158">
        <f>LOOKUP($A138,'GDP data'!$A$2:$A$192,'GDP data'!G$2:G$192)</f>
        <v>88.61</v>
      </c>
      <c r="P138" s="158">
        <f>LOOKUP($A138,'GDP data'!$A$2:$A$192,'GDP data'!H$2:H$192)</f>
        <v>95.066999999999993</v>
      </c>
      <c r="Q138" s="158">
        <f>LOOKUP($A138,'GDP data'!$A$2:$A$192,'GDP data'!I$2:I$192)</f>
        <v>102.65900000000001</v>
      </c>
      <c r="R138" s="158">
        <f>LOOKUP($A138,'GDP data'!$A$2:$A$192,'GDP data'!J$2:J$192)</f>
        <v>111.349</v>
      </c>
      <c r="S138" s="158">
        <f>LOOKUP($A138,'GDP data'!$A$2:$A$192,'GDP data'!K$2:K$192)</f>
        <v>121.033</v>
      </c>
      <c r="T138" s="156"/>
      <c r="U138" s="156"/>
      <c r="V138" s="133">
        <f t="shared" si="48"/>
        <v>1.7116855290091888E-3</v>
      </c>
      <c r="W138" s="133">
        <f t="shared" si="49"/>
        <v>1.7290002840340847E-3</v>
      </c>
      <c r="X138" s="133">
        <f t="shared" si="50"/>
        <v>1.6995118784544512E-3</v>
      </c>
      <c r="Y138" s="133">
        <f t="shared" si="51"/>
        <v>1.7021134367074459E-3</v>
      </c>
      <c r="Z138" s="133">
        <f t="shared" si="52"/>
        <v>1.7180959289112708E-3</v>
      </c>
      <c r="AA138" s="133">
        <f t="shared" si="53"/>
        <v>1.7440209026321964E-3</v>
      </c>
      <c r="AB138" s="133">
        <f t="shared" si="54"/>
        <v>1.7782407083054251E-3</v>
      </c>
      <c r="AC138" s="133">
        <f t="shared" si="55"/>
        <v>1.8183309598815785E-3</v>
      </c>
      <c r="AD138" s="156"/>
      <c r="AE138" s="156"/>
      <c r="AF138" s="159">
        <f t="shared" si="57"/>
        <v>1.1020742551527849E-4</v>
      </c>
      <c r="AG138" s="159">
        <f t="shared" si="58"/>
        <v>1.1783109164827296E-4</v>
      </c>
      <c r="AH138" s="159">
        <f t="shared" si="59"/>
        <v>6.1671405839426978E-5</v>
      </c>
      <c r="AI138" s="159">
        <f t="shared" si="60"/>
        <v>1.0659131249683744E-4</v>
      </c>
      <c r="AJ138" s="159">
        <f t="shared" si="61"/>
        <v>1.2519744287303982E-4</v>
      </c>
      <c r="AK138" s="159">
        <f t="shared" si="62"/>
        <v>1.3927658065136848E-4</v>
      </c>
      <c r="AL138" s="159">
        <f t="shared" si="63"/>
        <v>1.5052661486254616E-4</v>
      </c>
      <c r="AM138" s="159">
        <f t="shared" si="64"/>
        <v>1.5813987566563878E-4</v>
      </c>
    </row>
    <row r="139" spans="1:39" hidden="1" outlineLevel="2">
      <c r="A139" s="160" t="s">
        <v>387</v>
      </c>
      <c r="B139" s="133">
        <f>LOOKUP($A139,'GDP data'!$A$2:$A$192,'GDP data'!P$2:P$192)</f>
        <v>-4.8754330548196445E-2</v>
      </c>
      <c r="C139" s="133">
        <f>LOOKUP($A139,'GDP data'!$A$2:$A$192,'GDP data'!Q$2:Q$192)</f>
        <v>-8.7946312606950405E-2</v>
      </c>
      <c r="D139" s="133">
        <f>LOOKUP($A139,'GDP data'!$A$2:$A$192,'GDP data'!R$2:R$192)</f>
        <v>3.6129543719537249E-2</v>
      </c>
      <c r="E139" s="133">
        <f>LOOKUP($A139,'GDP data'!$A$2:$A$192,'GDP data'!S$2:S$192)</f>
        <v>3.8176743131615121E-2</v>
      </c>
      <c r="F139" s="133">
        <f>LOOKUP($A139,'GDP data'!$A$2:$A$192,'GDP data'!T$2:T$192)</f>
        <v>5.2031215453778534E-2</v>
      </c>
      <c r="G139" s="133">
        <f>LOOKUP($A139,'GDP data'!$A$2:$A$192,'GDP data'!U$2:U$192)</f>
        <v>5.7493273554235724E-2</v>
      </c>
      <c r="H139" s="133">
        <f>LOOKUP($A139,'GDP data'!$A$2:$A$192,'GDP data'!V$2:V$192)</f>
        <v>5.9223019888217765E-2</v>
      </c>
      <c r="I139" s="133">
        <f>LOOKUP($A139,'GDP data'!$A$2:$A$192,'GDP data'!W$2:W$192)</f>
        <v>6.2066265785840624E-2</v>
      </c>
      <c r="J139" s="851"/>
      <c r="K139" s="156"/>
      <c r="L139" s="158">
        <f>LOOKUP($A139,'GDP data'!$A$2:$A$192,'GDP data'!D$2:D$192)</f>
        <v>373.42099999999999</v>
      </c>
      <c r="M139" s="158">
        <f>LOOKUP($A139,'GDP data'!$A$2:$A$192,'GDP data'!E$2:E$192)</f>
        <v>340.58</v>
      </c>
      <c r="N139" s="158">
        <f>LOOKUP($A139,'GDP data'!$A$2:$A$192,'GDP data'!F$2:F$192)</f>
        <v>352.88499999999999</v>
      </c>
      <c r="O139" s="158">
        <f>LOOKUP($A139,'GDP data'!$A$2:$A$192,'GDP data'!G$2:G$192)</f>
        <v>366.35700000000003</v>
      </c>
      <c r="P139" s="158">
        <f>LOOKUP($A139,'GDP data'!$A$2:$A$192,'GDP data'!H$2:H$192)</f>
        <v>385.41899999999998</v>
      </c>
      <c r="Q139" s="158">
        <f>LOOKUP($A139,'GDP data'!$A$2:$A$192,'GDP data'!I$2:I$192)</f>
        <v>407.57799999999997</v>
      </c>
      <c r="R139" s="158">
        <f>LOOKUP($A139,'GDP data'!$A$2:$A$192,'GDP data'!J$2:J$192)</f>
        <v>431.71600000000001</v>
      </c>
      <c r="S139" s="158">
        <f>LOOKUP($A139,'GDP data'!$A$2:$A$192,'GDP data'!K$2:K$192)</f>
        <v>458.51100000000002</v>
      </c>
      <c r="T139" s="156"/>
      <c r="U139" s="156"/>
      <c r="V139" s="133">
        <f t="shared" si="48"/>
        <v>8.4846061795223957E-3</v>
      </c>
      <c r="W139" s="133">
        <f t="shared" si="49"/>
        <v>7.3179762978616159E-3</v>
      </c>
      <c r="X139" s="133">
        <f t="shared" si="50"/>
        <v>7.1920689934810642E-3</v>
      </c>
      <c r="Y139" s="133">
        <f t="shared" si="51"/>
        <v>7.0373679306153913E-3</v>
      </c>
      <c r="Z139" s="133">
        <f t="shared" si="52"/>
        <v>6.9654750315572504E-3</v>
      </c>
      <c r="AA139" s="133">
        <f t="shared" si="53"/>
        <v>6.9241328227727253E-3</v>
      </c>
      <c r="AB139" s="133">
        <f t="shared" si="54"/>
        <v>6.8944935798865275E-3</v>
      </c>
      <c r="AC139" s="133">
        <f t="shared" si="55"/>
        <v>6.8884085063268896E-3</v>
      </c>
      <c r="AD139" s="156"/>
      <c r="AE139" s="156"/>
      <c r="AF139" s="159">
        <f t="shared" si="57"/>
        <v>-4.1366129424770504E-4</v>
      </c>
      <c r="AG139" s="159">
        <f t="shared" si="58"/>
        <v>-6.435890311419913E-4</v>
      </c>
      <c r="AH139" s="159">
        <f t="shared" si="59"/>
        <v>2.5984617113390234E-4</v>
      </c>
      <c r="AI139" s="159">
        <f t="shared" si="60"/>
        <v>2.6866378780976966E-4</v>
      </c>
      <c r="AJ139" s="159">
        <f t="shared" si="61"/>
        <v>3.6242213210487011E-4</v>
      </c>
      <c r="AK139" s="159">
        <f t="shared" si="62"/>
        <v>3.980910625055347E-4</v>
      </c>
      <c r="AL139" s="159">
        <f t="shared" si="63"/>
        <v>4.0831273040080953E-4</v>
      </c>
      <c r="AM139" s="159">
        <f t="shared" si="64"/>
        <v>4.2753779319513015E-4</v>
      </c>
    </row>
    <row r="140" spans="1:39" hidden="1" outlineLevel="2">
      <c r="A140" s="160" t="s">
        <v>388</v>
      </c>
      <c r="B140" s="133">
        <f>LOOKUP($A140,'GDP data'!$A$2:$A$192,'GDP data'!P$2:P$192)</f>
        <v>5.1387814139112642E-2</v>
      </c>
      <c r="C140" s="133">
        <f>LOOKUP($A140,'GDP data'!$A$2:$A$192,'GDP data'!Q$2:Q$192)</f>
        <v>4.9546895832551341E-2</v>
      </c>
      <c r="D140" s="133">
        <f>LOOKUP($A140,'GDP data'!$A$2:$A$192,'GDP data'!R$2:R$192)</f>
        <v>4.3510372643958961E-2</v>
      </c>
      <c r="E140" s="133">
        <f>LOOKUP($A140,'GDP data'!$A$2:$A$192,'GDP data'!S$2:S$192)</f>
        <v>3.1039297171730151E-2</v>
      </c>
      <c r="F140" s="133">
        <f>LOOKUP($A140,'GDP data'!$A$2:$A$192,'GDP data'!T$2:T$192)</f>
        <v>5.3609519790504434E-2</v>
      </c>
      <c r="G140" s="133">
        <f>LOOKUP($A140,'GDP data'!$A$2:$A$192,'GDP data'!U$2:U$192)</f>
        <v>5.387062217180616E-2</v>
      </c>
      <c r="H140" s="133">
        <f>LOOKUP($A140,'GDP data'!$A$2:$A$192,'GDP data'!V$2:V$192)</f>
        <v>5.25304008631855E-2</v>
      </c>
      <c r="I140" s="133">
        <f>LOOKUP($A140,'GDP data'!$A$2:$A$192,'GDP data'!W$2:W$192)</f>
        <v>5.1905767073874953E-2</v>
      </c>
      <c r="J140" s="851"/>
      <c r="K140" s="156"/>
      <c r="L140" s="158">
        <f>LOOKUP($A140,'GDP data'!$A$2:$A$192,'GDP data'!D$2:D$192)</f>
        <v>612.77300000000002</v>
      </c>
      <c r="M140" s="158">
        <f>LOOKUP($A140,'GDP data'!$A$2:$A$192,'GDP data'!E$2:E$192)</f>
        <v>643.13400000000001</v>
      </c>
      <c r="N140" s="158">
        <f>LOOKUP($A140,'GDP data'!$A$2:$A$192,'GDP data'!F$2:F$192)</f>
        <v>671.11699999999996</v>
      </c>
      <c r="O140" s="158">
        <f>LOOKUP($A140,'GDP data'!$A$2:$A$192,'GDP data'!G$2:G$192)</f>
        <v>691.94799999999998</v>
      </c>
      <c r="P140" s="158">
        <f>LOOKUP($A140,'GDP data'!$A$2:$A$192,'GDP data'!H$2:H$192)</f>
        <v>729.04300000000001</v>
      </c>
      <c r="Q140" s="158">
        <f>LOOKUP($A140,'GDP data'!$A$2:$A$192,'GDP data'!I$2:I$192)</f>
        <v>768.31700000000001</v>
      </c>
      <c r="R140" s="158">
        <f>LOOKUP($A140,'GDP data'!$A$2:$A$192,'GDP data'!J$2:J$192)</f>
        <v>808.67700000000002</v>
      </c>
      <c r="S140" s="158">
        <f>LOOKUP($A140,'GDP data'!$A$2:$A$192,'GDP data'!K$2:K$192)</f>
        <v>850.65200000000004</v>
      </c>
      <c r="T140" s="156"/>
      <c r="U140" s="156"/>
      <c r="V140" s="133">
        <f t="shared" si="48"/>
        <v>1.3922991964684573E-2</v>
      </c>
      <c r="W140" s="133">
        <f t="shared" si="49"/>
        <v>1.3818895320773189E-2</v>
      </c>
      <c r="X140" s="133">
        <f t="shared" si="50"/>
        <v>1.3677883068699524E-2</v>
      </c>
      <c r="Y140" s="133">
        <f t="shared" si="51"/>
        <v>1.3291659951504839E-2</v>
      </c>
      <c r="Z140" s="133">
        <f t="shared" si="52"/>
        <v>1.3175610993312714E-2</v>
      </c>
      <c r="AA140" s="133">
        <f t="shared" si="53"/>
        <v>1.3052541987041186E-2</v>
      </c>
      <c r="AB140" s="133">
        <f t="shared" si="54"/>
        <v>1.2914551197319296E-2</v>
      </c>
      <c r="AC140" s="133">
        <f t="shared" si="55"/>
        <v>1.277971187762994E-2</v>
      </c>
      <c r="AD140" s="156"/>
      <c r="AE140" s="156"/>
      <c r="AF140" s="159">
        <f t="shared" si="57"/>
        <v>7.1547212334156958E-4</v>
      </c>
      <c r="AG140" s="159">
        <f t="shared" si="58"/>
        <v>6.8468336697928036E-4</v>
      </c>
      <c r="AH140" s="159">
        <f t="shared" si="59"/>
        <v>5.951297892996132E-4</v>
      </c>
      <c r="AI140" s="159">
        <f t="shared" si="60"/>
        <v>4.1256378314034306E-4</v>
      </c>
      <c r="AJ140" s="159">
        <f t="shared" si="61"/>
        <v>7.0633817829798568E-4</v>
      </c>
      <c r="AK140" s="159">
        <f t="shared" si="62"/>
        <v>7.0314855776553169E-4</v>
      </c>
      <c r="AL140" s="159">
        <f t="shared" si="63"/>
        <v>6.7840655136331492E-4</v>
      </c>
      <c r="AM140" s="159">
        <f t="shared" si="64"/>
        <v>6.6334074799149275E-4</v>
      </c>
    </row>
    <row r="141" spans="1:39" hidden="1" outlineLevel="2">
      <c r="A141" s="160" t="s">
        <v>389</v>
      </c>
      <c r="B141" s="133">
        <f>LOOKUP($A141,'GDP data'!$A$2:$A$192,'GDP data'!P$2:P$192)</f>
        <v>4.9205260010995122E-2</v>
      </c>
      <c r="C141" s="133">
        <f>LOOKUP($A141,'GDP data'!$A$2:$A$192,'GDP data'!Q$2:Q$192)</f>
        <v>3.3021880724997343E-2</v>
      </c>
      <c r="D141" s="133">
        <f>LOOKUP($A141,'GDP data'!$A$2:$A$192,'GDP data'!R$2:R$192)</f>
        <v>3.1048104940077037E-2</v>
      </c>
      <c r="E141" s="133">
        <f>LOOKUP($A141,'GDP data'!$A$2:$A$192,'GDP data'!S$2:S$192)</f>
        <v>3.4264210023592145E-2</v>
      </c>
      <c r="F141" s="133">
        <f>LOOKUP($A141,'GDP data'!$A$2:$A$192,'GDP data'!T$2:T$192)</f>
        <v>3.4663657668605241E-2</v>
      </c>
      <c r="G141" s="133">
        <f>LOOKUP($A141,'GDP data'!$A$2:$A$192,'GDP data'!U$2:U$192)</f>
        <v>3.7304242489320849E-2</v>
      </c>
      <c r="H141" s="133">
        <f>LOOKUP($A141,'GDP data'!$A$2:$A$192,'GDP data'!V$2:V$192)</f>
        <v>3.8576502785272027E-2</v>
      </c>
      <c r="I141" s="133">
        <f>LOOKUP($A141,'GDP data'!$A$2:$A$192,'GDP data'!W$2:W$192)</f>
        <v>3.8271178099429592E-2</v>
      </c>
      <c r="J141" s="851"/>
      <c r="K141" s="156"/>
      <c r="L141" s="158">
        <f>LOOKUP($A141,'GDP data'!$A$2:$A$192,'GDP data'!D$2:D$192)</f>
        <v>2614.63</v>
      </c>
      <c r="M141" s="158">
        <f>LOOKUP($A141,'GDP data'!$A$2:$A$192,'GDP data'!E$2:E$192)</f>
        <v>2700.97</v>
      </c>
      <c r="N141" s="158">
        <f>LOOKUP($A141,'GDP data'!$A$2:$A$192,'GDP data'!F$2:F$192)</f>
        <v>2784.83</v>
      </c>
      <c r="O141" s="158">
        <f>LOOKUP($A141,'GDP data'!$A$2:$A$192,'GDP data'!G$2:G$192)</f>
        <v>2880.25</v>
      </c>
      <c r="P141" s="158">
        <f>LOOKUP($A141,'GDP data'!$A$2:$A$192,'GDP data'!H$2:H$192)</f>
        <v>2980.09</v>
      </c>
      <c r="Q141" s="158">
        <f>LOOKUP($A141,'GDP data'!$A$2:$A$192,'GDP data'!I$2:I$192)</f>
        <v>3091.26</v>
      </c>
      <c r="R141" s="158">
        <f>LOOKUP($A141,'GDP data'!$A$2:$A$192,'GDP data'!J$2:J$192)</f>
        <v>3210.51</v>
      </c>
      <c r="S141" s="158">
        <f>LOOKUP($A141,'GDP data'!$A$2:$A$192,'GDP data'!K$2:K$192)</f>
        <v>3333.38</v>
      </c>
      <c r="T141" s="156"/>
      <c r="U141" s="156"/>
      <c r="V141" s="133">
        <f t="shared" si="48"/>
        <v>5.940776189653138E-2</v>
      </c>
      <c r="W141" s="133">
        <f t="shared" si="49"/>
        <v>5.8035217691101322E-2</v>
      </c>
      <c r="X141" s="133">
        <f t="shared" si="50"/>
        <v>5.6756987389987877E-2</v>
      </c>
      <c r="Y141" s="133">
        <f t="shared" si="51"/>
        <v>5.532685053692158E-2</v>
      </c>
      <c r="Z141" s="133">
        <f t="shared" si="52"/>
        <v>5.3857600395396825E-2</v>
      </c>
      <c r="AA141" s="133">
        <f t="shared" si="53"/>
        <v>5.2515824773968219E-2</v>
      </c>
      <c r="AB141" s="133">
        <f t="shared" si="54"/>
        <v>5.1271763342478606E-2</v>
      </c>
      <c r="AC141" s="133">
        <f t="shared" si="55"/>
        <v>5.0078805408855898E-2</v>
      </c>
      <c r="AD141" s="156"/>
      <c r="AE141" s="156"/>
      <c r="AF141" s="159">
        <f t="shared" si="57"/>
        <v>2.9231743707901154E-3</v>
      </c>
      <c r="AG141" s="159">
        <f t="shared" si="58"/>
        <v>1.9164320364448036E-3</v>
      </c>
      <c r="AH141" s="159">
        <f t="shared" si="59"/>
        <v>1.7621969005669727E-3</v>
      </c>
      <c r="AI141" s="159">
        <f t="shared" si="60"/>
        <v>1.895730826740973E-3</v>
      </c>
      <c r="AJ141" s="159">
        <f t="shared" si="61"/>
        <v>1.8669014229585738E-3</v>
      </c>
      <c r="AK141" s="159">
        <f t="shared" si="62"/>
        <v>1.9590630618947936E-3</v>
      </c>
      <c r="AL141" s="159">
        <f t="shared" si="63"/>
        <v>1.977885321386934E-3</v>
      </c>
      <c r="AM141" s="159">
        <f t="shared" si="64"/>
        <v>1.916574880809002E-3</v>
      </c>
    </row>
    <row r="142" spans="1:39" hidden="1" outlineLevel="2">
      <c r="A142" s="160" t="s">
        <v>396</v>
      </c>
      <c r="B142" s="133">
        <f>LOOKUP($A142,'GDP data'!$A$2:$A$192,'GDP data'!P$2:P$192)</f>
        <v>3.7608555228594076E-2</v>
      </c>
      <c r="C142" s="133">
        <f>LOOKUP($A142,'GDP data'!$A$2:$A$192,'GDP data'!Q$2:Q$192)</f>
        <v>5.2223836203914908E-2</v>
      </c>
      <c r="D142" s="133">
        <f>LOOKUP($A142,'GDP data'!$A$2:$A$192,'GDP data'!R$2:R$192)</f>
        <v>8.5656061004470319E-2</v>
      </c>
      <c r="E142" s="133">
        <f>LOOKUP($A142,'GDP data'!$A$2:$A$192,'GDP data'!S$2:S$192)</f>
        <v>7.3448380260369373E-2</v>
      </c>
      <c r="F142" s="133">
        <f>LOOKUP($A142,'GDP data'!$A$2:$A$192,'GDP data'!T$2:T$192)</f>
        <v>5.2741425992779645E-2</v>
      </c>
      <c r="G142" s="133">
        <f>LOOKUP($A142,'GDP data'!$A$2:$A$192,'GDP data'!U$2:U$192)</f>
        <v>5.2724642340459704E-2</v>
      </c>
      <c r="H142" s="133">
        <f>LOOKUP($A142,'GDP data'!$A$2:$A$192,'GDP data'!V$2:V$192)</f>
        <v>5.2119916526696342E-2</v>
      </c>
      <c r="I142" s="133">
        <f>LOOKUP($A142,'GDP data'!$A$2:$A$192,'GDP data'!W$2:W$192)</f>
        <v>4.8280199313047278E-2</v>
      </c>
      <c r="J142" s="851"/>
      <c r="K142" s="156"/>
      <c r="L142" s="158">
        <f>LOOKUP($A142,'GDP data'!$A$2:$A$192,'GDP data'!D$2:D$192)</f>
        <v>14.457000000000001</v>
      </c>
      <c r="M142" s="158">
        <f>LOOKUP($A142,'GDP data'!$A$2:$A$192,'GDP data'!E$2:E$192)</f>
        <v>15.212</v>
      </c>
      <c r="N142" s="158">
        <f>LOOKUP($A142,'GDP data'!$A$2:$A$192,'GDP data'!F$2:F$192)</f>
        <v>16.515000000000001</v>
      </c>
      <c r="O142" s="158">
        <f>LOOKUP($A142,'GDP data'!$A$2:$A$192,'GDP data'!G$2:G$192)</f>
        <v>17.728000000000002</v>
      </c>
      <c r="P142" s="158">
        <f>LOOKUP($A142,'GDP data'!$A$2:$A$192,'GDP data'!H$2:H$192)</f>
        <v>18.663</v>
      </c>
      <c r="Q142" s="158">
        <f>LOOKUP($A142,'GDP data'!$A$2:$A$192,'GDP data'!I$2:I$192)</f>
        <v>19.646999999999998</v>
      </c>
      <c r="R142" s="158">
        <f>LOOKUP($A142,'GDP data'!$A$2:$A$192,'GDP data'!J$2:J$192)</f>
        <v>20.670999999999999</v>
      </c>
      <c r="S142" s="158">
        <f>LOOKUP($A142,'GDP data'!$A$2:$A$192,'GDP data'!K$2:K$192)</f>
        <v>21.669</v>
      </c>
      <c r="T142" s="156"/>
      <c r="U142" s="156"/>
      <c r="V142" s="133">
        <f t="shared" si="48"/>
        <v>3.284816642271198E-4</v>
      </c>
      <c r="W142" s="133">
        <f t="shared" si="49"/>
        <v>3.2685728886919636E-4</v>
      </c>
      <c r="X142" s="133">
        <f t="shared" si="50"/>
        <v>3.3658846204100428E-4</v>
      </c>
      <c r="Y142" s="133">
        <f t="shared" si="51"/>
        <v>3.4053794160873046E-4</v>
      </c>
      <c r="Z142" s="133">
        <f t="shared" si="52"/>
        <v>3.3728659073359893E-4</v>
      </c>
      <c r="AA142" s="133">
        <f t="shared" si="53"/>
        <v>3.3377276881729566E-4</v>
      </c>
      <c r="AB142" s="133">
        <f t="shared" si="54"/>
        <v>3.3011534617626958E-4</v>
      </c>
      <c r="AC142" s="133">
        <f t="shared" si="55"/>
        <v>3.2554273272309141E-4</v>
      </c>
      <c r="AD142" s="156"/>
      <c r="AE142" s="156"/>
      <c r="AF142" s="159">
        <f t="shared" si="57"/>
        <v>1.2353720810666129E-5</v>
      </c>
      <c r="AG142" s="159">
        <f t="shared" si="58"/>
        <v>1.7069741515960612E-5</v>
      </c>
      <c r="AH142" s="159">
        <f t="shared" si="59"/>
        <v>2.8830841837985105E-5</v>
      </c>
      <c r="AI142" s="159">
        <f t="shared" si="60"/>
        <v>2.5011960228361496E-5</v>
      </c>
      <c r="AJ142" s="159">
        <f t="shared" si="61"/>
        <v>1.7788975763533063E-5</v>
      </c>
      <c r="AK142" s="159">
        <f t="shared" si="62"/>
        <v>1.7598049858876854E-5</v>
      </c>
      <c r="AL142" s="159">
        <f t="shared" si="63"/>
        <v>1.7205584286888636E-5</v>
      </c>
      <c r="AM142" s="159">
        <f t="shared" si="64"/>
        <v>1.571726802078493E-5</v>
      </c>
    </row>
    <row r="143" spans="1:39" hidden="1" outlineLevel="2">
      <c r="A143" s="160" t="s">
        <v>397</v>
      </c>
      <c r="B143" s="133">
        <f>LOOKUP($A143,'GDP data'!$A$2:$A$192,'GDP data'!P$2:P$192)</f>
        <v>6.5700328055912083E-2</v>
      </c>
      <c r="C143" s="133">
        <f>LOOKUP($A143,'GDP data'!$A$2:$A$192,'GDP data'!Q$2:Q$192)</f>
        <v>4.0402857477456422E-2</v>
      </c>
      <c r="D143" s="133">
        <f>LOOKUP($A143,'GDP data'!$A$2:$A$192,'GDP data'!R$2:R$192)</f>
        <v>4.735640316459766E-2</v>
      </c>
      <c r="E143" s="133">
        <f>LOOKUP($A143,'GDP data'!$A$2:$A$192,'GDP data'!S$2:S$192)</f>
        <v>5.7896918612684756E-2</v>
      </c>
      <c r="F143" s="133">
        <f>LOOKUP($A143,'GDP data'!$A$2:$A$192,'GDP data'!T$2:T$192)</f>
        <v>6.5119586671311014E-2</v>
      </c>
      <c r="G143" s="133">
        <f>LOOKUP($A143,'GDP data'!$A$2:$A$192,'GDP data'!U$2:U$192)</f>
        <v>6.6888310555790031E-2</v>
      </c>
      <c r="H143" s="133">
        <f>LOOKUP($A143,'GDP data'!$A$2:$A$192,'GDP data'!V$2:V$192)</f>
        <v>6.6653895274584984E-2</v>
      </c>
      <c r="I143" s="133">
        <f>LOOKUP($A143,'GDP data'!$A$2:$A$192,'GDP data'!W$2:W$192)</f>
        <v>6.6487865036698235E-2</v>
      </c>
      <c r="J143" s="851"/>
      <c r="K143" s="156"/>
      <c r="L143" s="158">
        <f>LOOKUP($A143,'GDP data'!$A$2:$A$192,'GDP data'!D$2:D$192)</f>
        <v>59.773000000000003</v>
      </c>
      <c r="M143" s="158">
        <f>LOOKUP($A143,'GDP data'!$A$2:$A$192,'GDP data'!E$2:E$192)</f>
        <v>62.188000000000002</v>
      </c>
      <c r="N143" s="158">
        <f>LOOKUP($A143,'GDP data'!$A$2:$A$192,'GDP data'!F$2:F$192)</f>
        <v>65.132999999999996</v>
      </c>
      <c r="O143" s="158">
        <f>LOOKUP($A143,'GDP data'!$A$2:$A$192,'GDP data'!G$2:G$192)</f>
        <v>68.903999999999996</v>
      </c>
      <c r="P143" s="158">
        <f>LOOKUP($A143,'GDP data'!$A$2:$A$192,'GDP data'!H$2:H$192)</f>
        <v>73.391000000000005</v>
      </c>
      <c r="Q143" s="158">
        <f>LOOKUP($A143,'GDP data'!$A$2:$A$192,'GDP data'!I$2:I$192)</f>
        <v>78.3</v>
      </c>
      <c r="R143" s="158">
        <f>LOOKUP($A143,'GDP data'!$A$2:$A$192,'GDP data'!J$2:J$192)</f>
        <v>83.519000000000005</v>
      </c>
      <c r="S143" s="158">
        <f>LOOKUP($A143,'GDP data'!$A$2:$A$192,'GDP data'!K$2:K$192)</f>
        <v>89.072000000000003</v>
      </c>
      <c r="T143" s="156"/>
      <c r="U143" s="156"/>
      <c r="V143" s="133">
        <f t="shared" si="48"/>
        <v>1.3581195625543079E-3</v>
      </c>
      <c r="W143" s="133">
        <f t="shared" si="49"/>
        <v>1.3362214751641852E-3</v>
      </c>
      <c r="X143" s="133">
        <f t="shared" si="50"/>
        <v>1.327460871820571E-3</v>
      </c>
      <c r="Y143" s="133">
        <f t="shared" si="51"/>
        <v>1.3235800049981926E-3</v>
      </c>
      <c r="Z143" s="133">
        <f t="shared" si="52"/>
        <v>1.3263569726479968E-3</v>
      </c>
      <c r="AA143" s="133">
        <f t="shared" si="53"/>
        <v>1.3301983915302211E-3</v>
      </c>
      <c r="AB143" s="133">
        <f t="shared" si="54"/>
        <v>1.3337963135453467E-3</v>
      </c>
      <c r="AC143" s="133">
        <f t="shared" si="55"/>
        <v>1.338167072274272E-3</v>
      </c>
      <c r="AD143" s="156"/>
      <c r="AE143" s="156"/>
      <c r="AF143" s="159">
        <f t="shared" si="57"/>
        <v>8.9228900798969847E-5</v>
      </c>
      <c r="AG143" s="159">
        <f t="shared" si="58"/>
        <v>5.3987165819375148E-5</v>
      </c>
      <c r="AH143" s="159">
        <f t="shared" si="59"/>
        <v>6.286377223116325E-5</v>
      </c>
      <c r="AI143" s="159">
        <f t="shared" si="60"/>
        <v>7.6631203826757236E-5</v>
      </c>
      <c r="AJ143" s="159">
        <f t="shared" si="61"/>
        <v>8.6371817837448917E-5</v>
      </c>
      <c r="AK143" s="159">
        <f t="shared" si="62"/>
        <v>8.8974723113485803E-5</v>
      </c>
      <c r="AL143" s="159">
        <f t="shared" si="63"/>
        <v>8.8902719800679059E-5</v>
      </c>
      <c r="AM143" s="159">
        <f t="shared" si="64"/>
        <v>8.8971871697925402E-5</v>
      </c>
    </row>
    <row r="144" spans="1:39" hidden="1" outlineLevel="2">
      <c r="A144" s="160" t="s">
        <v>398</v>
      </c>
      <c r="B144" s="133">
        <f>LOOKUP($A144,'GDP data'!$A$2:$A$192,'GDP data'!P$2:P$192)</f>
        <v>4.6085283095310459E-2</v>
      </c>
      <c r="C144" s="133">
        <f>LOOKUP($A144,'GDP data'!$A$2:$A$192,'GDP data'!Q$2:Q$192)</f>
        <v>2.523883294603646E-2</v>
      </c>
      <c r="D144" s="133">
        <f>LOOKUP($A144,'GDP data'!$A$2:$A$192,'GDP data'!R$2:R$192)</f>
        <v>1.9360322357237392E-2</v>
      </c>
      <c r="E144" s="133">
        <f>LOOKUP($A144,'GDP data'!$A$2:$A$192,'GDP data'!S$2:S$192)</f>
        <v>4.6045520521293293E-2</v>
      </c>
      <c r="F144" s="133">
        <f>LOOKUP($A144,'GDP data'!$A$2:$A$192,'GDP data'!T$2:T$192)</f>
        <v>2.8046764289088477E-2</v>
      </c>
      <c r="G144" s="133">
        <f>LOOKUP($A144,'GDP data'!$A$2:$A$192,'GDP data'!U$2:U$192)</f>
        <v>2.440985583826305E-2</v>
      </c>
      <c r="H144" s="133">
        <f>LOOKUP($A144,'GDP data'!$A$2:$A$192,'GDP data'!V$2:V$192)</f>
        <v>1.8305673917919041E-2</v>
      </c>
      <c r="I144" s="133">
        <f>LOOKUP($A144,'GDP data'!$A$2:$A$192,'GDP data'!W$2:W$192)</f>
        <v>1.3406744666207615E-2</v>
      </c>
      <c r="J144" s="851"/>
      <c r="K144" s="156"/>
      <c r="L144" s="158">
        <f>LOOKUP($A144,'GDP data'!$A$2:$A$192,'GDP data'!D$2:D$192)</f>
        <v>30.984000000000002</v>
      </c>
      <c r="M144" s="158">
        <f>LOOKUP($A144,'GDP data'!$A$2:$A$192,'GDP data'!E$2:E$192)</f>
        <v>31.765999999999998</v>
      </c>
      <c r="N144" s="158">
        <f>LOOKUP($A144,'GDP data'!$A$2:$A$192,'GDP data'!F$2:F$192)</f>
        <v>32.381</v>
      </c>
      <c r="O144" s="158">
        <f>LOOKUP($A144,'GDP data'!$A$2:$A$192,'GDP data'!G$2:G$192)</f>
        <v>33.872</v>
      </c>
      <c r="P144" s="158">
        <f>LOOKUP($A144,'GDP data'!$A$2:$A$192,'GDP data'!H$2:H$192)</f>
        <v>34.822000000000003</v>
      </c>
      <c r="Q144" s="158">
        <f>LOOKUP($A144,'GDP data'!$A$2:$A$192,'GDP data'!I$2:I$192)</f>
        <v>35.671999999999997</v>
      </c>
      <c r="R144" s="158">
        <f>LOOKUP($A144,'GDP data'!$A$2:$A$192,'GDP data'!J$2:J$192)</f>
        <v>36.325000000000003</v>
      </c>
      <c r="S144" s="158">
        <f>LOOKUP($A144,'GDP data'!$A$2:$A$192,'GDP data'!K$2:K$192)</f>
        <v>36.811999999999998</v>
      </c>
      <c r="T144" s="156"/>
      <c r="U144" s="156"/>
      <c r="V144" s="133">
        <f t="shared" si="48"/>
        <v>7.0399639513129132E-4</v>
      </c>
      <c r="W144" s="133">
        <f t="shared" si="49"/>
        <v>6.8254987103726604E-4</v>
      </c>
      <c r="X144" s="133">
        <f t="shared" si="50"/>
        <v>6.5994980256432083E-4</v>
      </c>
      <c r="Y144" s="133">
        <f t="shared" si="51"/>
        <v>6.5064875666577819E-4</v>
      </c>
      <c r="Z144" s="133">
        <f t="shared" si="52"/>
        <v>6.2931970543457017E-4</v>
      </c>
      <c r="AA144" s="133">
        <f t="shared" si="53"/>
        <v>6.0601324422306568E-4</v>
      </c>
      <c r="AB144" s="133">
        <f t="shared" si="54"/>
        <v>5.8010932948831661E-4</v>
      </c>
      <c r="AC144" s="133">
        <f t="shared" si="55"/>
        <v>5.5304255281750153E-4</v>
      </c>
      <c r="AD144" s="156"/>
      <c r="AE144" s="156"/>
      <c r="AF144" s="159">
        <f t="shared" si="57"/>
        <v>3.2443873167703602E-5</v>
      </c>
      <c r="AG144" s="159">
        <f t="shared" si="58"/>
        <v>1.7226762172448287E-5</v>
      </c>
      <c r="AH144" s="159">
        <f t="shared" si="59"/>
        <v>1.2776840917240424E-5</v>
      </c>
      <c r="AI144" s="159">
        <f t="shared" si="60"/>
        <v>2.9959460677208056E-5</v>
      </c>
      <c r="AJ144" s="159">
        <f t="shared" si="61"/>
        <v>1.7650381440801981E-5</v>
      </c>
      <c r="AK144" s="159">
        <f t="shared" si="62"/>
        <v>1.4792695927563132E-5</v>
      </c>
      <c r="AL144" s="159">
        <f t="shared" si="63"/>
        <v>1.0619292222355781E-5</v>
      </c>
      <c r="AM144" s="159">
        <f t="shared" si="64"/>
        <v>7.4145002951718814E-6</v>
      </c>
    </row>
    <row r="145" spans="1:39" s="156" customFormat="1" hidden="1" outlineLevel="2">
      <c r="A145" s="160"/>
      <c r="B145" s="133"/>
      <c r="C145" s="133"/>
      <c r="D145" s="133"/>
      <c r="E145" s="133"/>
      <c r="F145" s="133"/>
      <c r="G145" s="133"/>
      <c r="H145" s="133"/>
      <c r="I145" s="133"/>
      <c r="L145" s="158"/>
      <c r="M145" s="158"/>
      <c r="N145" s="158"/>
      <c r="O145" s="158"/>
      <c r="P145" s="158"/>
      <c r="Q145" s="158"/>
      <c r="R145" s="158"/>
      <c r="S145" s="158"/>
      <c r="V145" s="133"/>
      <c r="W145" s="133"/>
      <c r="X145" s="133"/>
      <c r="Y145" s="133"/>
      <c r="Z145" s="133"/>
      <c r="AA145" s="133"/>
      <c r="AB145" s="133"/>
      <c r="AC145" s="133"/>
      <c r="AE145" s="1036" t="s">
        <v>403</v>
      </c>
      <c r="AF145" s="1037">
        <f>SUM(AF44:AF144)</f>
        <v>6.3476731370507994E-2</v>
      </c>
      <c r="AG145" s="1037">
        <f t="shared" ref="AG145:AM145" si="66">SUM(AG44:AG144)</f>
        <v>5.8702354275732213E-2</v>
      </c>
      <c r="AH145" s="1037">
        <f t="shared" si="66"/>
        <v>5.5010282459672828E-2</v>
      </c>
      <c r="AI145" s="1037">
        <f t="shared" si="66"/>
        <v>6.1845882924423029E-2</v>
      </c>
      <c r="AJ145" s="1037">
        <f t="shared" si="66"/>
        <v>6.3468200928577814E-2</v>
      </c>
      <c r="AK145" s="1037">
        <f t="shared" si="66"/>
        <v>6.4262062167820502E-2</v>
      </c>
      <c r="AL145" s="1037">
        <f t="shared" si="66"/>
        <v>6.4192645271285556E-2</v>
      </c>
      <c r="AM145" s="1037">
        <f t="shared" si="66"/>
        <v>6.3386309509425462E-2</v>
      </c>
    </row>
    <row r="146" spans="1:39" s="156" customFormat="1" hidden="1" outlineLevel="2">
      <c r="A146" s="160"/>
      <c r="B146" s="133"/>
      <c r="C146" s="133"/>
      <c r="D146" s="133"/>
      <c r="E146" s="133"/>
      <c r="F146" s="133"/>
      <c r="G146" s="133"/>
      <c r="H146" s="133"/>
      <c r="I146" s="133"/>
      <c r="L146" s="158"/>
      <c r="M146" s="158"/>
      <c r="N146" s="158"/>
      <c r="O146" s="158"/>
      <c r="P146" s="158"/>
      <c r="Q146" s="158"/>
      <c r="R146" s="158"/>
      <c r="S146" s="158"/>
      <c r="V146" s="133"/>
      <c r="W146" s="133"/>
      <c r="X146" s="133"/>
      <c r="Y146" s="133"/>
      <c r="Z146" s="133"/>
      <c r="AA146" s="133"/>
      <c r="AB146" s="133"/>
      <c r="AC146" s="133"/>
      <c r="AE146" s="1036" t="s">
        <v>404</v>
      </c>
      <c r="AF146" s="1037">
        <f t="shared" ref="AF146:AM146" si="67">AF145^1/4</f>
        <v>1.5869182842626998E-2</v>
      </c>
      <c r="AG146" s="1037">
        <f t="shared" si="67"/>
        <v>1.4675588568933053E-2</v>
      </c>
      <c r="AH146" s="1037">
        <f t="shared" si="67"/>
        <v>1.3752570614918207E-2</v>
      </c>
      <c r="AI146" s="1037">
        <f t="shared" si="67"/>
        <v>1.5461470731105757E-2</v>
      </c>
      <c r="AJ146" s="1037">
        <f t="shared" si="67"/>
        <v>1.5867050232144454E-2</v>
      </c>
      <c r="AK146" s="1037">
        <f t="shared" si="67"/>
        <v>1.6065515541955126E-2</v>
      </c>
      <c r="AL146" s="1037">
        <f t="shared" si="67"/>
        <v>1.6048161317821389E-2</v>
      </c>
      <c r="AM146" s="1037">
        <f t="shared" si="67"/>
        <v>1.5846577377356365E-2</v>
      </c>
    </row>
    <row r="147" spans="1:39" s="152" customFormat="1" hidden="1" outlineLevel="2">
      <c r="A147" s="951"/>
      <c r="B147" s="949"/>
      <c r="C147" s="949"/>
      <c r="D147" s="949"/>
      <c r="E147" s="949"/>
      <c r="F147" s="949"/>
      <c r="G147" s="949"/>
      <c r="H147" s="949"/>
      <c r="I147" s="949"/>
      <c r="L147" s="952"/>
      <c r="M147" s="952"/>
      <c r="N147" s="952"/>
      <c r="O147" s="952"/>
      <c r="P147" s="952"/>
      <c r="Q147" s="952"/>
      <c r="R147" s="952"/>
      <c r="S147" s="952"/>
      <c r="V147" s="949"/>
      <c r="W147" s="949"/>
      <c r="X147" s="949"/>
      <c r="Y147" s="949"/>
      <c r="Z147" s="949"/>
      <c r="AA147" s="949"/>
      <c r="AB147" s="949"/>
      <c r="AC147" s="949"/>
      <c r="AF147" s="950"/>
      <c r="AG147" s="950"/>
      <c r="AH147" s="950"/>
      <c r="AI147" s="950"/>
      <c r="AJ147" s="950"/>
      <c r="AK147" s="950"/>
      <c r="AL147" s="950"/>
      <c r="AM147" s="950"/>
    </row>
    <row r="148" spans="1:39" collapsed="1">
      <c r="A148" s="2" t="s">
        <v>174</v>
      </c>
      <c r="B148" s="133"/>
      <c r="C148" s="133"/>
      <c r="D148" s="133"/>
      <c r="E148" s="133"/>
      <c r="F148" s="133"/>
      <c r="G148" s="133"/>
      <c r="H148" s="133"/>
      <c r="I148" s="133"/>
      <c r="J148" s="156"/>
      <c r="K148" s="156"/>
      <c r="L148" s="158"/>
      <c r="M148" s="158"/>
      <c r="N148" s="158"/>
      <c r="O148" s="158"/>
      <c r="P148" s="158"/>
      <c r="Q148" s="158"/>
      <c r="R148" s="158"/>
      <c r="S148" s="158"/>
      <c r="T148" s="156"/>
      <c r="U148" s="156"/>
      <c r="V148" s="133"/>
      <c r="W148" s="133"/>
      <c r="X148" s="133"/>
      <c r="Y148" s="133"/>
      <c r="Z148" s="133"/>
      <c r="AA148" s="133"/>
      <c r="AB148" s="133"/>
      <c r="AC148" s="133"/>
      <c r="AD148" s="156"/>
      <c r="AE148" s="156"/>
      <c r="AF148" s="159"/>
      <c r="AG148" s="159"/>
      <c r="AH148" s="159"/>
      <c r="AI148" s="159"/>
      <c r="AJ148" s="159"/>
      <c r="AK148" s="159"/>
      <c r="AL148" s="159"/>
      <c r="AM148" s="159"/>
    </row>
    <row r="149" spans="1:39" hidden="1" outlineLevel="1">
      <c r="A149" s="160" t="s">
        <v>213</v>
      </c>
      <c r="B149" s="133">
        <f>LOOKUP($A149,'GDP data'!$A$2:$A$192,'GDP data'!P$2:P$192)</f>
        <v>6.9779643231899335E-2</v>
      </c>
      <c r="C149" s="133">
        <f>LOOKUP($A149,'GDP data'!$A$2:$A$192,'GDP data'!Q$2:Q$192)</f>
        <v>5.1986267778322715E-2</v>
      </c>
      <c r="D149" s="133">
        <f>LOOKUP($A149,'GDP data'!$A$2:$A$192,'GDP data'!R$2:R$192)</f>
        <v>6.6666666666666652E-2</v>
      </c>
      <c r="E149" s="133">
        <f>LOOKUP($A149,'GDP data'!$A$2:$A$192,'GDP data'!S$2:S$192)</f>
        <v>4.4580419580419806E-2</v>
      </c>
      <c r="F149" s="133">
        <f>LOOKUP($A149,'GDP data'!$A$2:$A$192,'GDP data'!T$2:T$192)</f>
        <v>5.0209205020920411E-2</v>
      </c>
      <c r="G149" s="133">
        <f>LOOKUP($A149,'GDP data'!$A$2:$A$192,'GDP data'!U$2:U$192)</f>
        <v>4.661354581673316E-2</v>
      </c>
      <c r="H149" s="133">
        <f>LOOKUP($A149,'GDP data'!$A$2:$A$192,'GDP data'!V$2:V$192)</f>
        <v>4.1492196421774041E-2</v>
      </c>
      <c r="I149" s="133">
        <f>LOOKUP($A149,'GDP data'!$A$2:$A$192,'GDP data'!W$2:W$192)</f>
        <v>4.1301169590643338E-2</v>
      </c>
      <c r="J149" s="851"/>
      <c r="K149" s="156"/>
      <c r="L149" s="158">
        <f>LOOKUP($A149,'GDP data'!$A$2:$A$192,'GDP data'!D$2:D$192)</f>
        <v>2.0390000000000001</v>
      </c>
      <c r="M149" s="158">
        <f>LOOKUP($A149,'GDP data'!$A$2:$A$192,'GDP data'!E$2:E$192)</f>
        <v>2.145</v>
      </c>
      <c r="N149" s="158">
        <f>LOOKUP($A149,'GDP data'!$A$2:$A$192,'GDP data'!F$2:F$192)</f>
        <v>2.2879999999999998</v>
      </c>
      <c r="O149" s="158">
        <f>LOOKUP($A149,'GDP data'!$A$2:$A$192,'GDP data'!G$2:G$192)</f>
        <v>2.39</v>
      </c>
      <c r="P149" s="158">
        <f>LOOKUP($A149,'GDP data'!$A$2:$A$192,'GDP data'!H$2:H$192)</f>
        <v>2.5099999999999998</v>
      </c>
      <c r="Q149" s="158">
        <f>LOOKUP($A149,'GDP data'!$A$2:$A$192,'GDP data'!I$2:I$192)</f>
        <v>2.6269999999999998</v>
      </c>
      <c r="R149" s="158">
        <f>LOOKUP($A149,'GDP data'!$A$2:$A$192,'GDP data'!J$2:J$192)</f>
        <v>2.7360000000000002</v>
      </c>
      <c r="S149" s="158">
        <f>LOOKUP($A149,'GDP data'!$A$2:$A$192,'GDP data'!K$2:K$192)</f>
        <v>2.8490000000000002</v>
      </c>
      <c r="T149" s="156"/>
      <c r="U149" s="156"/>
      <c r="V149" s="133">
        <f>L149/SUM(L$149:L$164)</f>
        <v>9.8649321932264941E-5</v>
      </c>
      <c r="W149" s="133">
        <f t="shared" ref="W149:AC149" si="68">M149/SUM(M$149:M$164)</f>
        <v>9.9918648984342071E-5</v>
      </c>
      <c r="X149" s="133">
        <f t="shared" si="68"/>
        <v>1.035734843912767E-4</v>
      </c>
      <c r="Y149" s="133">
        <f t="shared" si="68"/>
        <v>1.0389123535285724E-4</v>
      </c>
      <c r="Z149" s="133">
        <f t="shared" si="68"/>
        <v>1.0449697094089113E-4</v>
      </c>
      <c r="AA149" s="133">
        <f t="shared" si="68"/>
        <v>1.0495427737022375E-4</v>
      </c>
      <c r="AB149" s="133">
        <f t="shared" si="68"/>
        <v>1.0505688795924806E-4</v>
      </c>
      <c r="AC149" s="133">
        <f t="shared" si="68"/>
        <v>1.0521465858452642E-4</v>
      </c>
      <c r="AD149" s="156"/>
      <c r="AE149" s="156"/>
      <c r="AF149" s="159">
        <f t="shared" ref="AF149:AF177" si="69">V149*B149</f>
        <v>6.8837144895022298E-6</v>
      </c>
      <c r="AG149" s="159">
        <f t="shared" ref="AG149:AG177" si="70">W149*C149</f>
        <v>5.1943976421482396E-6</v>
      </c>
      <c r="AH149" s="159">
        <f t="shared" ref="AH149:AH177" si="71">X149*D149</f>
        <v>6.9048989594184452E-6</v>
      </c>
      <c r="AI149" s="159">
        <f t="shared" ref="AI149:AI177" si="72">Y149*E149</f>
        <v>4.6315148627585192E-6</v>
      </c>
      <c r="AJ149" s="159">
        <f t="shared" ref="AJ149:AJ177" si="73">Z149*F149</f>
        <v>5.2467098380363652E-6</v>
      </c>
      <c r="AK149" s="159">
        <f t="shared" ref="AK149:AK177" si="74">AA149*G149</f>
        <v>4.8922910168590449E-6</v>
      </c>
      <c r="AL149" s="159">
        <f t="shared" ref="AL149:AL177" si="75">AB149*H149</f>
        <v>4.3590410306654283E-6</v>
      </c>
      <c r="AM149" s="159">
        <f t="shared" ref="AM149:AM177" si="76">AC149*I149</f>
        <v>4.3454884576211632E-6</v>
      </c>
    </row>
    <row r="150" spans="1:39" hidden="1" outlineLevel="1">
      <c r="A150" s="160" t="s">
        <v>407</v>
      </c>
      <c r="B150" s="133">
        <f>LOOKUP($A150,'GDP data'!$A$2:$A$192,'GDP data'!P$2:P$192)</f>
        <v>5.465709590936596E-2</v>
      </c>
      <c r="C150" s="133">
        <f>LOOKUP($A150,'GDP data'!$A$2:$A$192,'GDP data'!Q$2:Q$192)</f>
        <v>4.3747437474374706E-2</v>
      </c>
      <c r="D150" s="133">
        <f>LOOKUP($A150,'GDP data'!$A$2:$A$192,'GDP data'!R$2:R$192)</f>
        <v>1.4652158541854865E-2</v>
      </c>
      <c r="E150" s="133">
        <f>LOOKUP($A150,'GDP data'!$A$2:$A$192,'GDP data'!S$2:S$192)</f>
        <v>5.3503677893921964E-2</v>
      </c>
      <c r="F150" s="133">
        <f>LOOKUP($A150,'GDP data'!$A$2:$A$192,'GDP data'!T$2:T$192)</f>
        <v>4.8985741584595122E-2</v>
      </c>
      <c r="G150" s="133">
        <f>LOOKUP($A150,'GDP data'!$A$2:$A$192,'GDP data'!U$2:U$192)</f>
        <v>5.1988088982308556E-2</v>
      </c>
      <c r="H150" s="133">
        <f>LOOKUP($A150,'GDP data'!$A$2:$A$192,'GDP data'!V$2:V$192)</f>
        <v>5.268240700656035E-2</v>
      </c>
      <c r="I150" s="133">
        <f>LOOKUP($A150,'GDP data'!$A$2:$A$192,'GDP data'!W$2:W$192)</f>
        <v>5.5487014014109048E-2</v>
      </c>
      <c r="J150" s="851"/>
      <c r="K150" s="156"/>
      <c r="L150" s="158">
        <f>LOOKUP($A150,'GDP data'!$A$2:$A$192,'GDP data'!D$2:D$192)</f>
        <v>24.39</v>
      </c>
      <c r="M150" s="158">
        <f>LOOKUP($A150,'GDP data'!$A$2:$A$192,'GDP data'!E$2:E$192)</f>
        <v>25.457000000000001</v>
      </c>
      <c r="N150" s="158">
        <f>LOOKUP($A150,'GDP data'!$A$2:$A$192,'GDP data'!F$2:F$192)</f>
        <v>25.83</v>
      </c>
      <c r="O150" s="158">
        <f>LOOKUP($A150,'GDP data'!$A$2:$A$192,'GDP data'!G$2:G$192)</f>
        <v>27.212</v>
      </c>
      <c r="P150" s="158">
        <f>LOOKUP($A150,'GDP data'!$A$2:$A$192,'GDP data'!H$2:H$192)</f>
        <v>28.545000000000002</v>
      </c>
      <c r="Q150" s="158">
        <f>LOOKUP($A150,'GDP data'!$A$2:$A$192,'GDP data'!I$2:I$192)</f>
        <v>30.029</v>
      </c>
      <c r="R150" s="158">
        <f>LOOKUP($A150,'GDP data'!$A$2:$A$192,'GDP data'!J$2:J$192)</f>
        <v>31.611000000000001</v>
      </c>
      <c r="S150" s="158">
        <f>LOOKUP($A150,'GDP data'!$A$2:$A$192,'GDP data'!K$2:K$192)</f>
        <v>33.365000000000002</v>
      </c>
      <c r="T150" s="156"/>
      <c r="U150" s="156"/>
      <c r="V150" s="133">
        <f t="shared" ref="V150:V164" si="77">L150/SUM(L$149:L$164)</f>
        <v>1.1800181274781471E-3</v>
      </c>
      <c r="W150" s="133">
        <f t="shared" ref="W150:W164" si="78">M150/SUM(M$149:M$164)</f>
        <v>1.1858410476430752E-3</v>
      </c>
      <c r="X150" s="133">
        <f t="shared" ref="X150:X164" si="79">N150/SUM(N$149:N$164)</f>
        <v>1.1692758312179534E-3</v>
      </c>
      <c r="Y150" s="133">
        <f t="shared" ref="Y150:Y164" si="80">O150/SUM(O$149:O$164)</f>
        <v>1.1828821323941216E-3</v>
      </c>
      <c r="Z150" s="133">
        <f t="shared" ref="Z150:Z164" si="81">P150/SUM(P$149:P$164)</f>
        <v>1.1883928428317681E-3</v>
      </c>
      <c r="AA150" s="133">
        <f t="shared" ref="AA150:AA164" si="82">Q150/SUM(Q$149:Q$164)</f>
        <v>1.1997228759613435E-3</v>
      </c>
      <c r="AB150" s="133">
        <f t="shared" ref="AB150:AB164" si="83">R150/SUM(R$149:R$164)</f>
        <v>1.2137987153800402E-3</v>
      </c>
      <c r="AC150" s="133">
        <f t="shared" ref="AC150:AC164" si="84">S150/SUM(S$149:S$164)</f>
        <v>1.2321821985513245E-3</v>
      </c>
      <c r="AD150" s="156"/>
      <c r="AE150" s="156"/>
      <c r="AF150" s="159">
        <f t="shared" si="69"/>
        <v>6.4496363968363519E-5</v>
      </c>
      <c r="AG150" s="159">
        <f t="shared" si="70"/>
        <v>5.1877507086312432E-5</v>
      </c>
      <c r="AH150" s="159">
        <f t="shared" si="71"/>
        <v>1.7132414858164584E-5</v>
      </c>
      <c r="AI150" s="159">
        <f t="shared" si="72"/>
        <v>6.3288544598090644E-5</v>
      </c>
      <c r="AJ150" s="159">
        <f t="shared" si="73"/>
        <v>5.8214304699939354E-5</v>
      </c>
      <c r="AK150" s="159">
        <f t="shared" si="74"/>
        <v>6.2371299629589453E-5</v>
      </c>
      <c r="AL150" s="159">
        <f t="shared" si="75"/>
        <v>6.394583794769139E-5</v>
      </c>
      <c r="AM150" s="159">
        <f t="shared" si="76"/>
        <v>6.8370110918953043E-5</v>
      </c>
    </row>
    <row r="151" spans="1:39" hidden="1" outlineLevel="1">
      <c r="A151" s="160" t="s">
        <v>219</v>
      </c>
      <c r="B151" s="133">
        <f>LOOKUP($A151,'GDP data'!$A$2:$A$192,'GDP data'!P$2:P$192)</f>
        <v>2.7261474096321736E-2</v>
      </c>
      <c r="C151" s="133">
        <f>LOOKUP($A151,'GDP data'!$A$2:$A$192,'GDP data'!Q$2:Q$192)</f>
        <v>4.0568311319520989E-2</v>
      </c>
      <c r="D151" s="133">
        <f>LOOKUP($A151,'GDP data'!$A$2:$A$192,'GDP data'!R$2:R$192)</f>
        <v>4.5548802930061028E-2</v>
      </c>
      <c r="E151" s="133">
        <f>LOOKUP($A151,'GDP data'!$A$2:$A$192,'GDP data'!S$2:S$192)</f>
        <v>5.5146774733624726E-2</v>
      </c>
      <c r="F151" s="133">
        <f>LOOKUP($A151,'GDP data'!$A$2:$A$192,'GDP data'!T$2:T$192)</f>
        <v>5.4648721662570843E-2</v>
      </c>
      <c r="G151" s="133">
        <f>LOOKUP($A151,'GDP data'!$A$2:$A$192,'GDP data'!U$2:U$192)</f>
        <v>5.5983334619242431E-2</v>
      </c>
      <c r="H151" s="133">
        <f>LOOKUP($A151,'GDP data'!$A$2:$A$192,'GDP data'!V$2:V$192)</f>
        <v>5.2788859176128522E-2</v>
      </c>
      <c r="I151" s="133">
        <f>LOOKUP($A151,'GDP data'!$A$2:$A$192,'GDP data'!W$2:W$192)</f>
        <v>5.173813770464486E-2</v>
      </c>
      <c r="J151" s="851"/>
      <c r="K151" s="156"/>
      <c r="L151" s="158">
        <f>LOOKUP($A151,'GDP data'!$A$2:$A$192,'GDP data'!D$2:D$192)</f>
        <v>1070.54</v>
      </c>
      <c r="M151" s="158">
        <f>LOOKUP($A151,'GDP data'!$A$2:$A$192,'GDP data'!E$2:E$192)</f>
        <v>1113.97</v>
      </c>
      <c r="N151" s="158">
        <f>LOOKUP($A151,'GDP data'!$A$2:$A$192,'GDP data'!F$2:F$192)</f>
        <v>1164.71</v>
      </c>
      <c r="O151" s="158">
        <f>LOOKUP($A151,'GDP data'!$A$2:$A$192,'GDP data'!G$2:G$192)</f>
        <v>1228.94</v>
      </c>
      <c r="P151" s="158">
        <f>LOOKUP($A151,'GDP data'!$A$2:$A$192,'GDP data'!H$2:H$192)</f>
        <v>1296.0999999999999</v>
      </c>
      <c r="Q151" s="158">
        <f>LOOKUP($A151,'GDP data'!$A$2:$A$192,'GDP data'!I$2:I$192)</f>
        <v>1368.66</v>
      </c>
      <c r="R151" s="158">
        <f>LOOKUP($A151,'GDP data'!$A$2:$A$192,'GDP data'!J$2:J$192)</f>
        <v>1440.91</v>
      </c>
      <c r="S151" s="158">
        <f>LOOKUP($A151,'GDP data'!$A$2:$A$192,'GDP data'!K$2:K$192)</f>
        <v>1515.46</v>
      </c>
      <c r="T151" s="156"/>
      <c r="U151" s="156"/>
      <c r="V151" s="133">
        <f t="shared" si="77"/>
        <v>5.1794038794196612E-2</v>
      </c>
      <c r="W151" s="133">
        <f t="shared" si="78"/>
        <v>5.1891085039201652E-2</v>
      </c>
      <c r="X151" s="133">
        <f t="shared" si="79"/>
        <v>5.2724245194652054E-2</v>
      </c>
      <c r="Y151" s="133">
        <f t="shared" si="80"/>
        <v>5.3420960156711453E-2</v>
      </c>
      <c r="Z151" s="133">
        <f t="shared" si="81"/>
        <v>5.3959571329278491E-2</v>
      </c>
      <c r="AA151" s="133">
        <f t="shared" si="82"/>
        <v>5.4680898844891683E-2</v>
      </c>
      <c r="AB151" s="133">
        <f t="shared" si="83"/>
        <v>5.5328041092602386E-2</v>
      </c>
      <c r="AC151" s="133">
        <f t="shared" si="84"/>
        <v>5.5966516847492591E-2</v>
      </c>
      <c r="AD151" s="156"/>
      <c r="AE151" s="156"/>
      <c r="AF151" s="159">
        <f t="shared" si="69"/>
        <v>1.4119818469318741E-3</v>
      </c>
      <c r="AG151" s="159">
        <f t="shared" si="70"/>
        <v>2.1051336925780708E-3</v>
      </c>
      <c r="AH151" s="159">
        <f t="shared" si="71"/>
        <v>2.4015262540074233E-3</v>
      </c>
      <c r="AI151" s="159">
        <f t="shared" si="72"/>
        <v>2.9459936558161085E-3</v>
      </c>
      <c r="AJ151" s="159">
        <f t="shared" si="73"/>
        <v>2.9488215946053779E-3</v>
      </c>
      <c r="AK151" s="159">
        <f t="shared" si="74"/>
        <v>3.0612190573145182E-3</v>
      </c>
      <c r="AL151" s="159">
        <f t="shared" si="75"/>
        <v>2.9207041697284393E-3</v>
      </c>
      <c r="AM151" s="159">
        <f t="shared" si="76"/>
        <v>2.8956033555048982E-3</v>
      </c>
    </row>
    <row r="152" spans="1:39" hidden="1" outlineLevel="1">
      <c r="A152" s="160" t="s">
        <v>222</v>
      </c>
      <c r="B152" s="133">
        <f>LOOKUP($A152,'GDP data'!$A$2:$A$192,'GDP data'!P$2:P$192)</f>
        <v>1.8737452598706295E-2</v>
      </c>
      <c r="C152" s="133">
        <f>LOOKUP($A152,'GDP data'!$A$2:$A$192,'GDP data'!Q$2:Q$192)</f>
        <v>1.9925552879351827E-2</v>
      </c>
      <c r="D152" s="133">
        <f>LOOKUP($A152,'GDP data'!$A$2:$A$192,'GDP data'!R$2:R$192)</f>
        <v>2.8982395878059286E-2</v>
      </c>
      <c r="E152" s="133">
        <f>LOOKUP($A152,'GDP data'!$A$2:$A$192,'GDP data'!S$2:S$192)</f>
        <v>2.6288337158355768E-2</v>
      </c>
      <c r="F152" s="133">
        <f>LOOKUP($A152,'GDP data'!$A$2:$A$192,'GDP data'!T$2:T$192)</f>
        <v>2.4801788981500428E-2</v>
      </c>
      <c r="G152" s="133">
        <f>LOOKUP($A152,'GDP data'!$A$2:$A$192,'GDP data'!U$2:U$192)</f>
        <v>2.9557627454870117E-2</v>
      </c>
      <c r="H152" s="133">
        <f>LOOKUP($A152,'GDP data'!$A$2:$A$192,'GDP data'!V$2:V$192)</f>
        <v>3.4104046242774411E-2</v>
      </c>
      <c r="I152" s="133">
        <f>LOOKUP($A152,'GDP data'!$A$2:$A$192,'GDP data'!W$2:W$192)</f>
        <v>3.6519470840320478E-2</v>
      </c>
      <c r="J152" s="851"/>
      <c r="K152" s="156"/>
      <c r="L152" s="158">
        <f>LOOKUP($A152,'GDP data'!$A$2:$A$192,'GDP data'!D$2:D$192)</f>
        <v>4.5670000000000002</v>
      </c>
      <c r="M152" s="158">
        <f>LOOKUP($A152,'GDP data'!$A$2:$A$192,'GDP data'!E$2:E$192)</f>
        <v>4.6580000000000004</v>
      </c>
      <c r="N152" s="158">
        <f>LOOKUP($A152,'GDP data'!$A$2:$A$192,'GDP data'!F$2:F$192)</f>
        <v>4.7930000000000001</v>
      </c>
      <c r="O152" s="158">
        <f>LOOKUP($A152,'GDP data'!$A$2:$A$192,'GDP data'!G$2:G$192)</f>
        <v>4.9189999999999996</v>
      </c>
      <c r="P152" s="158">
        <f>LOOKUP($A152,'GDP data'!$A$2:$A$192,'GDP data'!H$2:H$192)</f>
        <v>5.0410000000000004</v>
      </c>
      <c r="Q152" s="158">
        <f>LOOKUP($A152,'GDP data'!$A$2:$A$192,'GDP data'!I$2:I$192)</f>
        <v>5.19</v>
      </c>
      <c r="R152" s="158">
        <f>LOOKUP($A152,'GDP data'!$A$2:$A$192,'GDP data'!J$2:J$192)</f>
        <v>5.367</v>
      </c>
      <c r="S152" s="158">
        <f>LOOKUP($A152,'GDP data'!$A$2:$A$192,'GDP data'!K$2:K$192)</f>
        <v>5.5629999999999997</v>
      </c>
      <c r="T152" s="156"/>
      <c r="U152" s="156"/>
      <c r="V152" s="133">
        <f t="shared" si="77"/>
        <v>2.2095706388653946E-4</v>
      </c>
      <c r="W152" s="133">
        <f t="shared" si="78"/>
        <v>2.1697951840049669E-4</v>
      </c>
      <c r="X152" s="133">
        <f t="shared" si="79"/>
        <v>2.1697015327246038E-4</v>
      </c>
      <c r="Y152" s="133">
        <f t="shared" si="80"/>
        <v>2.138246806279099E-4</v>
      </c>
      <c r="Z152" s="133">
        <f t="shared" si="81"/>
        <v>2.0986821932790132E-4</v>
      </c>
      <c r="AA152" s="133">
        <f t="shared" si="82"/>
        <v>2.0735161764425631E-4</v>
      </c>
      <c r="AB152" s="133">
        <f t="shared" si="83"/>
        <v>2.0608198745514778E-4</v>
      </c>
      <c r="AC152" s="133">
        <f t="shared" si="84"/>
        <v>2.0544371558642345E-4</v>
      </c>
      <c r="AD152" s="156"/>
      <c r="AE152" s="156"/>
      <c r="AF152" s="159">
        <f t="shared" si="69"/>
        <v>4.1401725109233517E-6</v>
      </c>
      <c r="AG152" s="159">
        <f t="shared" si="70"/>
        <v>4.3234368676253898E-6</v>
      </c>
      <c r="AH152" s="159">
        <f t="shared" si="71"/>
        <v>6.2883148758656468E-6</v>
      </c>
      <c r="AI152" s="159">
        <f t="shared" si="72"/>
        <v>5.6210952971242382E-6</v>
      </c>
      <c r="AJ152" s="159">
        <f t="shared" si="73"/>
        <v>5.2051072896938581E-6</v>
      </c>
      <c r="AK152" s="159">
        <f t="shared" si="74"/>
        <v>6.1288218664936017E-6</v>
      </c>
      <c r="AL152" s="159">
        <f t="shared" si="75"/>
        <v>7.028229629973216E-6</v>
      </c>
      <c r="AM152" s="159">
        <f t="shared" si="76"/>
        <v>7.5026957806854848E-6</v>
      </c>
    </row>
    <row r="153" spans="1:39" hidden="1" outlineLevel="1">
      <c r="A153" s="160" t="s">
        <v>225</v>
      </c>
      <c r="B153" s="133">
        <f>LOOKUP($A153,'GDP data'!$A$2:$A$192,'GDP data'!P$2:P$192)</f>
        <v>5.9349302824454719E-2</v>
      </c>
      <c r="C153" s="133">
        <f>LOOKUP($A153,'GDP data'!$A$2:$A$192,'GDP data'!Q$2:Q$192)</f>
        <v>4.0161997975025177E-2</v>
      </c>
      <c r="D153" s="133">
        <f>LOOKUP($A153,'GDP data'!$A$2:$A$192,'GDP data'!R$2:R$192)</f>
        <v>4.8669695003245028E-3</v>
      </c>
      <c r="E153" s="133">
        <f>LOOKUP($A153,'GDP data'!$A$2:$A$192,'GDP data'!S$2:S$192)</f>
        <v>4.2944785276073594E-2</v>
      </c>
      <c r="F153" s="133">
        <f>LOOKUP($A153,'GDP data'!$A$2:$A$192,'GDP data'!T$2:T$192)</f>
        <v>4.2724458204334237E-2</v>
      </c>
      <c r="G153" s="133">
        <f>LOOKUP($A153,'GDP data'!$A$2:$A$192,'GDP data'!U$2:U$192)</f>
        <v>3.8004750593824355E-2</v>
      </c>
      <c r="H153" s="133">
        <f>LOOKUP($A153,'GDP data'!$A$2:$A$192,'GDP data'!V$2:V$192)</f>
        <v>3.8043478260869623E-2</v>
      </c>
      <c r="I153" s="133">
        <f>LOOKUP($A153,'GDP data'!$A$2:$A$192,'GDP data'!W$2:W$192)</f>
        <v>3.7475888674566082E-2</v>
      </c>
      <c r="J153" s="851"/>
      <c r="K153" s="156"/>
      <c r="L153" s="158">
        <f>LOOKUP($A153,'GDP data'!$A$2:$A$192,'GDP data'!D$2:D$192)</f>
        <v>2.9630000000000001</v>
      </c>
      <c r="M153" s="158">
        <f>LOOKUP($A153,'GDP data'!$A$2:$A$192,'GDP data'!E$2:E$192)</f>
        <v>3.0819999999999999</v>
      </c>
      <c r="N153" s="158">
        <f>LOOKUP($A153,'GDP data'!$A$2:$A$192,'GDP data'!F$2:F$192)</f>
        <v>3.097</v>
      </c>
      <c r="O153" s="158">
        <f>LOOKUP($A153,'GDP data'!$A$2:$A$192,'GDP data'!G$2:G$192)</f>
        <v>3.23</v>
      </c>
      <c r="P153" s="158">
        <f>LOOKUP($A153,'GDP data'!$A$2:$A$192,'GDP data'!H$2:H$192)</f>
        <v>3.3679999999999999</v>
      </c>
      <c r="Q153" s="158">
        <f>LOOKUP($A153,'GDP data'!$A$2:$A$192,'GDP data'!I$2:I$192)</f>
        <v>3.496</v>
      </c>
      <c r="R153" s="158">
        <f>LOOKUP($A153,'GDP data'!$A$2:$A$192,'GDP data'!J$2:J$192)</f>
        <v>3.629</v>
      </c>
      <c r="S153" s="158">
        <f>LOOKUP($A153,'GDP data'!$A$2:$A$192,'GDP data'!K$2:K$192)</f>
        <v>3.7650000000000001</v>
      </c>
      <c r="T153" s="156"/>
      <c r="U153" s="156"/>
      <c r="V153" s="133">
        <f t="shared" si="77"/>
        <v>1.4335357571618488E-4</v>
      </c>
      <c r="W153" s="133">
        <f t="shared" si="78"/>
        <v>1.4356609611642995E-4</v>
      </c>
      <c r="X153" s="133">
        <f t="shared" si="79"/>
        <v>1.401954026048007E-4</v>
      </c>
      <c r="Y153" s="133">
        <f t="shared" si="80"/>
        <v>1.4040530970281542E-4</v>
      </c>
      <c r="Z153" s="133">
        <f t="shared" si="81"/>
        <v>1.4021744945375353E-4</v>
      </c>
      <c r="AA153" s="133">
        <f t="shared" si="82"/>
        <v>1.3967268887944508E-4</v>
      </c>
      <c r="AB153" s="133">
        <f t="shared" si="83"/>
        <v>1.3934628889039153E-4</v>
      </c>
      <c r="AC153" s="133">
        <f t="shared" si="84"/>
        <v>1.3904288858221901E-4</v>
      </c>
      <c r="AD153" s="156"/>
      <c r="AE153" s="156"/>
      <c r="AF153" s="159">
        <f t="shared" si="69"/>
        <v>8.5079347761482547E-6</v>
      </c>
      <c r="AG153" s="159">
        <f t="shared" si="70"/>
        <v>5.7659012615103293E-6</v>
      </c>
      <c r="AH153" s="159">
        <f t="shared" si="71"/>
        <v>6.823267485632794E-7</v>
      </c>
      <c r="AI153" s="159">
        <f t="shared" si="72"/>
        <v>6.0296758768080205E-6</v>
      </c>
      <c r="AJ153" s="159">
        <f t="shared" si="73"/>
        <v>5.9907145587052411E-6</v>
      </c>
      <c r="AK153" s="159">
        <f t="shared" si="74"/>
        <v>5.3082257056321346E-6</v>
      </c>
      <c r="AL153" s="159">
        <f t="shared" si="75"/>
        <v>5.3012175121344683E-6</v>
      </c>
      <c r="AM153" s="159">
        <f t="shared" si="76"/>
        <v>5.2107558134973352E-6</v>
      </c>
    </row>
    <row r="154" spans="1:39" hidden="1" outlineLevel="1">
      <c r="A154" s="160" t="s">
        <v>239</v>
      </c>
      <c r="B154" s="133">
        <f>LOOKUP($A154,'GDP data'!$A$2:$A$192,'GDP data'!P$2:P$192)</f>
        <v>4.4056503718548301E-2</v>
      </c>
      <c r="C154" s="133">
        <f>LOOKUP($A154,'GDP data'!$A$2:$A$192,'GDP data'!Q$2:Q$192)</f>
        <v>2.0366446466409061E-2</v>
      </c>
      <c r="D154" s="133">
        <f>LOOKUP($A154,'GDP data'!$A$2:$A$192,'GDP data'!R$2:R$192)</f>
        <v>2.7618977816866952E-2</v>
      </c>
      <c r="E154" s="133">
        <f>LOOKUP($A154,'GDP data'!$A$2:$A$192,'GDP data'!S$2:S$192)</f>
        <v>4.831500742942052E-2</v>
      </c>
      <c r="F154" s="133">
        <f>LOOKUP($A154,'GDP data'!$A$2:$A$192,'GDP data'!T$2:T$192)</f>
        <v>4.1008283299032167E-2</v>
      </c>
      <c r="G154" s="133">
        <f>LOOKUP($A154,'GDP data'!$A$2:$A$192,'GDP data'!U$2:U$192)</f>
        <v>3.8243687776398083E-2</v>
      </c>
      <c r="H154" s="133">
        <f>LOOKUP($A154,'GDP data'!$A$2:$A$192,'GDP data'!V$2:V$192)</f>
        <v>3.8267045752593987E-2</v>
      </c>
      <c r="I154" s="133">
        <f>LOOKUP($A154,'GDP data'!$A$2:$A$192,'GDP data'!W$2:W$192)</f>
        <v>3.8953362064174435E-2</v>
      </c>
      <c r="J154" s="851"/>
      <c r="K154" s="156"/>
      <c r="L154" s="158">
        <f>LOOKUP($A154,'GDP data'!$A$2:$A$192,'GDP data'!D$2:D$192)</f>
        <v>1604.6</v>
      </c>
      <c r="M154" s="158">
        <f>LOOKUP($A154,'GDP data'!$A$2:$A$192,'GDP data'!E$2:E$192)</f>
        <v>1637.28</v>
      </c>
      <c r="N154" s="158">
        <f>LOOKUP($A154,'GDP data'!$A$2:$A$192,'GDP data'!F$2:F$192)</f>
        <v>1682.5</v>
      </c>
      <c r="O154" s="158">
        <f>LOOKUP($A154,'GDP data'!$A$2:$A$192,'GDP data'!G$2:G$192)</f>
        <v>1763.79</v>
      </c>
      <c r="P154" s="158">
        <f>LOOKUP($A154,'GDP data'!$A$2:$A$192,'GDP data'!H$2:H$192)</f>
        <v>1836.12</v>
      </c>
      <c r="Q154" s="158">
        <f>LOOKUP($A154,'GDP data'!$A$2:$A$192,'GDP data'!I$2:I$192)</f>
        <v>1906.34</v>
      </c>
      <c r="R154" s="158">
        <f>LOOKUP($A154,'GDP data'!$A$2:$A$192,'GDP data'!J$2:J$192)</f>
        <v>1979.29</v>
      </c>
      <c r="S154" s="158">
        <f>LOOKUP($A154,'GDP data'!$A$2:$A$192,'GDP data'!K$2:K$192)</f>
        <v>2056.39</v>
      </c>
      <c r="T154" s="156"/>
      <c r="U154" s="156"/>
      <c r="V154" s="133">
        <f>L154/SUM(L$149:L$164)</f>
        <v>7.7632516906577881E-2</v>
      </c>
      <c r="W154" s="133">
        <f t="shared" si="78"/>
        <v>7.6267974642929406E-2</v>
      </c>
      <c r="X154" s="133">
        <f t="shared" si="79"/>
        <v>7.6163630895246096E-2</v>
      </c>
      <c r="Y154" s="133">
        <f t="shared" si="80"/>
        <v>7.6670427616324713E-2</v>
      </c>
      <c r="Z154" s="133">
        <f t="shared" si="81"/>
        <v>7.6441824017525514E-2</v>
      </c>
      <c r="AA154" s="133">
        <f t="shared" si="82"/>
        <v>7.6162366624268119E-2</v>
      </c>
      <c r="AB154" s="133">
        <f t="shared" si="83"/>
        <v>7.6000748453530734E-2</v>
      </c>
      <c r="AC154" s="133">
        <f t="shared" si="84"/>
        <v>7.5943268433357053E-2</v>
      </c>
      <c r="AD154" s="156"/>
      <c r="AE154" s="156"/>
      <c r="AF154" s="159">
        <f t="shared" si="69"/>
        <v>3.4202172697749122E-3</v>
      </c>
      <c r="AG154" s="159">
        <f t="shared" si="70"/>
        <v>1.5533076226666655E-3</v>
      </c>
      <c r="AH154" s="159">
        <f t="shared" si="71"/>
        <v>2.1035616321478444E-3</v>
      </c>
      <c r="AI154" s="159">
        <f t="shared" si="72"/>
        <v>3.7043322798995769E-3</v>
      </c>
      <c r="AJ154" s="159">
        <f t="shared" si="73"/>
        <v>3.1347479752054474E-3</v>
      </c>
      <c r="AK154" s="159">
        <f t="shared" si="74"/>
        <v>2.9127297694900721E-3</v>
      </c>
      <c r="AL154" s="159">
        <f t="shared" si="75"/>
        <v>2.9083241183026471E-3</v>
      </c>
      <c r="AM154" s="159">
        <f t="shared" si="76"/>
        <v>2.9582456316213463E-3</v>
      </c>
    </row>
    <row r="155" spans="1:39" hidden="1" outlineLevel="1">
      <c r="A155" s="160" t="s">
        <v>255</v>
      </c>
      <c r="B155" s="133">
        <f>LOOKUP($A155,'GDP data'!$A$2:$A$192,'GDP data'!P$2:P$192)</f>
        <v>6.2162162162162193E-2</v>
      </c>
      <c r="C155" s="133">
        <f>LOOKUP($A155,'GDP data'!$A$2:$A$192,'GDP data'!Q$2:Q$192)</f>
        <v>-1.5267175572519109E-2</v>
      </c>
      <c r="D155" s="133">
        <f>LOOKUP($A155,'GDP data'!$A$2:$A$192,'GDP data'!R$2:R$192)</f>
        <v>4.0051679586563305E-2</v>
      </c>
      <c r="E155" s="133">
        <f>LOOKUP($A155,'GDP data'!$A$2:$A$192,'GDP data'!S$2:S$192)</f>
        <v>5.7142857142857162E-2</v>
      </c>
      <c r="F155" s="133">
        <f>LOOKUP($A155,'GDP data'!$A$2:$A$192,'GDP data'!T$2:T$192)</f>
        <v>4.817861339600471E-2</v>
      </c>
      <c r="G155" s="133">
        <f>LOOKUP($A155,'GDP data'!$A$2:$A$192,'GDP data'!U$2:U$192)</f>
        <v>4.0358744394618951E-2</v>
      </c>
      <c r="H155" s="133">
        <f>LOOKUP($A155,'GDP data'!$A$2:$A$192,'GDP data'!V$2:V$192)</f>
        <v>4.2025862068965525E-2</v>
      </c>
      <c r="I155" s="133">
        <f>LOOKUP($A155,'GDP data'!$A$2:$A$192,'GDP data'!W$2:W$192)</f>
        <v>3.9296794208893315E-2</v>
      </c>
      <c r="J155" s="851"/>
      <c r="K155" s="156"/>
      <c r="L155" s="158">
        <f>LOOKUP($A155,'GDP data'!$A$2:$A$192,'GDP data'!D$2:D$192)</f>
        <v>0.78600000000000003</v>
      </c>
      <c r="M155" s="158">
        <f>LOOKUP($A155,'GDP data'!$A$2:$A$192,'GDP data'!E$2:E$192)</f>
        <v>0.77400000000000002</v>
      </c>
      <c r="N155" s="158">
        <f>LOOKUP($A155,'GDP data'!$A$2:$A$192,'GDP data'!F$2:F$192)</f>
        <v>0.80500000000000005</v>
      </c>
      <c r="O155" s="158">
        <f>LOOKUP($A155,'GDP data'!$A$2:$A$192,'GDP data'!G$2:G$192)</f>
        <v>0.85099999999999998</v>
      </c>
      <c r="P155" s="158">
        <f>LOOKUP($A155,'GDP data'!$A$2:$A$192,'GDP data'!H$2:H$192)</f>
        <v>0.89200000000000002</v>
      </c>
      <c r="Q155" s="158">
        <f>LOOKUP($A155,'GDP data'!$A$2:$A$192,'GDP data'!I$2:I$192)</f>
        <v>0.92800000000000005</v>
      </c>
      <c r="R155" s="158">
        <f>LOOKUP($A155,'GDP data'!$A$2:$A$192,'GDP data'!J$2:J$192)</f>
        <v>0.96699999999999997</v>
      </c>
      <c r="S155" s="158">
        <f>LOOKUP($A155,'GDP data'!$A$2:$A$192,'GDP data'!K$2:K$192)</f>
        <v>1.0049999999999999</v>
      </c>
      <c r="T155" s="156"/>
      <c r="U155" s="156"/>
      <c r="V155" s="133">
        <f t="shared" si="77"/>
        <v>3.8027644452555293E-5</v>
      </c>
      <c r="W155" s="133">
        <f t="shared" si="78"/>
        <v>3.6054561451692664E-5</v>
      </c>
      <c r="X155" s="133">
        <f t="shared" si="79"/>
        <v>3.6440845688364406E-5</v>
      </c>
      <c r="Y155" s="133">
        <f t="shared" si="80"/>
        <v>3.6992234847398114E-5</v>
      </c>
      <c r="Z155" s="133">
        <f t="shared" si="81"/>
        <v>3.7135975330388409E-5</v>
      </c>
      <c r="AA155" s="133">
        <f t="shared" si="82"/>
        <v>3.7075587894772611E-5</v>
      </c>
      <c r="AB155" s="133">
        <f t="shared" si="83"/>
        <v>3.7130851848169909E-5</v>
      </c>
      <c r="AC155" s="133">
        <f t="shared" si="84"/>
        <v>3.7115034004018615E-5</v>
      </c>
      <c r="AD155" s="156"/>
      <c r="AE155" s="156"/>
      <c r="AF155" s="159">
        <f t="shared" si="69"/>
        <v>2.3638806011047896E-6</v>
      </c>
      <c r="AG155" s="159">
        <f t="shared" si="70"/>
        <v>-5.5045131987317141E-7</v>
      </c>
      <c r="AH155" s="159">
        <f t="shared" si="71"/>
        <v>1.4595170753737681E-6</v>
      </c>
      <c r="AI155" s="159">
        <f t="shared" si="72"/>
        <v>2.1138419912798931E-6</v>
      </c>
      <c r="AJ155" s="159">
        <f t="shared" si="73"/>
        <v>1.7891597985263514E-6</v>
      </c>
      <c r="AK155" s="159">
        <f t="shared" si="74"/>
        <v>1.4963241751253563E-6</v>
      </c>
      <c r="AL155" s="159">
        <f t="shared" si="75"/>
        <v>1.5604560582743823E-6</v>
      </c>
      <c r="AM155" s="159">
        <f t="shared" si="76"/>
        <v>1.4585018533119971E-6</v>
      </c>
    </row>
    <row r="156" spans="1:39" hidden="1" outlineLevel="1">
      <c r="A156" s="160" t="s">
        <v>273</v>
      </c>
      <c r="B156" s="133">
        <f>LOOKUP($A156,'GDP data'!$A$2:$A$192,'GDP data'!P$2:P$192)</f>
        <v>6.3096774193548422E-2</v>
      </c>
      <c r="C156" s="133">
        <f>LOOKUP($A156,'GDP data'!$A$2:$A$192,'GDP data'!Q$2:Q$192)</f>
        <v>5.0036412185944679E-2</v>
      </c>
      <c r="D156" s="133">
        <f>LOOKUP($A156,'GDP data'!$A$2:$A$192,'GDP data'!R$2:R$192)</f>
        <v>3.386793815922573E-2</v>
      </c>
      <c r="E156" s="133">
        <f>LOOKUP($A156,'GDP data'!$A$2:$A$192,'GDP data'!S$2:S$192)</f>
        <v>2.7224194314783068E-2</v>
      </c>
      <c r="F156" s="133">
        <f>LOOKUP($A156,'GDP data'!$A$2:$A$192,'GDP data'!T$2:T$192)</f>
        <v>4.6502135996299598E-2</v>
      </c>
      <c r="G156" s="133">
        <f>LOOKUP($A156,'GDP data'!$A$2:$A$192,'GDP data'!U$2:U$192)</f>
        <v>6.30265210608425E-2</v>
      </c>
      <c r="H156" s="133">
        <f>LOOKUP($A156,'GDP data'!$A$2:$A$192,'GDP data'!V$2:V$192)</f>
        <v>6.8339692789355144E-2</v>
      </c>
      <c r="I156" s="133">
        <f>LOOKUP($A156,'GDP data'!$A$2:$A$192,'GDP data'!W$2:W$192)</f>
        <v>6.9394203031274415E-2</v>
      </c>
      <c r="J156" s="851"/>
      <c r="K156" s="156"/>
      <c r="L156" s="158">
        <f>LOOKUP($A156,'GDP data'!$A$2:$A$192,'GDP data'!D$2:D$192)</f>
        <v>32.956000000000003</v>
      </c>
      <c r="M156" s="158">
        <f>LOOKUP($A156,'GDP data'!$A$2:$A$192,'GDP data'!E$2:E$192)</f>
        <v>34.604999999999997</v>
      </c>
      <c r="N156" s="158">
        <f>LOOKUP($A156,'GDP data'!$A$2:$A$192,'GDP data'!F$2:F$192)</f>
        <v>35.777000000000001</v>
      </c>
      <c r="O156" s="158">
        <f>LOOKUP($A156,'GDP data'!$A$2:$A$192,'GDP data'!G$2:G$192)</f>
        <v>36.750999999999998</v>
      </c>
      <c r="P156" s="158">
        <f>LOOKUP($A156,'GDP data'!$A$2:$A$192,'GDP data'!H$2:H$192)</f>
        <v>38.46</v>
      </c>
      <c r="Q156" s="158">
        <f>LOOKUP($A156,'GDP data'!$A$2:$A$192,'GDP data'!I$2:I$192)</f>
        <v>40.884</v>
      </c>
      <c r="R156" s="158">
        <f>LOOKUP($A156,'GDP data'!$A$2:$A$192,'GDP data'!J$2:J$192)</f>
        <v>43.677999999999997</v>
      </c>
      <c r="S156" s="158">
        <f>LOOKUP($A156,'GDP data'!$A$2:$A$192,'GDP data'!K$2:K$192)</f>
        <v>46.709000000000003</v>
      </c>
      <c r="T156" s="156"/>
      <c r="U156" s="156"/>
      <c r="V156" s="133">
        <f t="shared" si="77"/>
        <v>1.5944517182931454E-3</v>
      </c>
      <c r="W156" s="133">
        <f t="shared" si="78"/>
        <v>1.61197428815998E-3</v>
      </c>
      <c r="X156" s="133">
        <f t="shared" si="79"/>
        <v>1.6195579331585259E-3</v>
      </c>
      <c r="Y156" s="133">
        <f t="shared" si="80"/>
        <v>1.5975342219468015E-3</v>
      </c>
      <c r="Z156" s="133">
        <f t="shared" si="81"/>
        <v>1.6011766941779577E-3</v>
      </c>
      <c r="AA156" s="133">
        <f t="shared" si="82"/>
        <v>1.6334033787606503E-3</v>
      </c>
      <c r="AB156" s="133">
        <f t="shared" si="83"/>
        <v>1.677147204782177E-3</v>
      </c>
      <c r="AC156" s="133">
        <f t="shared" si="84"/>
        <v>1.7249812172076674E-3</v>
      </c>
      <c r="AD156" s="156"/>
      <c r="AE156" s="156"/>
      <c r="AF156" s="159">
        <f t="shared" si="69"/>
        <v>1.0060476003165788E-4</v>
      </c>
      <c r="AG156" s="159">
        <f t="shared" si="70"/>
        <v>8.0657409915517515E-5</v>
      </c>
      <c r="AH156" s="159">
        <f t="shared" si="71"/>
        <v>5.4851087925496393E-5</v>
      </c>
      <c r="AI156" s="159">
        <f t="shared" si="72"/>
        <v>4.3491582082795505E-5</v>
      </c>
      <c r="AJ156" s="159">
        <f t="shared" si="73"/>
        <v>7.4458136386768806E-5</v>
      </c>
      <c r="AK156" s="159">
        <f t="shared" si="74"/>
        <v>1.0294773245230942E-4</v>
      </c>
      <c r="AL156" s="159">
        <f t="shared" si="75"/>
        <v>1.1461572473733968E-4</v>
      </c>
      <c r="AM156" s="159">
        <f t="shared" si="76"/>
        <v>1.1970369681204375E-4</v>
      </c>
    </row>
    <row r="157" spans="1:39" hidden="1" outlineLevel="1">
      <c r="A157" s="160" t="s">
        <v>277</v>
      </c>
      <c r="B157" s="133">
        <f>LOOKUP($A157,'GDP data'!$A$2:$A$192,'GDP data'!P$2:P$192)</f>
        <v>6.3096774193548422E-2</v>
      </c>
      <c r="C157" s="133">
        <f>LOOKUP($A157,'GDP data'!$A$2:$A$192,'GDP data'!Q$2:Q$192)</f>
        <v>5.0036412185944679E-2</v>
      </c>
      <c r="D157" s="133">
        <f>LOOKUP($A157,'GDP data'!$A$2:$A$192,'GDP data'!R$2:R$192)</f>
        <v>3.386793815922573E-2</v>
      </c>
      <c r="E157" s="133">
        <f>LOOKUP($A157,'GDP data'!$A$2:$A$192,'GDP data'!S$2:S$192)</f>
        <v>2.7224194314783068E-2</v>
      </c>
      <c r="F157" s="133">
        <f>LOOKUP($A157,'GDP data'!$A$2:$A$192,'GDP data'!T$2:T$192)</f>
        <v>4.6502135996299598E-2</v>
      </c>
      <c r="G157" s="133">
        <f>LOOKUP($A157,'GDP data'!$A$2:$A$192,'GDP data'!U$2:U$192)</f>
        <v>6.30265210608425E-2</v>
      </c>
      <c r="H157" s="133">
        <f>LOOKUP($A157,'GDP data'!$A$2:$A$192,'GDP data'!V$2:V$192)</f>
        <v>6.8339692789355144E-2</v>
      </c>
      <c r="I157" s="133">
        <f>LOOKUP($A157,'GDP data'!$A$2:$A$192,'GDP data'!W$2:W$192)</f>
        <v>6.9394203031274415E-2</v>
      </c>
      <c r="J157" s="851"/>
      <c r="K157" s="156"/>
      <c r="L157" s="158">
        <f>LOOKUP($A157,'GDP data'!$A$2:$A$192,'GDP data'!D$2:D$192)</f>
        <v>32.956000000000003</v>
      </c>
      <c r="M157" s="158">
        <f>LOOKUP($A157,'GDP data'!$A$2:$A$192,'GDP data'!E$2:E$192)</f>
        <v>34.604999999999997</v>
      </c>
      <c r="N157" s="158">
        <f>LOOKUP($A157,'GDP data'!$A$2:$A$192,'GDP data'!F$2:F$192)</f>
        <v>35.777000000000001</v>
      </c>
      <c r="O157" s="158">
        <f>LOOKUP($A157,'GDP data'!$A$2:$A$192,'GDP data'!G$2:G$192)</f>
        <v>36.750999999999998</v>
      </c>
      <c r="P157" s="158">
        <f>LOOKUP($A157,'GDP data'!$A$2:$A$192,'GDP data'!H$2:H$192)</f>
        <v>38.46</v>
      </c>
      <c r="Q157" s="158">
        <f>LOOKUP($A157,'GDP data'!$A$2:$A$192,'GDP data'!I$2:I$192)</f>
        <v>40.884</v>
      </c>
      <c r="R157" s="158">
        <f>LOOKUP($A157,'GDP data'!$A$2:$A$192,'GDP data'!J$2:J$192)</f>
        <v>43.677999999999997</v>
      </c>
      <c r="S157" s="158">
        <f>LOOKUP($A157,'GDP data'!$A$2:$A$192,'GDP data'!K$2:K$192)</f>
        <v>46.709000000000003</v>
      </c>
      <c r="T157" s="156"/>
      <c r="U157" s="156"/>
      <c r="V157" s="133">
        <f t="shared" si="77"/>
        <v>1.5944517182931454E-3</v>
      </c>
      <c r="W157" s="133">
        <f t="shared" si="78"/>
        <v>1.61197428815998E-3</v>
      </c>
      <c r="X157" s="133">
        <f t="shared" si="79"/>
        <v>1.6195579331585259E-3</v>
      </c>
      <c r="Y157" s="133">
        <f t="shared" si="80"/>
        <v>1.5975342219468015E-3</v>
      </c>
      <c r="Z157" s="133">
        <f t="shared" si="81"/>
        <v>1.6011766941779577E-3</v>
      </c>
      <c r="AA157" s="133">
        <f t="shared" si="82"/>
        <v>1.6334033787606503E-3</v>
      </c>
      <c r="AB157" s="133">
        <f t="shared" si="83"/>
        <v>1.677147204782177E-3</v>
      </c>
      <c r="AC157" s="133">
        <f t="shared" si="84"/>
        <v>1.7249812172076674E-3</v>
      </c>
      <c r="AD157" s="156"/>
      <c r="AE157" s="156"/>
      <c r="AF157" s="159">
        <f t="shared" si="69"/>
        <v>1.0060476003165788E-4</v>
      </c>
      <c r="AG157" s="159">
        <f t="shared" si="70"/>
        <v>8.0657409915517515E-5</v>
      </c>
      <c r="AH157" s="159">
        <f t="shared" si="71"/>
        <v>5.4851087925496393E-5</v>
      </c>
      <c r="AI157" s="159">
        <f t="shared" si="72"/>
        <v>4.3491582082795505E-5</v>
      </c>
      <c r="AJ157" s="159">
        <f t="shared" si="73"/>
        <v>7.4458136386768806E-5</v>
      </c>
      <c r="AK157" s="159">
        <f t="shared" si="74"/>
        <v>1.0294773245230942E-4</v>
      </c>
      <c r="AL157" s="159">
        <f t="shared" si="75"/>
        <v>1.1461572473733968E-4</v>
      </c>
      <c r="AM157" s="159">
        <f t="shared" si="76"/>
        <v>1.1970369681204375E-4</v>
      </c>
    </row>
    <row r="158" spans="1:39" hidden="1" outlineLevel="1">
      <c r="A158" s="160" t="s">
        <v>290</v>
      </c>
      <c r="B158" s="133">
        <f>LOOKUP($A158,'GDP data'!$A$2:$A$192,'GDP data'!P$2:P$192)</f>
        <v>2.3347290952924649E-2</v>
      </c>
      <c r="C158" s="133">
        <f>LOOKUP($A158,'GDP data'!$A$2:$A$192,'GDP data'!Q$2:Q$192)</f>
        <v>2.0293449059723079E-2</v>
      </c>
      <c r="D158" s="133">
        <f>LOOKUP($A158,'GDP data'!$A$2:$A$192,'GDP data'!R$2:R$192)</f>
        <v>2.616867860325689E-2</v>
      </c>
      <c r="E158" s="133">
        <f>LOOKUP($A158,'GDP data'!$A$2:$A$192,'GDP data'!S$2:S$192)</f>
        <v>3.4343912837517809E-2</v>
      </c>
      <c r="F158" s="133">
        <f>LOOKUP($A158,'GDP data'!$A$2:$A$192,'GDP data'!T$2:T$192)</f>
        <v>4.312647889474075E-2</v>
      </c>
      <c r="G158" s="133">
        <f>LOOKUP($A158,'GDP data'!$A$2:$A$192,'GDP data'!U$2:U$192)</f>
        <v>4.8404800234157719E-2</v>
      </c>
      <c r="H158" s="133">
        <f>LOOKUP($A158,'GDP data'!$A$2:$A$192,'GDP data'!V$2:V$192)</f>
        <v>4.9380561856569472E-2</v>
      </c>
      <c r="I158" s="133">
        <f>LOOKUP($A158,'GDP data'!$A$2:$A$192,'GDP data'!W$2:W$192)</f>
        <v>4.9351513136015823E-2</v>
      </c>
      <c r="J158" s="851"/>
      <c r="K158" s="156"/>
      <c r="L158" s="158">
        <f>LOOKUP($A158,'GDP data'!$A$2:$A$192,'GDP data'!D$2:D$192)</f>
        <v>24.195</v>
      </c>
      <c r="M158" s="158">
        <f>LOOKUP($A158,'GDP data'!$A$2:$A$192,'GDP data'!E$2:E$192)</f>
        <v>24.686</v>
      </c>
      <c r="N158" s="158">
        <f>LOOKUP($A158,'GDP data'!$A$2:$A$192,'GDP data'!F$2:F$192)</f>
        <v>25.332000000000001</v>
      </c>
      <c r="O158" s="158">
        <f>LOOKUP($A158,'GDP data'!$A$2:$A$192,'GDP data'!G$2:G$192)</f>
        <v>26.202000000000002</v>
      </c>
      <c r="P158" s="158">
        <f>LOOKUP($A158,'GDP data'!$A$2:$A$192,'GDP data'!H$2:H$192)</f>
        <v>27.332000000000001</v>
      </c>
      <c r="Q158" s="158">
        <f>LOOKUP($A158,'GDP data'!$A$2:$A$192,'GDP data'!I$2:I$192)</f>
        <v>28.655000000000001</v>
      </c>
      <c r="R158" s="158">
        <f>LOOKUP($A158,'GDP data'!$A$2:$A$192,'GDP data'!J$2:J$192)</f>
        <v>30.07</v>
      </c>
      <c r="S158" s="158">
        <f>LOOKUP($A158,'GDP data'!$A$2:$A$192,'GDP data'!K$2:K$192)</f>
        <v>31.553999999999998</v>
      </c>
      <c r="T158" s="156"/>
      <c r="U158" s="156"/>
      <c r="V158" s="133">
        <f t="shared" si="77"/>
        <v>1.1705837882055666E-3</v>
      </c>
      <c r="W158" s="133">
        <f t="shared" si="78"/>
        <v>1.1499262325535982E-3</v>
      </c>
      <c r="X158" s="133">
        <f t="shared" si="79"/>
        <v>1.1467323018355864E-3</v>
      </c>
      <c r="Y158" s="133">
        <f t="shared" si="80"/>
        <v>1.1389783049019103E-3</v>
      </c>
      <c r="Z158" s="133">
        <f t="shared" si="81"/>
        <v>1.1378929122535606E-3</v>
      </c>
      <c r="AA158" s="133">
        <f t="shared" si="82"/>
        <v>1.1448286326774884E-3</v>
      </c>
      <c r="AB158" s="133">
        <f t="shared" si="83"/>
        <v>1.1546274199322327E-3</v>
      </c>
      <c r="AC158" s="133">
        <f t="shared" si="84"/>
        <v>1.1653012765799038E-3</v>
      </c>
      <c r="AD158" s="156"/>
      <c r="AE158" s="156"/>
      <c r="AF158" s="159">
        <f t="shared" si="69"/>
        <v>2.7329960288012088E-5</v>
      </c>
      <c r="AG158" s="159">
        <f t="shared" si="70"/>
        <v>2.3335969422765721E-5</v>
      </c>
      <c r="AH158" s="159">
        <f t="shared" si="71"/>
        <v>3.0008469050708431E-5</v>
      </c>
      <c r="AI158" s="159">
        <f t="shared" si="72"/>
        <v>3.9116971627374989E-5</v>
      </c>
      <c r="AJ158" s="159">
        <f t="shared" si="73"/>
        <v>4.9073314664778272E-5</v>
      </c>
      <c r="AK158" s="159">
        <f t="shared" si="74"/>
        <v>5.5415201267097752E-5</v>
      </c>
      <c r="AL158" s="159">
        <f t="shared" si="75"/>
        <v>5.7016150731254834E-5</v>
      </c>
      <c r="AM158" s="159">
        <f t="shared" si="76"/>
        <v>5.7509381258549133E-5</v>
      </c>
    </row>
    <row r="159" spans="1:39" hidden="1" outlineLevel="1">
      <c r="A159" s="160" t="s">
        <v>366</v>
      </c>
      <c r="B159" s="133">
        <f>LOOKUP($A159,'GDP data'!$A$2:$A$192,'GDP data'!P$2:P$192)</f>
        <v>6.8441587617427579E-2</v>
      </c>
      <c r="C159" s="133">
        <f>LOOKUP($A159,'GDP data'!$A$2:$A$192,'GDP data'!Q$2:Q$192)</f>
        <v>5.9753433945099799E-2</v>
      </c>
      <c r="D159" s="133">
        <f>LOOKUP($A159,'GDP data'!$A$2:$A$192,'GDP data'!R$2:R$192)</f>
        <v>5.7113124883587219E-2</v>
      </c>
      <c r="E159" s="133">
        <f>LOOKUP($A159,'GDP data'!$A$2:$A$192,'GDP data'!S$2:S$192)</f>
        <v>6.5507084279755157E-2</v>
      </c>
      <c r="F159" s="133">
        <f>LOOKUP($A159,'GDP data'!$A$2:$A$192,'GDP data'!T$2:T$192)</f>
        <v>6.8338767601456629E-2</v>
      </c>
      <c r="G159" s="133">
        <f>LOOKUP($A159,'GDP data'!$A$2:$A$192,'GDP data'!U$2:U$192)</f>
        <v>7.1386990507532611E-2</v>
      </c>
      <c r="H159" s="133">
        <f>LOOKUP($A159,'GDP data'!$A$2:$A$192,'GDP data'!V$2:V$192)</f>
        <v>7.2085879936431674E-2</v>
      </c>
      <c r="I159" s="133">
        <f>LOOKUP($A159,'GDP data'!$A$2:$A$192,'GDP data'!W$2:W$192)</f>
        <v>7.2828475172110663E-2</v>
      </c>
      <c r="J159" s="851"/>
      <c r="K159" s="156"/>
      <c r="L159" s="158">
        <f>LOOKUP($A159,'GDP data'!$A$2:$A$192,'GDP data'!D$2:D$192)</f>
        <v>233.041</v>
      </c>
      <c r="M159" s="158">
        <f>LOOKUP($A159,'GDP data'!$A$2:$A$192,'GDP data'!E$2:E$192)</f>
        <v>246.96600000000001</v>
      </c>
      <c r="N159" s="158">
        <f>LOOKUP($A159,'GDP data'!$A$2:$A$192,'GDP data'!F$2:F$192)</f>
        <v>261.07100000000003</v>
      </c>
      <c r="O159" s="158">
        <f>LOOKUP($A159,'GDP data'!$A$2:$A$192,'GDP data'!G$2:G$192)</f>
        <v>278.173</v>
      </c>
      <c r="P159" s="158">
        <f>LOOKUP($A159,'GDP data'!$A$2:$A$192,'GDP data'!H$2:H$192)</f>
        <v>297.18299999999999</v>
      </c>
      <c r="Q159" s="158">
        <f>LOOKUP($A159,'GDP data'!$A$2:$A$192,'GDP data'!I$2:I$192)</f>
        <v>318.39800000000002</v>
      </c>
      <c r="R159" s="158">
        <f>LOOKUP($A159,'GDP data'!$A$2:$A$192,'GDP data'!J$2:J$192)</f>
        <v>341.35</v>
      </c>
      <c r="S159" s="158">
        <f>LOOKUP($A159,'GDP data'!$A$2:$A$192,'GDP data'!K$2:K$192)</f>
        <v>366.21</v>
      </c>
      <c r="T159" s="156"/>
      <c r="U159" s="156"/>
      <c r="V159" s="133">
        <f t="shared" si="77"/>
        <v>1.1274809530366333E-2</v>
      </c>
      <c r="W159" s="133">
        <f t="shared" si="78"/>
        <v>1.1504200030334278E-2</v>
      </c>
      <c r="X159" s="133">
        <f t="shared" si="79"/>
        <v>1.1818196303983831E-2</v>
      </c>
      <c r="Y159" s="133">
        <f t="shared" si="80"/>
        <v>1.209194000494157E-2</v>
      </c>
      <c r="Z159" s="133">
        <f t="shared" si="81"/>
        <v>1.2372399727142172E-2</v>
      </c>
      <c r="AA159" s="133">
        <f t="shared" si="82"/>
        <v>1.2720682149267037E-2</v>
      </c>
      <c r="AB159" s="133">
        <f t="shared" si="83"/>
        <v>1.3107152304418612E-2</v>
      </c>
      <c r="AC159" s="133">
        <f t="shared" si="84"/>
        <v>1.3524275226479261E-2</v>
      </c>
      <c r="AD159" s="156"/>
      <c r="AE159" s="156"/>
      <c r="AF159" s="159">
        <f t="shared" si="69"/>
        <v>7.7166586434237485E-4</v>
      </c>
      <c r="AG159" s="159">
        <f t="shared" si="70"/>
        <v>6.8741545660379441E-4</v>
      </c>
      <c r="AH159" s="159">
        <f t="shared" si="71"/>
        <v>6.7497412140817741E-4</v>
      </c>
      <c r="AI159" s="159">
        <f t="shared" si="72"/>
        <v>7.9210773300945046E-4</v>
      </c>
      <c r="AJ159" s="159">
        <f t="shared" si="73"/>
        <v>8.4551454962549432E-4</v>
      </c>
      <c r="AK159" s="159">
        <f t="shared" si="74"/>
        <v>9.0809121583906546E-4</v>
      </c>
      <c r="AL159" s="159">
        <f t="shared" si="75"/>
        <v>9.448406073248438E-4</v>
      </c>
      <c r="AM159" s="159">
        <f t="shared" si="76"/>
        <v>9.8495234255243616E-4</v>
      </c>
    </row>
    <row r="160" spans="1:39" hidden="1" outlineLevel="1">
      <c r="A160" s="160" t="s">
        <v>367</v>
      </c>
      <c r="B160" s="133">
        <f>LOOKUP($A160,'GDP data'!$A$2:$A$192,'GDP data'!P$2:P$192)</f>
        <v>7.0502431118314446E-2</v>
      </c>
      <c r="C160" s="133">
        <f>LOOKUP($A160,'GDP data'!$A$2:$A$192,'GDP data'!Q$2:Q$192)</f>
        <v>5.9803179409538165E-2</v>
      </c>
      <c r="D160" s="133">
        <f>LOOKUP($A160,'GDP data'!$A$2:$A$192,'GDP data'!R$2:R$192)</f>
        <v>4.5000000000000151E-2</v>
      </c>
      <c r="E160" s="133">
        <f>LOOKUP($A160,'GDP data'!$A$2:$A$192,'GDP data'!S$2:S$192)</f>
        <v>4.4429254955570707E-2</v>
      </c>
      <c r="F160" s="133">
        <f>LOOKUP($A160,'GDP data'!$A$2:$A$192,'GDP data'!T$2:T$192)</f>
        <v>5.4973821989528826E-2</v>
      </c>
      <c r="G160" s="133">
        <f>LOOKUP($A160,'GDP data'!$A$2:$A$192,'GDP data'!U$2:U$192)</f>
        <v>5.3970223325062072E-2</v>
      </c>
      <c r="H160" s="133">
        <f>LOOKUP($A160,'GDP data'!$A$2:$A$192,'GDP data'!V$2:V$192)</f>
        <v>5.1795173631547842E-2</v>
      </c>
      <c r="I160" s="133">
        <f>LOOKUP($A160,'GDP data'!$A$2:$A$192,'GDP data'!W$2:W$192)</f>
        <v>4.8684946838276622E-2</v>
      </c>
      <c r="J160" s="851"/>
      <c r="K160" s="156"/>
      <c r="L160" s="158">
        <f>LOOKUP($A160,'GDP data'!$A$2:$A$192,'GDP data'!D$2:D$192)</f>
        <v>1.321</v>
      </c>
      <c r="M160" s="158">
        <f>LOOKUP($A160,'GDP data'!$A$2:$A$192,'GDP data'!E$2:E$192)</f>
        <v>1.4</v>
      </c>
      <c r="N160" s="158">
        <f>LOOKUP($A160,'GDP data'!$A$2:$A$192,'GDP data'!F$2:F$192)</f>
        <v>1.4630000000000001</v>
      </c>
      <c r="O160" s="158">
        <f>LOOKUP($A160,'GDP data'!$A$2:$A$192,'GDP data'!G$2:G$192)</f>
        <v>1.528</v>
      </c>
      <c r="P160" s="158">
        <f>LOOKUP($A160,'GDP data'!$A$2:$A$192,'GDP data'!H$2:H$192)</f>
        <v>1.6120000000000001</v>
      </c>
      <c r="Q160" s="158">
        <f>LOOKUP($A160,'GDP data'!$A$2:$A$192,'GDP data'!I$2:I$192)</f>
        <v>1.6990000000000001</v>
      </c>
      <c r="R160" s="158">
        <f>LOOKUP($A160,'GDP data'!$A$2:$A$192,'GDP data'!J$2:J$192)</f>
        <v>1.7869999999999999</v>
      </c>
      <c r="S160" s="158">
        <f>LOOKUP($A160,'GDP data'!$A$2:$A$192,'GDP data'!K$2:K$192)</f>
        <v>1.8740000000000001</v>
      </c>
      <c r="T160" s="156"/>
      <c r="U160" s="156"/>
      <c r="V160" s="133">
        <f t="shared" si="77"/>
        <v>6.3911600918353101E-5</v>
      </c>
      <c r="W160" s="133">
        <f t="shared" si="78"/>
        <v>6.521496903406942E-5</v>
      </c>
      <c r="X160" s="133">
        <f t="shared" si="79"/>
        <v>6.6227276077114445E-5</v>
      </c>
      <c r="Y160" s="133">
        <f t="shared" si="80"/>
        <v>6.6420840008019188E-5</v>
      </c>
      <c r="Z160" s="133">
        <f t="shared" si="81"/>
        <v>6.7111202054468739E-5</v>
      </c>
      <c r="AA160" s="133">
        <f t="shared" si="82"/>
        <v>6.7878689475451155E-5</v>
      </c>
      <c r="AB160" s="133">
        <f t="shared" si="83"/>
        <v>6.8617199847652137E-5</v>
      </c>
      <c r="AC160" s="133">
        <f t="shared" si="84"/>
        <v>6.9207536043314327E-5</v>
      </c>
      <c r="AD160" s="156"/>
      <c r="AE160" s="156"/>
      <c r="AF160" s="159">
        <f t="shared" si="69"/>
        <v>4.5059232414073918E-6</v>
      </c>
      <c r="AG160" s="159">
        <f t="shared" si="70"/>
        <v>3.9000624933319297E-6</v>
      </c>
      <c r="AH160" s="159">
        <f t="shared" si="71"/>
        <v>2.98022742347016E-6</v>
      </c>
      <c r="AI160" s="159">
        <f t="shared" si="72"/>
        <v>2.9510284350794556E-6</v>
      </c>
      <c r="AJ160" s="159">
        <f t="shared" si="73"/>
        <v>3.6893592752456658E-6</v>
      </c>
      <c r="AK160" s="159">
        <f t="shared" si="74"/>
        <v>3.6634280300026391E-6</v>
      </c>
      <c r="AL160" s="159">
        <f t="shared" si="75"/>
        <v>3.5540397802197607E-6</v>
      </c>
      <c r="AM160" s="159">
        <f t="shared" si="76"/>
        <v>3.369365213076871E-6</v>
      </c>
    </row>
    <row r="161" spans="1:39" hidden="1" outlineLevel="1">
      <c r="A161" s="160" t="s">
        <v>368</v>
      </c>
      <c r="B161" s="133">
        <f>LOOKUP($A161,'GDP data'!$A$2:$A$192,'GDP data'!P$2:P$192)</f>
        <v>8.7638376383762928E-3</v>
      </c>
      <c r="C161" s="133">
        <f>LOOKUP($A161,'GDP data'!$A$2:$A$192,'GDP data'!Q$2:Q$192)</f>
        <v>3.0635573845450459E-2</v>
      </c>
      <c r="D161" s="133">
        <f>LOOKUP($A161,'GDP data'!$A$2:$A$192,'GDP data'!R$2:R$192)</f>
        <v>2.3070097604259043E-2</v>
      </c>
      <c r="E161" s="133">
        <f>LOOKUP($A161,'GDP data'!$A$2:$A$192,'GDP data'!S$2:S$192)</f>
        <v>3.3824804856894986E-2</v>
      </c>
      <c r="F161" s="133">
        <f>LOOKUP($A161,'GDP data'!$A$2:$A$192,'GDP data'!T$2:T$192)</f>
        <v>4.7399328859060397E-2</v>
      </c>
      <c r="G161" s="133">
        <f>LOOKUP($A161,'GDP data'!$A$2:$A$192,'GDP data'!U$2:U$192)</f>
        <v>4.2851421706047388E-2</v>
      </c>
      <c r="H161" s="133">
        <f>LOOKUP($A161,'GDP data'!$A$2:$A$192,'GDP data'!V$2:V$192)</f>
        <v>3.6098310291858615E-2</v>
      </c>
      <c r="I161" s="133">
        <f>LOOKUP($A161,'GDP data'!$A$2:$A$192,'GDP data'!W$2:W$192)</f>
        <v>3.5581912527798298E-2</v>
      </c>
      <c r="J161" s="851"/>
      <c r="K161" s="156"/>
      <c r="L161" s="158">
        <f>LOOKUP($A161,'GDP data'!$A$2:$A$192,'GDP data'!D$2:D$192)</f>
        <v>2.1869999999999998</v>
      </c>
      <c r="M161" s="158">
        <f>LOOKUP($A161,'GDP data'!$A$2:$A$192,'GDP data'!E$2:E$192)</f>
        <v>2.254</v>
      </c>
      <c r="N161" s="158">
        <f>LOOKUP($A161,'GDP data'!$A$2:$A$192,'GDP data'!F$2:F$192)</f>
        <v>2.306</v>
      </c>
      <c r="O161" s="158">
        <f>LOOKUP($A161,'GDP data'!$A$2:$A$192,'GDP data'!G$2:G$192)</f>
        <v>2.3839999999999999</v>
      </c>
      <c r="P161" s="158">
        <f>LOOKUP($A161,'GDP data'!$A$2:$A$192,'GDP data'!H$2:H$192)</f>
        <v>2.4969999999999999</v>
      </c>
      <c r="Q161" s="158">
        <f>LOOKUP($A161,'GDP data'!$A$2:$A$192,'GDP data'!I$2:I$192)</f>
        <v>2.6040000000000001</v>
      </c>
      <c r="R161" s="158">
        <f>LOOKUP($A161,'GDP data'!$A$2:$A$192,'GDP data'!J$2:J$192)</f>
        <v>2.698</v>
      </c>
      <c r="S161" s="158">
        <f>LOOKUP($A161,'GDP data'!$A$2:$A$192,'GDP data'!K$2:K$192)</f>
        <v>2.794</v>
      </c>
      <c r="T161" s="156"/>
      <c r="U161" s="156"/>
      <c r="V161" s="133">
        <f t="shared" si="77"/>
        <v>1.0580974353401833E-4</v>
      </c>
      <c r="W161" s="133">
        <f t="shared" si="78"/>
        <v>1.0499610014485176E-4</v>
      </c>
      <c r="X161" s="133">
        <f t="shared" si="79"/>
        <v>1.043883107544948E-4</v>
      </c>
      <c r="Y161" s="133">
        <f t="shared" si="80"/>
        <v>1.0363042053607181E-4</v>
      </c>
      <c r="Z161" s="133">
        <f t="shared" si="81"/>
        <v>1.0395575156948414E-4</v>
      </c>
      <c r="AA161" s="133">
        <f t="shared" si="82"/>
        <v>1.0403537810128004E-4</v>
      </c>
      <c r="AB161" s="133">
        <f t="shared" si="83"/>
        <v>1.0359776451536961E-4</v>
      </c>
      <c r="AC161" s="133">
        <f t="shared" si="84"/>
        <v>1.0318348756938111E-4</v>
      </c>
      <c r="AD161" s="156"/>
      <c r="AE161" s="156"/>
      <c r="AF161" s="159">
        <f t="shared" si="69"/>
        <v>9.2729941289037243E-7</v>
      </c>
      <c r="AG161" s="159">
        <f t="shared" si="70"/>
        <v>3.2166157794719176E-6</v>
      </c>
      <c r="AH161" s="159">
        <f t="shared" si="71"/>
        <v>2.408248517849919E-6</v>
      </c>
      <c r="AI161" s="159">
        <f t="shared" si="72"/>
        <v>3.5052787518705917E-6</v>
      </c>
      <c r="AJ161" s="159">
        <f t="shared" si="73"/>
        <v>4.9274328554327626E-6</v>
      </c>
      <c r="AK161" s="159">
        <f t="shared" si="74"/>
        <v>4.4580638593660385E-6</v>
      </c>
      <c r="AL161" s="159">
        <f t="shared" si="75"/>
        <v>3.7397042490187118E-6</v>
      </c>
      <c r="AM161" s="159">
        <f t="shared" si="76"/>
        <v>3.6714658290068817E-6</v>
      </c>
    </row>
    <row r="162" spans="1:39" hidden="1" outlineLevel="1">
      <c r="A162" s="160" t="s">
        <v>370</v>
      </c>
      <c r="B162" s="133">
        <f>LOOKUP($A162,'GDP data'!$A$2:$A$192,'GDP data'!P$2:P$192)</f>
        <v>3.4290998208823975E-2</v>
      </c>
      <c r="C162" s="133">
        <f>LOOKUP($A162,'GDP data'!$A$2:$A$192,'GDP data'!Q$2:Q$192)</f>
        <v>6.0168802750859784E-2</v>
      </c>
      <c r="D162" s="133">
        <f>LOOKUP($A162,'GDP data'!$A$2:$A$192,'GDP data'!R$2:R$192)</f>
        <v>4.3638765376767585E-2</v>
      </c>
      <c r="E162" s="133">
        <f>LOOKUP($A162,'GDP data'!$A$2:$A$192,'GDP data'!S$2:S$192)</f>
        <v>5.5522280108942779E-2</v>
      </c>
      <c r="F162" s="133">
        <f>LOOKUP($A162,'GDP data'!$A$2:$A$192,'GDP data'!T$2:T$192)</f>
        <v>5.6418629550321064E-2</v>
      </c>
      <c r="G162" s="133">
        <f>LOOKUP($A162,'GDP data'!$A$2:$A$192,'GDP data'!U$2:U$192)</f>
        <v>5.7956105990199625E-2</v>
      </c>
      <c r="H162" s="133">
        <f>LOOKUP($A162,'GDP data'!$A$2:$A$192,'GDP data'!V$2:V$192)</f>
        <v>5.7688623213396184E-2</v>
      </c>
      <c r="I162" s="133">
        <f>LOOKUP($A162,'GDP data'!$A$2:$A$192,'GDP data'!W$2:W$192)</f>
        <v>5.7082691785164563E-2</v>
      </c>
      <c r="J162" s="851"/>
      <c r="K162" s="156"/>
      <c r="L162" s="158">
        <f>LOOKUP($A162,'GDP data'!$A$2:$A$192,'GDP data'!D$2:D$192)</f>
        <v>159.94999999999999</v>
      </c>
      <c r="M162" s="158">
        <f>LOOKUP($A162,'GDP data'!$A$2:$A$192,'GDP data'!E$2:E$192)</f>
        <v>169.57400000000001</v>
      </c>
      <c r="N162" s="158">
        <f>LOOKUP($A162,'GDP data'!$A$2:$A$192,'GDP data'!F$2:F$192)</f>
        <v>176.97399999999999</v>
      </c>
      <c r="O162" s="158">
        <f>LOOKUP($A162,'GDP data'!$A$2:$A$192,'GDP data'!G$2:G$192)</f>
        <v>186.8</v>
      </c>
      <c r="P162" s="158">
        <f>LOOKUP($A162,'GDP data'!$A$2:$A$192,'GDP data'!H$2:H$192)</f>
        <v>197.339</v>
      </c>
      <c r="Q162" s="158">
        <f>LOOKUP($A162,'GDP data'!$A$2:$A$192,'GDP data'!I$2:I$192)</f>
        <v>208.77600000000001</v>
      </c>
      <c r="R162" s="158">
        <f>LOOKUP($A162,'GDP data'!$A$2:$A$192,'GDP data'!J$2:J$192)</f>
        <v>220.82</v>
      </c>
      <c r="S162" s="158">
        <f>LOOKUP($A162,'GDP data'!$A$2:$A$192,'GDP data'!K$2:K$192)</f>
        <v>233.42500000000001</v>
      </c>
      <c r="T162" s="156"/>
      <c r="U162" s="156"/>
      <c r="V162" s="133">
        <f t="shared" si="77"/>
        <v>7.7385772648679617E-3</v>
      </c>
      <c r="W162" s="133">
        <f t="shared" si="78"/>
        <v>7.8991165421309194E-3</v>
      </c>
      <c r="X162" s="133">
        <f t="shared" si="79"/>
        <v>8.0112822668976427E-3</v>
      </c>
      <c r="Y162" s="133">
        <f t="shared" si="80"/>
        <v>8.1200346292526066E-3</v>
      </c>
      <c r="Z162" s="133">
        <f t="shared" si="81"/>
        <v>8.2156684256990114E-3</v>
      </c>
      <c r="AA162" s="133">
        <f t="shared" si="82"/>
        <v>8.3410484249127666E-3</v>
      </c>
      <c r="AB162" s="133">
        <f t="shared" si="83"/>
        <v>8.4790431283483757E-3</v>
      </c>
      <c r="AC162" s="133">
        <f t="shared" si="84"/>
        <v>8.6204744401871102E-3</v>
      </c>
      <c r="AD162" s="156"/>
      <c r="AE162" s="156"/>
      <c r="AF162" s="159">
        <f t="shared" si="69"/>
        <v>2.6536353912843321E-4</v>
      </c>
      <c r="AG162" s="159">
        <f t="shared" si="70"/>
        <v>4.7528038512952887E-4</v>
      </c>
      <c r="AH162" s="159">
        <f t="shared" si="71"/>
        <v>3.4960246721220498E-4</v>
      </c>
      <c r="AI162" s="159">
        <f t="shared" si="72"/>
        <v>4.5084283717967857E-4</v>
      </c>
      <c r="AJ162" s="159">
        <f t="shared" si="73"/>
        <v>4.6351675341778196E-4</v>
      </c>
      <c r="AK162" s="159">
        <f t="shared" si="74"/>
        <v>4.8341468658363195E-4</v>
      </c>
      <c r="AL162" s="159">
        <f t="shared" si="75"/>
        <v>4.8914432424142554E-4</v>
      </c>
      <c r="AM162" s="159">
        <f t="shared" si="76"/>
        <v>4.9207988551108989E-4</v>
      </c>
    </row>
    <row r="163" spans="1:39" hidden="1" outlineLevel="1">
      <c r="A163" s="160" t="s">
        <v>381</v>
      </c>
      <c r="B163" s="133">
        <f>LOOKUP($A163,'GDP data'!$A$2:$A$192,'GDP data'!P$2:P$192)</f>
        <v>1.2077674261982141E-2</v>
      </c>
      <c r="C163" s="133">
        <f>LOOKUP($A163,'GDP data'!$A$2:$A$192,'GDP data'!Q$2:Q$192)</f>
        <v>4.9907947563383459E-3</v>
      </c>
      <c r="D163" s="133">
        <f>LOOKUP($A163,'GDP data'!$A$2:$A$192,'GDP data'!R$2:R$192)</f>
        <v>-4.1604131720667348E-2</v>
      </c>
      <c r="E163" s="133">
        <f>LOOKUP($A163,'GDP data'!$A$2:$A$192,'GDP data'!S$2:S$192)</f>
        <v>-1.4876908550768064E-2</v>
      </c>
      <c r="F163" s="133">
        <f>LOOKUP($A163,'GDP data'!$A$2:$A$192,'GDP data'!T$2:T$192)</f>
        <v>3.8314982350328375E-2</v>
      </c>
      <c r="G163" s="133">
        <f>LOOKUP($A163,'GDP data'!$A$2:$A$192,'GDP data'!U$2:U$192)</f>
        <v>4.370046829971197E-2</v>
      </c>
      <c r="H163" s="133">
        <f>LOOKUP($A163,'GDP data'!$A$2:$A$192,'GDP data'!V$2:V$192)</f>
        <v>3.7858360118212975E-2</v>
      </c>
      <c r="I163" s="133">
        <f>LOOKUP($A163,'GDP data'!$A$2:$A$192,'GDP data'!W$2:W$192)</f>
        <v>3.4752244762221496E-2</v>
      </c>
      <c r="J163" s="851"/>
      <c r="K163" s="156"/>
      <c r="L163" s="158">
        <f>LOOKUP($A163,'GDP data'!$A$2:$A$192,'GDP data'!D$2:D$192)</f>
        <v>45.082999999999998</v>
      </c>
      <c r="M163" s="158">
        <f>LOOKUP($A163,'GDP data'!$A$2:$A$192,'GDP data'!E$2:E$192)</f>
        <v>45.308</v>
      </c>
      <c r="N163" s="158">
        <f>LOOKUP($A163,'GDP data'!$A$2:$A$192,'GDP data'!F$2:F$192)</f>
        <v>43.423000000000002</v>
      </c>
      <c r="O163" s="158">
        <f>LOOKUP($A163,'GDP data'!$A$2:$A$192,'GDP data'!G$2:G$192)</f>
        <v>42.777000000000001</v>
      </c>
      <c r="P163" s="158">
        <f>LOOKUP($A163,'GDP data'!$A$2:$A$192,'GDP data'!H$2:H$192)</f>
        <v>44.415999999999997</v>
      </c>
      <c r="Q163" s="158">
        <f>LOOKUP($A163,'GDP data'!$A$2:$A$192,'GDP data'!I$2:I$192)</f>
        <v>46.356999999999999</v>
      </c>
      <c r="R163" s="158">
        <f>LOOKUP($A163,'GDP data'!$A$2:$A$192,'GDP data'!J$2:J$192)</f>
        <v>48.112000000000002</v>
      </c>
      <c r="S163" s="158">
        <f>LOOKUP($A163,'GDP data'!$A$2:$A$192,'GDP data'!K$2:K$192)</f>
        <v>49.783999999999999</v>
      </c>
      <c r="T163" s="156"/>
      <c r="U163" s="156"/>
      <c r="V163" s="133">
        <f t="shared" si="77"/>
        <v>2.1811708585935752E-3</v>
      </c>
      <c r="W163" s="133">
        <f t="shared" si="78"/>
        <v>2.110542726425441E-3</v>
      </c>
      <c r="X163" s="133">
        <f t="shared" si="79"/>
        <v>1.9656780650010529E-3</v>
      </c>
      <c r="Y163" s="133">
        <f t="shared" si="80"/>
        <v>1.8594792362716208E-3</v>
      </c>
      <c r="Z163" s="133">
        <f t="shared" si="81"/>
        <v>1.8491384308010441E-3</v>
      </c>
      <c r="AA163" s="133">
        <f t="shared" si="82"/>
        <v>1.8520614526271271E-3</v>
      </c>
      <c r="AB163" s="133">
        <f t="shared" si="83"/>
        <v>1.8474038718915725E-3</v>
      </c>
      <c r="AC163" s="133">
        <f t="shared" si="84"/>
        <v>1.8385421421453362E-3</v>
      </c>
      <c r="AD163" s="156"/>
      <c r="AE163" s="156"/>
      <c r="AF163" s="159">
        <f t="shared" si="69"/>
        <v>2.6343471139821111E-5</v>
      </c>
      <c r="AG163" s="159">
        <f t="shared" si="70"/>
        <v>1.0533285572072128E-5</v>
      </c>
      <c r="AH163" s="159">
        <f t="shared" si="71"/>
        <v>-8.1780329136730314E-5</v>
      </c>
      <c r="AI163" s="159">
        <f t="shared" si="72"/>
        <v>-2.7663302550064946E-5</v>
      </c>
      <c r="AJ163" s="159">
        <f t="shared" si="73"/>
        <v>7.0849706339455918E-5</v>
      </c>
      <c r="AK163" s="159">
        <f t="shared" si="74"/>
        <v>8.0935952799650264E-5</v>
      </c>
      <c r="AL163" s="159">
        <f t="shared" si="75"/>
        <v>6.9939681065852135E-5</v>
      </c>
      <c r="AM163" s="159">
        <f t="shared" si="76"/>
        <v>6.3893466529493754E-5</v>
      </c>
    </row>
    <row r="164" spans="1:39" hidden="1" outlineLevel="1">
      <c r="A164" s="160" t="s">
        <v>390</v>
      </c>
      <c r="B164" s="133">
        <f>LOOKUP($A164,'GDP data'!$A$2:$A$192,'GDP data'!P$2:P$192)</f>
        <v>4.4100290567055112E-2</v>
      </c>
      <c r="C164" s="133">
        <f>LOOKUP($A164,'GDP data'!$A$2:$A$192,'GDP data'!Q$2:Q$192)</f>
        <v>3.9770249489315956E-2</v>
      </c>
      <c r="D164" s="133">
        <f>LOOKUP($A164,'GDP data'!$A$2:$A$192,'GDP data'!R$2:R$192)</f>
        <v>2.779969868713672E-2</v>
      </c>
      <c r="E164" s="133">
        <f>LOOKUP($A164,'GDP data'!$A$2:$A$192,'GDP data'!S$2:S$192)</f>
        <v>3.9608149502401435E-2</v>
      </c>
      <c r="F164" s="133">
        <f>LOOKUP($A164,'GDP data'!$A$2:$A$192,'GDP data'!T$2:T$192)</f>
        <v>4.3271582207122794E-2</v>
      </c>
      <c r="G164" s="133">
        <f>LOOKUP($A164,'GDP data'!$A$2:$A$192,'GDP data'!U$2:U$192)</f>
        <v>4.0814932306796559E-2</v>
      </c>
      <c r="H164" s="133">
        <f>LOOKUP($A164,'GDP data'!$A$2:$A$192,'GDP data'!V$2:V$192)</f>
        <v>3.9093111724366469E-2</v>
      </c>
      <c r="I164" s="133">
        <f>LOOKUP($A164,'GDP data'!$A$2:$A$192,'GDP data'!W$2:W$192)</f>
        <v>3.8184445625420782E-2</v>
      </c>
      <c r="J164" s="851"/>
      <c r="K164" s="156"/>
      <c r="L164" s="158">
        <f>LOOKUP($A164,'GDP data'!$A$2:$A$192,'GDP data'!D$2:D$192)</f>
        <v>17427.599999999999</v>
      </c>
      <c r="M164" s="158">
        <f>LOOKUP($A164,'GDP data'!$A$2:$A$192,'GDP data'!E$2:E$192)</f>
        <v>18120.7</v>
      </c>
      <c r="N164" s="158">
        <f>LOOKUP($A164,'GDP data'!$A$2:$A$192,'GDP data'!F$2:F$192)</f>
        <v>18624.45</v>
      </c>
      <c r="O164" s="158">
        <f>LOOKUP($A164,'GDP data'!$A$2:$A$192,'GDP data'!G$2:G$192)</f>
        <v>19362.13</v>
      </c>
      <c r="P164" s="158">
        <f>LOOKUP($A164,'GDP data'!$A$2:$A$192,'GDP data'!H$2:H$192)</f>
        <v>20199.96</v>
      </c>
      <c r="Q164" s="158">
        <f>LOOKUP($A164,'GDP data'!$A$2:$A$192,'GDP data'!I$2:I$192)</f>
        <v>21024.42</v>
      </c>
      <c r="R164" s="158">
        <f>LOOKUP($A164,'GDP data'!$A$2:$A$192,'GDP data'!J$2:J$192)</f>
        <v>21846.33</v>
      </c>
      <c r="S164" s="158">
        <f>LOOKUP($A164,'GDP data'!$A$2:$A$192,'GDP data'!K$2:K$192)</f>
        <v>22680.52</v>
      </c>
      <c r="T164" s="156"/>
      <c r="U164" s="156"/>
      <c r="V164" s="133">
        <f t="shared" si="77"/>
        <v>0.84316867234268766</v>
      </c>
      <c r="W164" s="133">
        <f t="shared" si="78"/>
        <v>0.84410063526832979</v>
      </c>
      <c r="X164" s="133">
        <f t="shared" si="79"/>
        <v>0.84309404780206021</v>
      </c>
      <c r="Y164" s="133">
        <f t="shared" si="80"/>
        <v>0.84165506475423335</v>
      </c>
      <c r="Z164" s="133">
        <f t="shared" si="81"/>
        <v>0.84096997335743562</v>
      </c>
      <c r="AA164" s="133">
        <f t="shared" si="82"/>
        <v>0.83997061599850764</v>
      </c>
      <c r="AB164" s="133">
        <f t="shared" si="83"/>
        <v>0.83885505962381568</v>
      </c>
      <c r="AC164" s="133">
        <f t="shared" si="84"/>
        <v>0.83760026968042223</v>
      </c>
      <c r="AD164" s="156"/>
      <c r="AE164" s="156"/>
      <c r="AF164" s="159">
        <f t="shared" si="69"/>
        <v>3.7183983447350612E-2</v>
      </c>
      <c r="AG164" s="159">
        <f t="shared" si="70"/>
        <v>3.357009285871157E-2</v>
      </c>
      <c r="AH164" s="159">
        <f t="shared" si="71"/>
        <v>2.3437760493815716E-2</v>
      </c>
      <c r="AI164" s="159">
        <f t="shared" si="72"/>
        <v>3.3336399634239032E-2</v>
      </c>
      <c r="AJ164" s="159">
        <f t="shared" si="73"/>
        <v>3.6390101335858141E-2</v>
      </c>
      <c r="AK164" s="159">
        <f t="shared" si="74"/>
        <v>3.4283343831677297E-2</v>
      </c>
      <c r="AL164" s="159">
        <f t="shared" si="75"/>
        <v>3.2793454566423921E-2</v>
      </c>
      <c r="AM164" s="159">
        <f t="shared" si="76"/>
        <v>3.1983301953449866E-2</v>
      </c>
    </row>
    <row r="165" spans="1:39" s="156" customFormat="1" hidden="1" outlineLevel="1">
      <c r="A165" s="160"/>
      <c r="B165" s="133"/>
      <c r="C165" s="133"/>
      <c r="D165" s="133"/>
      <c r="E165" s="133"/>
      <c r="F165" s="133"/>
      <c r="G165" s="133"/>
      <c r="H165" s="133"/>
      <c r="I165" s="133"/>
      <c r="L165" s="158"/>
      <c r="M165" s="158"/>
      <c r="N165" s="158"/>
      <c r="O165" s="158"/>
      <c r="P165" s="158"/>
      <c r="Q165" s="158"/>
      <c r="R165" s="158"/>
      <c r="S165" s="158"/>
      <c r="V165" s="133"/>
      <c r="W165" s="133"/>
      <c r="X165" s="133"/>
      <c r="Y165" s="133"/>
      <c r="Z165" s="133"/>
      <c r="AA165" s="133"/>
      <c r="AB165" s="133"/>
      <c r="AC165" s="133"/>
      <c r="AE165" s="958" t="s">
        <v>403</v>
      </c>
      <c r="AF165" s="959">
        <f>SUM(AF149:AF164)</f>
        <v>4.3399920208019693E-2</v>
      </c>
      <c r="AG165" s="959">
        <f t="shared" ref="AG165:AM165" si="85">SUM(AG149:AG164)</f>
        <v>3.8660141560326031E-2</v>
      </c>
      <c r="AH165" s="959">
        <f t="shared" si="85"/>
        <v>2.9063211232815044E-2</v>
      </c>
      <c r="AI165" s="959">
        <f t="shared" si="85"/>
        <v>4.1416253953199755E-2</v>
      </c>
      <c r="AJ165" s="959">
        <f t="shared" si="85"/>
        <v>4.4136604290805591E-2</v>
      </c>
      <c r="AK165" s="959">
        <f t="shared" si="85"/>
        <v>4.2079363634159019E-2</v>
      </c>
      <c r="AL165" s="959">
        <f t="shared" si="85"/>
        <v>4.0502143593501044E-2</v>
      </c>
      <c r="AM165" s="959">
        <f t="shared" si="85"/>
        <v>3.9768921793917916E-2</v>
      </c>
    </row>
    <row r="166" spans="1:39" s="156" customFormat="1" hidden="1" outlineLevel="1">
      <c r="A166" s="160"/>
      <c r="B166" s="133"/>
      <c r="C166" s="133"/>
      <c r="D166" s="133"/>
      <c r="E166" s="133"/>
      <c r="F166" s="133"/>
      <c r="G166" s="133"/>
      <c r="H166" s="133"/>
      <c r="I166" s="133"/>
      <c r="L166" s="158"/>
      <c r="M166" s="158"/>
      <c r="N166" s="158"/>
      <c r="O166" s="158"/>
      <c r="P166" s="158"/>
      <c r="Q166" s="158"/>
      <c r="R166" s="158"/>
      <c r="S166" s="158"/>
      <c r="V166" s="133"/>
      <c r="W166" s="133"/>
      <c r="X166" s="133"/>
      <c r="Y166" s="133"/>
      <c r="Z166" s="133"/>
      <c r="AA166" s="133"/>
      <c r="AB166" s="133"/>
      <c r="AC166" s="133"/>
      <c r="AE166" s="958" t="s">
        <v>404</v>
      </c>
      <c r="AF166" s="959">
        <f t="shared" ref="AF166:AM166" si="86">AF165^1/4</f>
        <v>1.0849980052004923E-2</v>
      </c>
      <c r="AG166" s="959">
        <f t="shared" si="86"/>
        <v>9.6650353900815077E-3</v>
      </c>
      <c r="AH166" s="959">
        <f t="shared" si="86"/>
        <v>7.2658028082037609E-3</v>
      </c>
      <c r="AI166" s="959">
        <f t="shared" si="86"/>
        <v>1.0354063488299939E-2</v>
      </c>
      <c r="AJ166" s="959">
        <f t="shared" si="86"/>
        <v>1.1034151072701398E-2</v>
      </c>
      <c r="AK166" s="959">
        <f t="shared" si="86"/>
        <v>1.0519840908539755E-2</v>
      </c>
      <c r="AL166" s="959">
        <f t="shared" si="86"/>
        <v>1.0125535898375261E-2</v>
      </c>
      <c r="AM166" s="959">
        <f t="shared" si="86"/>
        <v>9.9422304484794791E-3</v>
      </c>
    </row>
    <row r="167" spans="1:39" s="156" customFormat="1" hidden="1" outlineLevel="1">
      <c r="A167" s="160"/>
      <c r="B167" s="133"/>
      <c r="C167" s="133"/>
      <c r="D167" s="133"/>
      <c r="E167" s="133"/>
      <c r="F167" s="133"/>
      <c r="G167" s="133"/>
      <c r="H167" s="133"/>
      <c r="I167" s="133"/>
      <c r="L167" s="158"/>
      <c r="M167" s="158"/>
      <c r="N167" s="158"/>
      <c r="O167" s="158"/>
      <c r="P167" s="158"/>
      <c r="Q167" s="158"/>
      <c r="R167" s="158"/>
      <c r="S167" s="158"/>
      <c r="V167" s="133"/>
      <c r="W167" s="133"/>
      <c r="X167" s="133"/>
      <c r="Y167" s="133"/>
      <c r="Z167" s="133"/>
      <c r="AA167" s="133"/>
      <c r="AB167" s="133"/>
      <c r="AC167" s="133"/>
      <c r="AF167" s="159"/>
      <c r="AG167" s="159"/>
      <c r="AH167" s="159"/>
      <c r="AI167" s="159"/>
      <c r="AJ167" s="159"/>
      <c r="AK167" s="159"/>
      <c r="AL167" s="159"/>
      <c r="AM167" s="159"/>
    </row>
    <row r="168" spans="1:39" collapsed="1">
      <c r="A168" s="162" t="s">
        <v>408</v>
      </c>
      <c r="B168" s="133"/>
      <c r="C168" s="133"/>
      <c r="D168" s="133"/>
      <c r="E168" s="133"/>
      <c r="F168" s="133"/>
      <c r="G168" s="133"/>
      <c r="H168" s="133"/>
      <c r="I168" s="133"/>
      <c r="J168" s="156"/>
      <c r="K168" s="156"/>
      <c r="L168" s="158"/>
      <c r="M168" s="158"/>
      <c r="N168" s="158"/>
      <c r="O168" s="158"/>
      <c r="P168" s="158"/>
      <c r="Q168" s="158"/>
      <c r="R168" s="158"/>
      <c r="S168" s="158"/>
      <c r="T168" s="156"/>
      <c r="U168" s="156"/>
      <c r="V168" s="133"/>
      <c r="W168" s="133"/>
      <c r="X168" s="133"/>
      <c r="Y168" s="133"/>
      <c r="Z168" s="133"/>
      <c r="AA168" s="133"/>
      <c r="AB168" s="133"/>
      <c r="AC168" s="133"/>
      <c r="AD168" s="156"/>
      <c r="AE168" s="156"/>
      <c r="AF168" s="159"/>
      <c r="AG168" s="159"/>
      <c r="AH168" s="159"/>
      <c r="AI168" s="159"/>
      <c r="AJ168" s="159"/>
      <c r="AK168" s="159"/>
      <c r="AL168" s="159"/>
      <c r="AM168" s="159"/>
    </row>
    <row r="169" spans="1:39" hidden="1" outlineLevel="1">
      <c r="A169" s="160" t="s">
        <v>214</v>
      </c>
      <c r="B169" s="133">
        <f>LOOKUP($A169,'GDP data'!$A$2:$A$192,'GDP data'!P$2:P$192)</f>
        <v>-7.6288260725595469E-3</v>
      </c>
      <c r="C169" s="133">
        <f>LOOKUP($A169,'GDP data'!$A$2:$A$192,'GDP data'!Q$2:Q$192)</f>
        <v>3.7603172271992946E-2</v>
      </c>
      <c r="D169" s="133">
        <f>LOOKUP($A169,'GDP data'!$A$2:$A$192,'GDP data'!R$2:R$192)</f>
        <v>-9.9815429212006812E-3</v>
      </c>
      <c r="E169" s="133">
        <f>LOOKUP($A169,'GDP data'!$A$2:$A$192,'GDP data'!S$2:S$192)</f>
        <v>4.2491550528127586E-2</v>
      </c>
      <c r="F169" s="133">
        <f>LOOKUP($A169,'GDP data'!$A$2:$A$192,'GDP data'!T$2:T$192)</f>
        <v>4.4980284508692625E-2</v>
      </c>
      <c r="G169" s="133">
        <f>LOOKUP($A169,'GDP data'!$A$2:$A$192,'GDP data'!U$2:U$192)</f>
        <v>4.8420727712543465E-2</v>
      </c>
      <c r="H169" s="133">
        <f>LOOKUP($A169,'GDP data'!$A$2:$A$192,'GDP data'!V$2:V$192)</f>
        <v>5.3082217502200546E-2</v>
      </c>
      <c r="I169" s="133">
        <f>LOOKUP($A169,'GDP data'!$A$2:$A$192,'GDP data'!W$2:W$192)</f>
        <v>5.3081524168164584E-2</v>
      </c>
      <c r="J169" s="156"/>
      <c r="K169" s="156"/>
      <c r="L169" s="158">
        <f>LOOKUP($A169,'GDP data'!$A$2:$A$192,'GDP data'!D$2:D$192)</f>
        <v>851.125</v>
      </c>
      <c r="M169" s="158">
        <f>LOOKUP($A169,'GDP data'!$A$2:$A$192,'GDP data'!E$2:E$192)</f>
        <v>883.13</v>
      </c>
      <c r="N169" s="158">
        <f>LOOKUP($A169,'GDP data'!$A$2:$A$192,'GDP data'!F$2:F$192)</f>
        <v>874.31500000000005</v>
      </c>
      <c r="O169" s="158">
        <f>LOOKUP($A169,'GDP data'!$A$2:$A$192,'GDP data'!G$2:G$192)</f>
        <v>911.46600000000001</v>
      </c>
      <c r="P169" s="158">
        <f>LOOKUP($A169,'GDP data'!$A$2:$A$192,'GDP data'!H$2:H$192)</f>
        <v>952.46400000000006</v>
      </c>
      <c r="Q169" s="158">
        <f>LOOKUP($A169,'GDP data'!$A$2:$A$192,'GDP data'!I$2:I$192)</f>
        <v>998.58299999999997</v>
      </c>
      <c r="R169" s="158">
        <f>LOOKUP($A169,'GDP data'!$A$2:$A$192,'GDP data'!J$2:J$192)</f>
        <v>1051.5899999999999</v>
      </c>
      <c r="S169" s="158">
        <f>LOOKUP($A169,'GDP data'!$A$2:$A$192,'GDP data'!K$2:K$192)</f>
        <v>1107.4100000000001</v>
      </c>
      <c r="T169" s="156"/>
      <c r="U169" s="156"/>
      <c r="V169" s="133">
        <f>L169/SUM(L$169:L$188)</f>
        <v>9.723143589282536E-2</v>
      </c>
      <c r="W169" s="133">
        <f t="shared" ref="W169:AC169" si="87">M169/SUM(M$169:M$188)</f>
        <v>9.9897413784424599E-2</v>
      </c>
      <c r="X169" s="133">
        <f t="shared" si="87"/>
        <v>9.8061328384628013E-2</v>
      </c>
      <c r="Y169" s="133">
        <f t="shared" si="87"/>
        <v>9.8885647907961643E-2</v>
      </c>
      <c r="Z169" s="133">
        <f t="shared" si="87"/>
        <v>9.9250781974626459E-2</v>
      </c>
      <c r="AA169" s="133">
        <f t="shared" si="87"/>
        <v>9.9299887084977639E-2</v>
      </c>
      <c r="AB169" s="133">
        <f t="shared" si="87"/>
        <v>9.9687105024245645E-2</v>
      </c>
      <c r="AC169" s="133">
        <f t="shared" si="87"/>
        <v>0.10007898522958129</v>
      </c>
      <c r="AD169" s="156"/>
      <c r="AE169" s="156"/>
      <c r="AF169" s="159">
        <f>V169*B169</f>
        <v>-7.4176171321158827E-4</v>
      </c>
      <c r="AG169" s="159">
        <f t="shared" si="70"/>
        <v>3.7564596600622811E-3</v>
      </c>
      <c r="AH169" s="159">
        <f t="shared" si="71"/>
        <v>-9.7880335818111919E-4</v>
      </c>
      <c r="AI169" s="159">
        <f t="shared" si="72"/>
        <v>4.2018045045877864E-3</v>
      </c>
      <c r="AJ169" s="159">
        <f t="shared" si="73"/>
        <v>4.4643284109289194E-3</v>
      </c>
      <c r="AK169" s="159">
        <f t="shared" si="74"/>
        <v>4.8081727944280141E-3</v>
      </c>
      <c r="AL169" s="159">
        <f t="shared" si="75"/>
        <v>5.2916125910617163E-3</v>
      </c>
      <c r="AM169" s="159">
        <f t="shared" si="76"/>
        <v>5.3123450731894055E-3</v>
      </c>
    </row>
    <row r="170" spans="1:39" hidden="1" outlineLevel="1">
      <c r="A170" s="160" t="s">
        <v>228</v>
      </c>
      <c r="B170" s="133">
        <f>LOOKUP($A170,'GDP data'!$A$2:$A$192,'GDP data'!P$2:P$192)</f>
        <v>7.352716844128504E-2</v>
      </c>
      <c r="C170" s="133">
        <f>LOOKUP($A170,'GDP data'!$A$2:$A$192,'GDP data'!Q$2:Q$192)</f>
        <v>5.9936908517350229E-2</v>
      </c>
      <c r="D170" s="133">
        <f>LOOKUP($A170,'GDP data'!$A$2:$A$192,'GDP data'!R$2:R$192)</f>
        <v>5.5944337194337113E-2</v>
      </c>
      <c r="E170" s="133">
        <f>LOOKUP($A170,'GDP data'!$A$2:$A$192,'GDP data'!S$2:S$192)</f>
        <v>6.0153621532406554E-2</v>
      </c>
      <c r="F170" s="133">
        <f>LOOKUP($A170,'GDP data'!$A$2:$A$192,'GDP data'!T$2:T$192)</f>
        <v>6.0189454271103893E-2</v>
      </c>
      <c r="G170" s="133">
        <f>LOOKUP($A170,'GDP data'!$A$2:$A$192,'GDP data'!U$2:U$192)</f>
        <v>6.0149781427554894E-2</v>
      </c>
      <c r="H170" s="133">
        <f>LOOKUP($A170,'GDP data'!$A$2:$A$192,'GDP data'!V$2:V$192)</f>
        <v>5.8814754831973071E-2</v>
      </c>
      <c r="I170" s="133">
        <f>LOOKUP($A170,'GDP data'!$A$2:$A$192,'GDP data'!W$2:W$192)</f>
        <v>5.8536438102521959E-2</v>
      </c>
      <c r="J170" s="851"/>
      <c r="K170" s="156"/>
      <c r="L170" s="158">
        <f>LOOKUP($A170,'GDP data'!$A$2:$A$192,'GDP data'!D$2:D$192)</f>
        <v>70.373999999999995</v>
      </c>
      <c r="M170" s="158">
        <f>LOOKUP($A170,'GDP data'!$A$2:$A$192,'GDP data'!E$2:E$192)</f>
        <v>74.591999999999999</v>
      </c>
      <c r="N170" s="158">
        <f>LOOKUP($A170,'GDP data'!$A$2:$A$192,'GDP data'!F$2:F$192)</f>
        <v>78.765000000000001</v>
      </c>
      <c r="O170" s="158">
        <f>LOOKUP($A170,'GDP data'!$A$2:$A$192,'GDP data'!G$2:G$192)</f>
        <v>83.503</v>
      </c>
      <c r="P170" s="158">
        <f>LOOKUP($A170,'GDP data'!$A$2:$A$192,'GDP data'!H$2:H$192)</f>
        <v>88.528999999999996</v>
      </c>
      <c r="Q170" s="158">
        <f>LOOKUP($A170,'GDP data'!$A$2:$A$192,'GDP data'!I$2:I$192)</f>
        <v>93.853999999999999</v>
      </c>
      <c r="R170" s="158">
        <f>LOOKUP($A170,'GDP data'!$A$2:$A$192,'GDP data'!J$2:J$192)</f>
        <v>99.373999999999995</v>
      </c>
      <c r="S170" s="158">
        <f>LOOKUP($A170,'GDP data'!$A$2:$A$192,'GDP data'!K$2:K$192)</f>
        <v>105.191</v>
      </c>
      <c r="T170" s="156"/>
      <c r="U170" s="156"/>
      <c r="V170" s="133">
        <f t="shared" ref="V170:V188" si="88">L170/SUM(L$169:L$188)</f>
        <v>8.0394361222167025E-3</v>
      </c>
      <c r="W170" s="133">
        <f t="shared" ref="W170:W188" si="89">M170/SUM(M$169:M$188)</f>
        <v>8.4376568444145261E-3</v>
      </c>
      <c r="X170" s="133">
        <f t="shared" ref="X170:X188" si="90">N170/SUM(N$169:N$188)</f>
        <v>8.8341164571295542E-3</v>
      </c>
      <c r="Y170" s="133">
        <f t="shared" ref="Y170:Y188" si="91">O170/SUM(O$169:O$188)</f>
        <v>9.0593047434117356E-3</v>
      </c>
      <c r="Z170" s="133">
        <f t="shared" ref="Z170:Z188" si="92">P170/SUM(P$169:P$188)</f>
        <v>9.2250966728734153E-3</v>
      </c>
      <c r="AA170" s="133">
        <f t="shared" ref="AA170:AA188" si="93">Q170/SUM(Q$169:Q$188)</f>
        <v>9.3329163449342636E-3</v>
      </c>
      <c r="AB170" s="133">
        <f t="shared" ref="AB170:AB188" si="94">R170/SUM(R$169:R$188)</f>
        <v>9.420312455119758E-3</v>
      </c>
      <c r="AC170" s="133">
        <f t="shared" ref="AC170:AC188" si="95">S170/SUM(S$169:S$188)</f>
        <v>9.5063332779050987E-3</v>
      </c>
      <c r="AD170" s="156"/>
      <c r="AE170" s="156"/>
      <c r="AF170" s="159">
        <f t="shared" si="69"/>
        <v>5.9111697393117891E-4</v>
      </c>
      <c r="AG170" s="159">
        <f t="shared" si="70"/>
        <v>5.0572706638446745E-4</v>
      </c>
      <c r="AH170" s="159">
        <f t="shared" si="71"/>
        <v>4.9421878989169853E-4</v>
      </c>
      <c r="AI170" s="159">
        <f t="shared" si="72"/>
        <v>5.44949988881925E-4</v>
      </c>
      <c r="AJ170" s="159">
        <f t="shared" si="73"/>
        <v>5.5525353433842715E-4</v>
      </c>
      <c r="AK170" s="159">
        <f t="shared" si="74"/>
        <v>5.6137287822945051E-4</v>
      </c>
      <c r="AL170" s="159">
        <f t="shared" si="75"/>
        <v>5.540533674884509E-4</v>
      </c>
      <c r="AM170" s="159">
        <f t="shared" si="76"/>
        <v>5.5646688950403654E-4</v>
      </c>
    </row>
    <row r="171" spans="1:39" hidden="1" outlineLevel="1">
      <c r="A171" s="160" t="s">
        <v>231</v>
      </c>
      <c r="B171" s="133">
        <f>LOOKUP($A171,'GDP data'!$A$2:$A$192,'GDP data'!P$2:P$192)</f>
        <v>2.3077732262416051E-2</v>
      </c>
      <c r="C171" s="133">
        <f>LOOKUP($A171,'GDP data'!$A$2:$A$192,'GDP data'!Q$2:Q$192)</f>
        <v>-2.7256699256965389E-2</v>
      </c>
      <c r="D171" s="133">
        <f>LOOKUP($A171,'GDP data'!$A$2:$A$192,'GDP data'!R$2:R$192)</f>
        <v>-2.3649341847552297E-2</v>
      </c>
      <c r="E171" s="133">
        <f>LOOKUP($A171,'GDP data'!$A$2:$A$192,'GDP data'!S$2:S$192)</f>
        <v>2.5034150504217534E-2</v>
      </c>
      <c r="F171" s="133">
        <f>LOOKUP($A171,'GDP data'!$A$2:$A$192,'GDP data'!T$2:T$192)</f>
        <v>3.4583878252819833E-2</v>
      </c>
      <c r="G171" s="133">
        <f>LOOKUP($A171,'GDP data'!$A$2:$A$192,'GDP data'!U$2:U$192)</f>
        <v>4.1618875470655681E-2</v>
      </c>
      <c r="H171" s="133">
        <f>LOOKUP($A171,'GDP data'!$A$2:$A$192,'GDP data'!V$2:V$192)</f>
        <v>4.1800828464112705E-2</v>
      </c>
      <c r="I171" s="133">
        <f>LOOKUP($A171,'GDP data'!$A$2:$A$192,'GDP data'!W$2:W$192)</f>
        <v>4.1545842925447163E-2</v>
      </c>
      <c r="J171" s="851"/>
      <c r="K171" s="156"/>
      <c r="L171" s="158">
        <f>LOOKUP($A171,'GDP data'!$A$2:$A$192,'GDP data'!D$2:D$192)</f>
        <v>3306.71</v>
      </c>
      <c r="M171" s="158">
        <f>LOOKUP($A171,'GDP data'!$A$2:$A$192,'GDP data'!E$2:E$192)</f>
        <v>3216.58</v>
      </c>
      <c r="N171" s="158">
        <f>LOOKUP($A171,'GDP data'!$A$2:$A$192,'GDP data'!F$2:F$192)</f>
        <v>3140.51</v>
      </c>
      <c r="O171" s="158">
        <f>LOOKUP($A171,'GDP data'!$A$2:$A$192,'GDP data'!G$2:G$192)</f>
        <v>3219.13</v>
      </c>
      <c r="P171" s="158">
        <f>LOOKUP($A171,'GDP data'!$A$2:$A$192,'GDP data'!H$2:H$192)</f>
        <v>3330.46</v>
      </c>
      <c r="Q171" s="158">
        <f>LOOKUP($A171,'GDP data'!$A$2:$A$192,'GDP data'!I$2:I$192)</f>
        <v>3469.07</v>
      </c>
      <c r="R171" s="158">
        <f>LOOKUP($A171,'GDP data'!$A$2:$A$192,'GDP data'!J$2:J$192)</f>
        <v>3614.08</v>
      </c>
      <c r="S171" s="158">
        <f>LOOKUP($A171,'GDP data'!$A$2:$A$192,'GDP data'!K$2:K$192)</f>
        <v>3764.23</v>
      </c>
      <c r="T171" s="156"/>
      <c r="U171" s="156"/>
      <c r="V171" s="133">
        <f t="shared" si="88"/>
        <v>0.37775433852978652</v>
      </c>
      <c r="W171" s="133">
        <f t="shared" si="89"/>
        <v>0.36385132792533881</v>
      </c>
      <c r="X171" s="133">
        <f t="shared" si="90"/>
        <v>0.35223298514289259</v>
      </c>
      <c r="Y171" s="133">
        <f t="shared" si="91"/>
        <v>0.34924589150879637</v>
      </c>
      <c r="Z171" s="133">
        <f t="shared" si="92"/>
        <v>0.34704803471334811</v>
      </c>
      <c r="AA171" s="133">
        <f t="shared" si="93"/>
        <v>0.34496707763889772</v>
      </c>
      <c r="AB171" s="133">
        <f t="shared" si="94"/>
        <v>0.34260231889427029</v>
      </c>
      <c r="AC171" s="133">
        <f t="shared" si="95"/>
        <v>0.34018143106053472</v>
      </c>
      <c r="AD171" s="156"/>
      <c r="AE171" s="156"/>
      <c r="AF171" s="159">
        <f t="shared" si="69"/>
        <v>8.7177134855564893E-3</v>
      </c>
      <c r="AG171" s="159">
        <f t="shared" si="70"/>
        <v>-9.9173862195084516E-3</v>
      </c>
      <c r="AH171" s="159">
        <f t="shared" si="71"/>
        <v>-8.3300782756280754E-3</v>
      </c>
      <c r="AI171" s="159">
        <f t="shared" si="72"/>
        <v>8.7430742110108373E-3</v>
      </c>
      <c r="AJ171" s="159">
        <f t="shared" si="73"/>
        <v>1.2002266980406823E-2</v>
      </c>
      <c r="AK171" s="159">
        <f t="shared" si="74"/>
        <v>1.4357141845729294E-2</v>
      </c>
      <c r="AL171" s="159">
        <f t="shared" si="75"/>
        <v>1.4321060763506631E-2</v>
      </c>
      <c r="AM171" s="159">
        <f t="shared" si="76"/>
        <v>1.4133124300994808E-2</v>
      </c>
    </row>
    <row r="172" spans="1:39" hidden="1" outlineLevel="1">
      <c r="A172" s="160" t="s">
        <v>242</v>
      </c>
      <c r="B172" s="133">
        <f>LOOKUP($A172,'GDP data'!$A$2:$A$192,'GDP data'!P$2:P$192)</f>
        <v>3.739138752126947E-2</v>
      </c>
      <c r="C172" s="133">
        <f>LOOKUP($A172,'GDP data'!$A$2:$A$192,'GDP data'!Q$2:Q$192)</f>
        <v>3.3641562676669734E-2</v>
      </c>
      <c r="D172" s="133">
        <f>LOOKUP($A172,'GDP data'!$A$2:$A$192,'GDP data'!R$2:R$192)</f>
        <v>2.891756884911878E-2</v>
      </c>
      <c r="E172" s="133">
        <f>LOOKUP($A172,'GDP data'!$A$2:$A$192,'GDP data'!S$2:S$192)</f>
        <v>3.1419752100619869E-2</v>
      </c>
      <c r="F172" s="133">
        <f>LOOKUP($A172,'GDP data'!$A$2:$A$192,'GDP data'!T$2:T$192)</f>
        <v>4.4941881684159357E-2</v>
      </c>
      <c r="G172" s="133">
        <f>LOOKUP($A172,'GDP data'!$A$2:$A$192,'GDP data'!U$2:U$192)</f>
        <v>4.9412272735932294E-2</v>
      </c>
      <c r="H172" s="133">
        <f>LOOKUP($A172,'GDP data'!$A$2:$A$192,'GDP data'!V$2:V$192)</f>
        <v>5.0611591185986571E-2</v>
      </c>
      <c r="I172" s="133">
        <f>LOOKUP($A172,'GDP data'!$A$2:$A$192,'GDP data'!W$2:W$192)</f>
        <v>5.3046288065401237E-2</v>
      </c>
      <c r="J172" s="851"/>
      <c r="K172" s="156"/>
      <c r="L172" s="158">
        <f>LOOKUP($A172,'GDP data'!$A$2:$A$192,'GDP data'!D$2:D$192)</f>
        <v>412.13900000000001</v>
      </c>
      <c r="M172" s="158">
        <f>LOOKUP($A172,'GDP data'!$A$2:$A$192,'GDP data'!E$2:E$192)</f>
        <v>426.00400000000002</v>
      </c>
      <c r="N172" s="158">
        <f>LOOKUP($A172,'GDP data'!$A$2:$A$192,'GDP data'!F$2:F$192)</f>
        <v>438.32299999999998</v>
      </c>
      <c r="O172" s="158">
        <f>LOOKUP($A172,'GDP data'!$A$2:$A$192,'GDP data'!G$2:G$192)</f>
        <v>452.09500000000003</v>
      </c>
      <c r="P172" s="158">
        <f>LOOKUP($A172,'GDP data'!$A$2:$A$192,'GDP data'!H$2:H$192)</f>
        <v>472.41300000000001</v>
      </c>
      <c r="Q172" s="158">
        <f>LOOKUP($A172,'GDP data'!$A$2:$A$192,'GDP data'!I$2:I$192)</f>
        <v>495.75599999999997</v>
      </c>
      <c r="R172" s="158">
        <f>LOOKUP($A172,'GDP data'!$A$2:$A$192,'GDP data'!J$2:J$192)</f>
        <v>520.84699999999998</v>
      </c>
      <c r="S172" s="158">
        <f>LOOKUP($A172,'GDP data'!$A$2:$A$192,'GDP data'!K$2:K$192)</f>
        <v>548.476</v>
      </c>
      <c r="T172" s="156"/>
      <c r="U172" s="156"/>
      <c r="V172" s="133">
        <f t="shared" si="88"/>
        <v>4.7082234404386136E-2</v>
      </c>
      <c r="W172" s="133">
        <f t="shared" si="89"/>
        <v>4.8188486249838666E-2</v>
      </c>
      <c r="X172" s="133">
        <f t="shared" si="90"/>
        <v>4.9161384216827232E-2</v>
      </c>
      <c r="Y172" s="133">
        <f t="shared" si="91"/>
        <v>4.9048134533762007E-2</v>
      </c>
      <c r="Z172" s="133">
        <f t="shared" si="92"/>
        <v>4.9227435015894778E-2</v>
      </c>
      <c r="AA172" s="133">
        <f t="shared" si="93"/>
        <v>4.9298370612858591E-2</v>
      </c>
      <c r="AB172" s="133">
        <f t="shared" si="94"/>
        <v>4.9374499177971709E-2</v>
      </c>
      <c r="AC172" s="133">
        <f t="shared" si="95"/>
        <v>4.9566936819046087E-2</v>
      </c>
      <c r="AD172" s="156"/>
      <c r="AE172" s="156"/>
      <c r="AF172" s="159">
        <f t="shared" si="69"/>
        <v>1.7604700719816479E-3</v>
      </c>
      <c r="AG172" s="159">
        <f t="shared" si="70"/>
        <v>1.6211359804677852E-3</v>
      </c>
      <c r="AH172" s="159">
        <f t="shared" si="71"/>
        <v>1.4216277128080829E-3</v>
      </c>
      <c r="AI172" s="159">
        <f t="shared" si="72"/>
        <v>1.5410802280486548E-3</v>
      </c>
      <c r="AJ172" s="159">
        <f t="shared" si="73"/>
        <v>2.2123735600989864E-3</v>
      </c>
      <c r="AK172" s="159">
        <f t="shared" si="74"/>
        <v>2.4359445341596386E-3</v>
      </c>
      <c r="AL172" s="159">
        <f t="shared" si="75"/>
        <v>2.4989219674083343E-3</v>
      </c>
      <c r="AM172" s="159">
        <f t="shared" si="76"/>
        <v>2.6293420090226617E-3</v>
      </c>
    </row>
    <row r="173" spans="1:39" hidden="1" outlineLevel="1">
      <c r="A173" s="160" t="s">
        <v>244</v>
      </c>
      <c r="B173" s="133">
        <f>LOOKUP($A173,'GDP data'!$A$2:$A$192,'GDP data'!P$2:P$192)</f>
        <v>6.2673357225022874E-2</v>
      </c>
      <c r="C173" s="133">
        <f>LOOKUP($A173,'GDP data'!$A$2:$A$192,'GDP data'!Q$2:Q$192)</f>
        <v>4.1693351119497457E-2</v>
      </c>
      <c r="D173" s="133">
        <f>LOOKUP($A173,'GDP data'!$A$2:$A$192,'GDP data'!R$2:R$192)</f>
        <v>3.2609575792109657E-2</v>
      </c>
      <c r="E173" s="133">
        <f>LOOKUP($A173,'GDP data'!$A$2:$A$192,'GDP data'!S$2:S$192)</f>
        <v>3.4714951418526763E-2</v>
      </c>
      <c r="F173" s="133">
        <f>LOOKUP($A173,'GDP data'!$A$2:$A$192,'GDP data'!T$2:T$192)</f>
        <v>4.8391465497520825E-2</v>
      </c>
      <c r="G173" s="133">
        <f>LOOKUP($A173,'GDP data'!$A$2:$A$192,'GDP data'!U$2:U$192)</f>
        <v>5.7595204437876024E-2</v>
      </c>
      <c r="H173" s="133">
        <f>LOOKUP($A173,'GDP data'!$A$2:$A$192,'GDP data'!V$2:V$192)</f>
        <v>5.8302712869708007E-2</v>
      </c>
      <c r="I173" s="133">
        <f>LOOKUP($A173,'GDP data'!$A$2:$A$192,'GDP data'!W$2:W$192)</f>
        <v>5.8026984455413322E-2</v>
      </c>
      <c r="J173" s="851"/>
      <c r="K173" s="156"/>
      <c r="L173" s="158">
        <f>LOOKUP($A173,'GDP data'!$A$2:$A$192,'GDP data'!D$2:D$192)</f>
        <v>640.19799999999998</v>
      </c>
      <c r="M173" s="158">
        <f>LOOKUP($A173,'GDP data'!$A$2:$A$192,'GDP data'!E$2:E$192)</f>
        <v>666.89</v>
      </c>
      <c r="N173" s="158">
        <f>LOOKUP($A173,'GDP data'!$A$2:$A$192,'GDP data'!F$2:F$192)</f>
        <v>688.63699999999994</v>
      </c>
      <c r="O173" s="158">
        <f>LOOKUP($A173,'GDP data'!$A$2:$A$192,'GDP data'!G$2:G$192)</f>
        <v>712.54300000000001</v>
      </c>
      <c r="P173" s="158">
        <f>LOOKUP($A173,'GDP data'!$A$2:$A$192,'GDP data'!H$2:H$192)</f>
        <v>747.024</v>
      </c>
      <c r="Q173" s="158">
        <f>LOOKUP($A173,'GDP data'!$A$2:$A$192,'GDP data'!I$2:I$192)</f>
        <v>790.04899999999998</v>
      </c>
      <c r="R173" s="158">
        <f>LOOKUP($A173,'GDP data'!$A$2:$A$192,'GDP data'!J$2:J$192)</f>
        <v>836.11099999999999</v>
      </c>
      <c r="S173" s="158">
        <f>LOOKUP($A173,'GDP data'!$A$2:$A$192,'GDP data'!K$2:K$192)</f>
        <v>884.62800000000004</v>
      </c>
      <c r="T173" s="156"/>
      <c r="U173" s="156"/>
      <c r="V173" s="133">
        <f t="shared" si="88"/>
        <v>7.3135404077797048E-2</v>
      </c>
      <c r="W173" s="133">
        <f t="shared" si="89"/>
        <v>7.5436896355796909E-2</v>
      </c>
      <c r="X173" s="133">
        <f t="shared" si="90"/>
        <v>7.7236075092849923E-2</v>
      </c>
      <c r="Y173" s="133">
        <f t="shared" si="91"/>
        <v>7.7304338524182697E-2</v>
      </c>
      <c r="Z173" s="133">
        <f t="shared" si="92"/>
        <v>7.7843064046319174E-2</v>
      </c>
      <c r="AA173" s="133">
        <f t="shared" si="93"/>
        <v>7.8563100404873201E-2</v>
      </c>
      <c r="AB173" s="133">
        <f t="shared" si="94"/>
        <v>7.9260439019890883E-2</v>
      </c>
      <c r="AC173" s="133">
        <f t="shared" si="95"/>
        <v>7.9945704432571527E-2</v>
      </c>
      <c r="AD173" s="156"/>
      <c r="AE173" s="156"/>
      <c r="AF173" s="159">
        <f t="shared" si="69"/>
        <v>4.5836413055641689E-3</v>
      </c>
      <c r="AG173" s="159">
        <f t="shared" si="70"/>
        <v>3.1452170071273786E-3</v>
      </c>
      <c r="AH173" s="159">
        <f t="shared" si="71"/>
        <v>2.5186356446253626E-3</v>
      </c>
      <c r="AI173" s="159">
        <f t="shared" si="72"/>
        <v>2.6836163563083494E-3</v>
      </c>
      <c r="AJ173" s="159">
        <f t="shared" si="73"/>
        <v>3.7669399480187581E-3</v>
      </c>
      <c r="AK173" s="159">
        <f t="shared" si="74"/>
        <v>4.524857829092053E-3</v>
      </c>
      <c r="AL173" s="159">
        <f t="shared" si="75"/>
        <v>4.621098618103699E-3</v>
      </c>
      <c r="AM173" s="159">
        <f t="shared" si="76"/>
        <v>4.6390081483858956E-3</v>
      </c>
    </row>
    <row r="174" spans="1:39" hidden="1" outlineLevel="1">
      <c r="A174" s="160" t="s">
        <v>248</v>
      </c>
      <c r="B174" s="133">
        <f>LOOKUP($A174,'GDP data'!$A$2:$A$192,'GDP data'!P$2:P$192)</f>
        <v>3.7456445993031551E-2</v>
      </c>
      <c r="C174" s="133">
        <f>LOOKUP($A174,'GDP data'!$A$2:$A$192,'GDP data'!Q$2:Q$192)</f>
        <v>2.1830394626364491E-2</v>
      </c>
      <c r="D174" s="133">
        <f>LOOKUP($A174,'GDP data'!$A$2:$A$192,'GDP data'!R$2:R$192)</f>
        <v>3.4511092851273517E-2</v>
      </c>
      <c r="E174" s="133">
        <f>LOOKUP($A174,'GDP data'!$A$2:$A$192,'GDP data'!S$2:S$192)</f>
        <v>5.083399523431309E-2</v>
      </c>
      <c r="F174" s="133">
        <f>LOOKUP($A174,'GDP data'!$A$2:$A$192,'GDP data'!T$2:T$192)</f>
        <v>6.0468631897203418E-2</v>
      </c>
      <c r="G174" s="133">
        <f>LOOKUP($A174,'GDP data'!$A$2:$A$192,'GDP data'!U$2:U$192)</f>
        <v>6.2009978617248773E-2</v>
      </c>
      <c r="H174" s="133">
        <f>LOOKUP($A174,'GDP data'!$A$2:$A$192,'GDP data'!V$2:V$192)</f>
        <v>6.174496644295302E-2</v>
      </c>
      <c r="I174" s="133">
        <f>LOOKUP($A174,'GDP data'!$A$2:$A$192,'GDP data'!W$2:W$192)</f>
        <v>6.1314791403286995E-2</v>
      </c>
      <c r="J174" s="851"/>
      <c r="K174" s="156"/>
      <c r="L174" s="158">
        <f>LOOKUP($A174,'GDP data'!$A$2:$A$192,'GDP data'!D$2:D$192)</f>
        <v>1.1910000000000001</v>
      </c>
      <c r="M174" s="158">
        <f>LOOKUP($A174,'GDP data'!$A$2:$A$192,'GDP data'!E$2:E$192)</f>
        <v>1.2170000000000001</v>
      </c>
      <c r="N174" s="158">
        <f>LOOKUP($A174,'GDP data'!$A$2:$A$192,'GDP data'!F$2:F$192)</f>
        <v>1.2589999999999999</v>
      </c>
      <c r="O174" s="158">
        <f>LOOKUP($A174,'GDP data'!$A$2:$A$192,'GDP data'!G$2:G$192)</f>
        <v>1.323</v>
      </c>
      <c r="P174" s="158">
        <f>LOOKUP($A174,'GDP data'!$A$2:$A$192,'GDP data'!H$2:H$192)</f>
        <v>1.403</v>
      </c>
      <c r="Q174" s="158">
        <f>LOOKUP($A174,'GDP data'!$A$2:$A$192,'GDP data'!I$2:I$192)</f>
        <v>1.49</v>
      </c>
      <c r="R174" s="158">
        <f>LOOKUP($A174,'GDP data'!$A$2:$A$192,'GDP data'!J$2:J$192)</f>
        <v>1.5820000000000001</v>
      </c>
      <c r="S174" s="158">
        <f>LOOKUP($A174,'GDP data'!$A$2:$A$192,'GDP data'!K$2:K$192)</f>
        <v>1.679</v>
      </c>
      <c r="T174" s="156"/>
      <c r="U174" s="156"/>
      <c r="V174" s="133">
        <f t="shared" si="88"/>
        <v>1.3605832298235277E-4</v>
      </c>
      <c r="W174" s="133">
        <f t="shared" si="89"/>
        <v>1.3766393687865292E-4</v>
      </c>
      <c r="X174" s="133">
        <f t="shared" si="90"/>
        <v>1.4120678752651693E-4</v>
      </c>
      <c r="Y174" s="133">
        <f t="shared" si="91"/>
        <v>1.4353328833136206E-4</v>
      </c>
      <c r="Z174" s="133">
        <f t="shared" si="92"/>
        <v>1.4619854095314984E-4</v>
      </c>
      <c r="AA174" s="133">
        <f t="shared" si="93"/>
        <v>1.4816678408967175E-4</v>
      </c>
      <c r="AB174" s="133">
        <f t="shared" si="94"/>
        <v>1.4996814361904984E-4</v>
      </c>
      <c r="AC174" s="133">
        <f t="shared" si="95"/>
        <v>1.5173478314306984E-4</v>
      </c>
      <c r="AD174" s="156"/>
      <c r="AE174" s="156"/>
      <c r="AF174" s="159">
        <f t="shared" si="69"/>
        <v>5.0962612266909396E-6</v>
      </c>
      <c r="AG174" s="159">
        <f t="shared" si="70"/>
        <v>3.0052580678799252E-6</v>
      </c>
      <c r="AH174" s="159">
        <f t="shared" si="71"/>
        <v>4.873200555557677E-6</v>
      </c>
      <c r="AI174" s="159">
        <f t="shared" si="72"/>
        <v>7.2963704950017461E-6</v>
      </c>
      <c r="AJ174" s="159">
        <f t="shared" si="73"/>
        <v>8.8404257568042374E-6</v>
      </c>
      <c r="AK174" s="159">
        <f t="shared" si="74"/>
        <v>9.1878191131870602E-6</v>
      </c>
      <c r="AL174" s="159">
        <f t="shared" si="75"/>
        <v>9.2597779952701905E-6</v>
      </c>
      <c r="AM174" s="159">
        <f t="shared" si="76"/>
        <v>9.3035865770403146E-6</v>
      </c>
    </row>
    <row r="175" spans="1:39" hidden="1" outlineLevel="1">
      <c r="A175" s="160" t="s">
        <v>256</v>
      </c>
      <c r="B175" s="133">
        <f>LOOKUP($A175,'GDP data'!$A$2:$A$192,'GDP data'!P$2:P$192)</f>
        <v>9.5404879745734528E-2</v>
      </c>
      <c r="C175" s="133">
        <f>LOOKUP($A175,'GDP data'!$A$2:$A$192,'GDP data'!Q$2:Q$192)</f>
        <v>8.2014305408194987E-2</v>
      </c>
      <c r="D175" s="133">
        <f>LOOKUP($A175,'GDP data'!$A$2:$A$192,'GDP data'!R$2:R$192)</f>
        <v>8.0060302043865494E-2</v>
      </c>
      <c r="E175" s="133">
        <f>LOOKUP($A175,'GDP data'!$A$2:$A$192,'GDP data'!S$2:S$192)</f>
        <v>6.584977210123899E-2</v>
      </c>
      <c r="F175" s="133">
        <f>LOOKUP($A175,'GDP data'!$A$2:$A$192,'GDP data'!T$2:T$192)</f>
        <v>7.8527721119970195E-2</v>
      </c>
      <c r="G175" s="133">
        <f>LOOKUP($A175,'GDP data'!$A$2:$A$192,'GDP data'!U$2:U$192)</f>
        <v>7.2100919797128959E-2</v>
      </c>
      <c r="H175" s="133">
        <f>LOOKUP($A175,'GDP data'!$A$2:$A$192,'GDP data'!V$2:V$192)</f>
        <v>7.1777216509311126E-2</v>
      </c>
      <c r="I175" s="133">
        <f>LOOKUP($A175,'GDP data'!$A$2:$A$192,'GDP data'!W$2:W$192)</f>
        <v>7.1501045022466903E-2</v>
      </c>
      <c r="J175" s="851"/>
      <c r="K175" s="156"/>
      <c r="L175" s="158">
        <f>LOOKUP($A175,'GDP data'!$A$2:$A$192,'GDP data'!D$2:D$192)</f>
        <v>138.54900000000001</v>
      </c>
      <c r="M175" s="158">
        <f>LOOKUP($A175,'GDP data'!$A$2:$A$192,'GDP data'!E$2:E$192)</f>
        <v>149.91200000000001</v>
      </c>
      <c r="N175" s="158">
        <f>LOOKUP($A175,'GDP data'!$A$2:$A$192,'GDP data'!F$2:F$192)</f>
        <v>161.91399999999999</v>
      </c>
      <c r="O175" s="158">
        <f>LOOKUP($A175,'GDP data'!$A$2:$A$192,'GDP data'!G$2:G$192)</f>
        <v>172.57599999999999</v>
      </c>
      <c r="P175" s="158">
        <f>LOOKUP($A175,'GDP data'!$A$2:$A$192,'GDP data'!H$2:H$192)</f>
        <v>186.12799999999999</v>
      </c>
      <c r="Q175" s="158">
        <f>LOOKUP($A175,'GDP data'!$A$2:$A$192,'GDP data'!I$2:I$192)</f>
        <v>199.548</v>
      </c>
      <c r="R175" s="158">
        <f>LOOKUP($A175,'GDP data'!$A$2:$A$192,'GDP data'!J$2:J$192)</f>
        <v>213.87100000000001</v>
      </c>
      <c r="S175" s="158">
        <f>LOOKUP($A175,'GDP data'!$A$2:$A$192,'GDP data'!K$2:K$192)</f>
        <v>229.16300000000001</v>
      </c>
      <c r="T175" s="156"/>
      <c r="U175" s="156"/>
      <c r="V175" s="133">
        <f t="shared" si="88"/>
        <v>1.582766128537531E-2</v>
      </c>
      <c r="W175" s="133">
        <f t="shared" si="89"/>
        <v>1.6957663192565829E-2</v>
      </c>
      <c r="X175" s="133">
        <f t="shared" si="90"/>
        <v>1.8159933118005133E-2</v>
      </c>
      <c r="Y175" s="133">
        <f t="shared" si="91"/>
        <v>1.8722903074129355E-2</v>
      </c>
      <c r="Z175" s="133">
        <f t="shared" si="92"/>
        <v>1.939532575233633E-2</v>
      </c>
      <c r="AA175" s="133">
        <f t="shared" si="93"/>
        <v>1.9843211699010616E-2</v>
      </c>
      <c r="AB175" s="133">
        <f t="shared" si="94"/>
        <v>2.0274233150410752E-2</v>
      </c>
      <c r="AC175" s="133">
        <f t="shared" si="95"/>
        <v>2.0709945270646405E-2</v>
      </c>
      <c r="AD175" s="156"/>
      <c r="AE175" s="156"/>
      <c r="AF175" s="159">
        <f t="shared" si="69"/>
        <v>1.5100361215874495E-3</v>
      </c>
      <c r="AG175" s="159">
        <f t="shared" si="70"/>
        <v>1.3907709680844008E-3</v>
      </c>
      <c r="AH175" s="159">
        <f t="shared" si="71"/>
        <v>1.4538897305238871E-3</v>
      </c>
      <c r="AI175" s="159">
        <f t="shared" si="72"/>
        <v>1.2328989005050048E-3</v>
      </c>
      <c r="AJ175" s="159">
        <f t="shared" si="73"/>
        <v>1.5230707317104434E-3</v>
      </c>
      <c r="AK175" s="159">
        <f t="shared" si="74"/>
        <v>1.4307138152278155E-3</v>
      </c>
      <c r="AL175" s="159">
        <f t="shared" si="75"/>
        <v>1.4552280223972857E-3</v>
      </c>
      <c r="AM175" s="159">
        <f t="shared" si="76"/>
        <v>1.4807827292093142E-3</v>
      </c>
    </row>
    <row r="176" spans="1:39" hidden="1" outlineLevel="1">
      <c r="A176" s="160" t="s">
        <v>257</v>
      </c>
      <c r="B176" s="133">
        <f>LOOKUP($A176,'GDP data'!$A$2:$A$192,'GDP data'!P$2:P$192)</f>
        <v>5.8590089204105134E-2</v>
      </c>
      <c r="C176" s="133">
        <f>LOOKUP($A176,'GDP data'!$A$2:$A$192,'GDP data'!Q$2:Q$192)</f>
        <v>1.2437838133231294E-2</v>
      </c>
      <c r="D176" s="133">
        <f>LOOKUP($A176,'GDP data'!$A$2:$A$192,'GDP data'!R$2:R$192)</f>
        <v>-2.1050813425020909E-3</v>
      </c>
      <c r="E176" s="133">
        <f>LOOKUP($A176,'GDP data'!$A$2:$A$192,'GDP data'!S$2:S$192)</f>
        <v>1.9456284212120645E-2</v>
      </c>
      <c r="F176" s="133">
        <f>LOOKUP($A176,'GDP data'!$A$2:$A$192,'GDP data'!T$2:T$192)</f>
        <v>2.5191937306669798E-2</v>
      </c>
      <c r="G176" s="133">
        <f>LOOKUP($A176,'GDP data'!$A$2:$A$192,'GDP data'!U$2:U$192)</f>
        <v>3.1285419286723348E-2</v>
      </c>
      <c r="H176" s="133">
        <f>LOOKUP($A176,'GDP data'!$A$2:$A$192,'GDP data'!V$2:V$192)</f>
        <v>3.5670912247949937E-2</v>
      </c>
      <c r="I176" s="133">
        <f>LOOKUP($A176,'GDP data'!$A$2:$A$192,'GDP data'!W$2:W$192)</f>
        <v>3.5934759223545498E-2</v>
      </c>
      <c r="J176" s="851"/>
      <c r="K176" s="156"/>
      <c r="L176" s="158">
        <f>LOOKUP($A176,'GDP data'!$A$2:$A$192,'GDP data'!D$2:D$192)</f>
        <v>182.99</v>
      </c>
      <c r="M176" s="158">
        <f>LOOKUP($A176,'GDP data'!$A$2:$A$192,'GDP data'!E$2:E$192)</f>
        <v>185.26599999999999</v>
      </c>
      <c r="N176" s="158">
        <f>LOOKUP($A176,'GDP data'!$A$2:$A$192,'GDP data'!F$2:F$192)</f>
        <v>184.876</v>
      </c>
      <c r="O176" s="158">
        <f>LOOKUP($A176,'GDP data'!$A$2:$A$192,'GDP data'!G$2:G$192)</f>
        <v>188.47300000000001</v>
      </c>
      <c r="P176" s="158">
        <f>LOOKUP($A176,'GDP data'!$A$2:$A$192,'GDP data'!H$2:H$192)</f>
        <v>193.221</v>
      </c>
      <c r="Q176" s="158">
        <f>LOOKUP($A176,'GDP data'!$A$2:$A$192,'GDP data'!I$2:I$192)</f>
        <v>199.26599999999999</v>
      </c>
      <c r="R176" s="158">
        <f>LOOKUP($A176,'GDP data'!$A$2:$A$192,'GDP data'!J$2:J$192)</f>
        <v>206.374</v>
      </c>
      <c r="S176" s="158">
        <f>LOOKUP($A176,'GDP data'!$A$2:$A$192,'GDP data'!K$2:K$192)</f>
        <v>213.79</v>
      </c>
      <c r="T176" s="156"/>
      <c r="U176" s="156"/>
      <c r="V176" s="133">
        <f t="shared" si="88"/>
        <v>2.0904544519345706E-2</v>
      </c>
      <c r="W176" s="133">
        <f t="shared" si="89"/>
        <v>2.0956817526508225E-2</v>
      </c>
      <c r="X176" s="133">
        <f t="shared" si="90"/>
        <v>2.0735302661439515E-2</v>
      </c>
      <c r="Y176" s="133">
        <f t="shared" si="91"/>
        <v>2.0447580840269694E-2</v>
      </c>
      <c r="Z176" s="133">
        <f t="shared" si="92"/>
        <v>2.0134446387390283E-2</v>
      </c>
      <c r="AA176" s="133">
        <f t="shared" si="93"/>
        <v>1.9815169394907739E-2</v>
      </c>
      <c r="AB176" s="133">
        <f t="shared" si="94"/>
        <v>1.9563543407862066E-2</v>
      </c>
      <c r="AC176" s="133">
        <f t="shared" si="95"/>
        <v>1.9320654727907623E-2</v>
      </c>
      <c r="AD176" s="156"/>
      <c r="AE176" s="156"/>
      <c r="AF176" s="159">
        <f t="shared" si="69"/>
        <v>1.2247991281596519E-3</v>
      </c>
      <c r="AG176" s="159">
        <f t="shared" si="70"/>
        <v>2.6065750418237393E-4</v>
      </c>
      <c r="AH176" s="159">
        <f t="shared" si="71"/>
        <v>-4.364949876373027E-5</v>
      </c>
      <c r="AI176" s="159">
        <f t="shared" si="72"/>
        <v>3.9783394427859981E-4</v>
      </c>
      <c r="AJ176" s="159">
        <f t="shared" si="73"/>
        <v>5.072257110956402E-4</v>
      </c>
      <c r="AK176" s="159">
        <f t="shared" si="74"/>
        <v>6.1992588275713682E-4</v>
      </c>
      <c r="AL176" s="159">
        <f t="shared" si="75"/>
        <v>6.9784944016080728E-4</v>
      </c>
      <c r="AM176" s="159">
        <f t="shared" si="76"/>
        <v>6.9428307568861636E-4</v>
      </c>
    </row>
    <row r="177" spans="1:40" hidden="1" outlineLevel="1">
      <c r="A177" s="160" t="s">
        <v>259</v>
      </c>
      <c r="B177" s="133">
        <f>LOOKUP($A177,'GDP data'!$A$2:$A$192,'GDP data'!P$2:P$192)</f>
        <v>3.2453334413086621E-2</v>
      </c>
      <c r="C177" s="133">
        <f>LOOKUP($A177,'GDP data'!$A$2:$A$192,'GDP data'!Q$2:Q$192)</f>
        <v>3.4060827107476932E-2</v>
      </c>
      <c r="D177" s="133">
        <f>LOOKUP($A177,'GDP data'!$A$2:$A$192,'GDP data'!R$2:R$192)</f>
        <v>3.6731520461182443E-2</v>
      </c>
      <c r="E177" s="133">
        <f>LOOKUP($A177,'GDP data'!$A$2:$A$192,'GDP data'!S$2:S$192)</f>
        <v>4.082603208282265E-2</v>
      </c>
      <c r="F177" s="133">
        <f>LOOKUP($A177,'GDP data'!$A$2:$A$192,'GDP data'!T$2:T$192)</f>
        <v>4.0823858144561909E-2</v>
      </c>
      <c r="G177" s="133">
        <f>LOOKUP($A177,'GDP data'!$A$2:$A$192,'GDP data'!U$2:U$192)</f>
        <v>4.2785263228987347E-2</v>
      </c>
      <c r="H177" s="133">
        <f>LOOKUP($A177,'GDP data'!$A$2:$A$192,'GDP data'!V$2:V$192)</f>
        <v>4.1450777202072464E-2</v>
      </c>
      <c r="I177" s="133">
        <f>LOOKUP($A177,'GDP data'!$A$2:$A$192,'GDP data'!W$2:W$192)</f>
        <v>4.1184701492537279E-2</v>
      </c>
      <c r="J177" s="851"/>
      <c r="K177" s="156"/>
      <c r="L177" s="158">
        <f>LOOKUP($A177,'GDP data'!$A$2:$A$192,'GDP data'!D$2:D$192)</f>
        <v>50.997</v>
      </c>
      <c r="M177" s="158">
        <f>LOOKUP($A177,'GDP data'!$A$2:$A$192,'GDP data'!E$2:E$192)</f>
        <v>52.734000000000002</v>
      </c>
      <c r="N177" s="158">
        <f>LOOKUP($A177,'GDP data'!$A$2:$A$192,'GDP data'!F$2:F$192)</f>
        <v>54.670999999999999</v>
      </c>
      <c r="O177" s="158">
        <f>LOOKUP($A177,'GDP data'!$A$2:$A$192,'GDP data'!G$2:G$192)</f>
        <v>56.902999999999999</v>
      </c>
      <c r="P177" s="158">
        <f>LOOKUP($A177,'GDP data'!$A$2:$A$192,'GDP data'!H$2:H$192)</f>
        <v>59.225999999999999</v>
      </c>
      <c r="Q177" s="158">
        <f>LOOKUP($A177,'GDP data'!$A$2:$A$192,'GDP data'!I$2:I$192)</f>
        <v>61.76</v>
      </c>
      <c r="R177" s="158">
        <f>LOOKUP($A177,'GDP data'!$A$2:$A$192,'GDP data'!J$2:J$192)</f>
        <v>64.319999999999993</v>
      </c>
      <c r="S177" s="158">
        <f>LOOKUP($A177,'GDP data'!$A$2:$A$192,'GDP data'!K$2:K$192)</f>
        <v>66.968999999999994</v>
      </c>
      <c r="T177" s="156"/>
      <c r="U177" s="156"/>
      <c r="V177" s="133">
        <f t="shared" si="88"/>
        <v>5.8258323233677956E-3</v>
      </c>
      <c r="W177" s="133">
        <f t="shared" si="89"/>
        <v>5.9651356182077921E-3</v>
      </c>
      <c r="X177" s="133">
        <f t="shared" si="90"/>
        <v>6.1317841786038187E-3</v>
      </c>
      <c r="Y177" s="133">
        <f t="shared" si="91"/>
        <v>6.1734502690245618E-3</v>
      </c>
      <c r="Z177" s="133">
        <f t="shared" si="92"/>
        <v>6.1715999903715268E-3</v>
      </c>
      <c r="AA177" s="133">
        <f t="shared" si="93"/>
        <v>6.1414634801195481E-3</v>
      </c>
      <c r="AB177" s="133">
        <f t="shared" si="94"/>
        <v>6.0973141577606096E-3</v>
      </c>
      <c r="AC177" s="133">
        <f t="shared" si="95"/>
        <v>6.052130251523671E-3</v>
      </c>
      <c r="AD177" s="156"/>
      <c r="AE177" s="156"/>
      <c r="AF177" s="159">
        <f t="shared" si="69"/>
        <v>1.8906768462482445E-4</v>
      </c>
      <c r="AG177" s="159">
        <f t="shared" si="70"/>
        <v>2.0317745296442814E-4</v>
      </c>
      <c r="AH177" s="159">
        <f t="shared" si="71"/>
        <v>2.2522975601994095E-4</v>
      </c>
      <c r="AI177" s="159">
        <f t="shared" si="72"/>
        <v>2.5203747874490688E-4</v>
      </c>
      <c r="AJ177" s="159">
        <f t="shared" si="73"/>
        <v>2.5194852253190684E-4</v>
      </c>
      <c r="AK177" s="159">
        <f t="shared" si="74"/>
        <v>2.6276413160812757E-4</v>
      </c>
      <c r="AL177" s="159">
        <f t="shared" si="75"/>
        <v>2.5273841068437715E-4</v>
      </c>
      <c r="AM177" s="159">
        <f t="shared" si="76"/>
        <v>2.4925517780295697E-4</v>
      </c>
    </row>
    <row r="178" spans="1:40" hidden="1" outlineLevel="1">
      <c r="A178" s="160" t="s">
        <v>274</v>
      </c>
      <c r="B178" s="133">
        <f>LOOKUP($A178,'GDP data'!$A$2:$A$192,'GDP data'!P$2:P$192)</f>
        <v>6.3096774193548422E-2</v>
      </c>
      <c r="C178" s="133">
        <f>LOOKUP($A178,'GDP data'!$A$2:$A$192,'GDP data'!Q$2:Q$192)</f>
        <v>5.0036412185944679E-2</v>
      </c>
      <c r="D178" s="133">
        <f>LOOKUP($A178,'GDP data'!$A$2:$A$192,'GDP data'!R$2:R$192)</f>
        <v>3.386793815922573E-2</v>
      </c>
      <c r="E178" s="133">
        <f>LOOKUP($A178,'GDP data'!$A$2:$A$192,'GDP data'!S$2:S$192)</f>
        <v>2.7224194314783068E-2</v>
      </c>
      <c r="F178" s="133">
        <f>LOOKUP($A178,'GDP data'!$A$2:$A$192,'GDP data'!T$2:T$192)</f>
        <v>4.6502135996299598E-2</v>
      </c>
      <c r="G178" s="133">
        <f>LOOKUP($A178,'GDP data'!$A$2:$A$192,'GDP data'!U$2:U$192)</f>
        <v>6.30265210608425E-2</v>
      </c>
      <c r="H178" s="133">
        <f>LOOKUP($A178,'GDP data'!$A$2:$A$192,'GDP data'!V$2:V$192)</f>
        <v>6.8339692789355144E-2</v>
      </c>
      <c r="I178" s="133">
        <f>LOOKUP($A178,'GDP data'!$A$2:$A$192,'GDP data'!W$2:W$192)</f>
        <v>6.9394203031274415E-2</v>
      </c>
      <c r="J178" s="851"/>
      <c r="K178" s="156"/>
      <c r="L178" s="158">
        <f>LOOKUP($A178,'GDP data'!$A$2:$A$192,'GDP data'!D$2:D$192)</f>
        <v>32.956000000000003</v>
      </c>
      <c r="M178" s="158">
        <f>LOOKUP($A178,'GDP data'!$A$2:$A$192,'GDP data'!E$2:E$192)</f>
        <v>34.604999999999997</v>
      </c>
      <c r="N178" s="158">
        <f>LOOKUP($A178,'GDP data'!$A$2:$A$192,'GDP data'!F$2:F$192)</f>
        <v>35.777000000000001</v>
      </c>
      <c r="O178" s="158">
        <f>LOOKUP($A178,'GDP data'!$A$2:$A$192,'GDP data'!G$2:G$192)</f>
        <v>36.750999999999998</v>
      </c>
      <c r="P178" s="158">
        <f>LOOKUP($A178,'GDP data'!$A$2:$A$192,'GDP data'!H$2:H$192)</f>
        <v>38.46</v>
      </c>
      <c r="Q178" s="158">
        <f>LOOKUP($A178,'GDP data'!$A$2:$A$192,'GDP data'!I$2:I$192)</f>
        <v>40.884</v>
      </c>
      <c r="R178" s="158">
        <f>LOOKUP($A178,'GDP data'!$A$2:$A$192,'GDP data'!J$2:J$192)</f>
        <v>43.677999999999997</v>
      </c>
      <c r="S178" s="158">
        <f>LOOKUP($A178,'GDP data'!$A$2:$A$192,'GDP data'!K$2:K$192)</f>
        <v>46.709000000000003</v>
      </c>
      <c r="T178" s="156"/>
      <c r="U178" s="156"/>
      <c r="V178" s="133">
        <f t="shared" si="88"/>
        <v>3.764851462809755E-3</v>
      </c>
      <c r="W178" s="133">
        <f t="shared" si="89"/>
        <v>3.9144293637516708E-3</v>
      </c>
      <c r="X178" s="133">
        <f t="shared" si="90"/>
        <v>4.0126729446673531E-3</v>
      </c>
      <c r="Y178" s="133">
        <f t="shared" si="91"/>
        <v>3.987144277751993E-3</v>
      </c>
      <c r="Z178" s="133">
        <f t="shared" si="92"/>
        <v>4.0076948574897667E-3</v>
      </c>
      <c r="AA178" s="133">
        <f t="shared" si="93"/>
        <v>4.0655374501490874E-3</v>
      </c>
      <c r="AB178" s="133">
        <f t="shared" si="94"/>
        <v>4.1405237528399858E-3</v>
      </c>
      <c r="AC178" s="133">
        <f t="shared" si="95"/>
        <v>4.2211911767895474E-3</v>
      </c>
      <c r="AD178" s="156"/>
      <c r="AE178" s="156"/>
      <c r="AF178" s="159">
        <f t="shared" ref="AF178:AF188" si="96">V178*B178</f>
        <v>2.3754998262115758E-4</v>
      </c>
      <c r="AG178" s="159">
        <f t="shared" ref="AG178:AG188" si="97">W178*C178</f>
        <v>1.9586400111744378E-4</v>
      </c>
      <c r="AH178" s="159">
        <f t="shared" ref="AH178:AH188" si="98">X178*D178</f>
        <v>1.3590095914319211E-4</v>
      </c>
      <c r="AI178" s="159">
        <f t="shared" ref="AI178:AI188" si="99">Y178*E178</f>
        <v>1.0854679057859564E-4</v>
      </c>
      <c r="AJ178" s="159">
        <f t="shared" ref="AJ178:AJ188" si="100">Z178*F178</f>
        <v>1.8636637129465966E-4</v>
      </c>
      <c r="AK178" s="159">
        <f t="shared" ref="AK178:AK188" si="101">AA178*G178</f>
        <v>2.5623668172546538E-4</v>
      </c>
      <c r="AL178" s="159">
        <f t="shared" ref="AL178:AL188" si="102">AB178*H178</f>
        <v>2.8296212125611246E-4</v>
      </c>
      <c r="AM178" s="159">
        <f t="shared" ref="AM178:AM188" si="103">AC178*I178</f>
        <v>2.9292619755595802E-4</v>
      </c>
    </row>
    <row r="179" spans="1:40" hidden="1" outlineLevel="1">
      <c r="A179" s="160" t="s">
        <v>278</v>
      </c>
      <c r="B179" s="133">
        <f>LOOKUP($A179,'GDP data'!$A$2:$A$192,'GDP data'!P$2:P$192)</f>
        <v>6.3096774193548422E-2</v>
      </c>
      <c r="C179" s="133">
        <f>LOOKUP($A179,'GDP data'!$A$2:$A$192,'GDP data'!Q$2:Q$192)</f>
        <v>5.0036412185944679E-2</v>
      </c>
      <c r="D179" s="133">
        <f>LOOKUP($A179,'GDP data'!$A$2:$A$192,'GDP data'!R$2:R$192)</f>
        <v>3.386793815922573E-2</v>
      </c>
      <c r="E179" s="133">
        <f>LOOKUP($A179,'GDP data'!$A$2:$A$192,'GDP data'!S$2:S$192)</f>
        <v>2.7224194314783068E-2</v>
      </c>
      <c r="F179" s="133">
        <f>LOOKUP($A179,'GDP data'!$A$2:$A$192,'GDP data'!T$2:T$192)</f>
        <v>4.6502135996299598E-2</v>
      </c>
      <c r="G179" s="133">
        <f>LOOKUP($A179,'GDP data'!$A$2:$A$192,'GDP data'!U$2:U$192)</f>
        <v>6.30265210608425E-2</v>
      </c>
      <c r="H179" s="133">
        <f>LOOKUP($A179,'GDP data'!$A$2:$A$192,'GDP data'!V$2:V$192)</f>
        <v>6.8339692789355144E-2</v>
      </c>
      <c r="I179" s="133">
        <f>LOOKUP($A179,'GDP data'!$A$2:$A$192,'GDP data'!W$2:W$192)</f>
        <v>6.9394203031274415E-2</v>
      </c>
      <c r="J179" s="851"/>
      <c r="K179" s="156"/>
      <c r="L179" s="158">
        <f>LOOKUP($A179,'GDP data'!$A$2:$A$192,'GDP data'!D$2:D$192)</f>
        <v>32.956000000000003</v>
      </c>
      <c r="M179" s="158">
        <f>LOOKUP($A179,'GDP data'!$A$2:$A$192,'GDP data'!E$2:E$192)</f>
        <v>34.604999999999997</v>
      </c>
      <c r="N179" s="158">
        <f>LOOKUP($A179,'GDP data'!$A$2:$A$192,'GDP data'!F$2:F$192)</f>
        <v>35.777000000000001</v>
      </c>
      <c r="O179" s="158">
        <f>LOOKUP($A179,'GDP data'!$A$2:$A$192,'GDP data'!G$2:G$192)</f>
        <v>36.750999999999998</v>
      </c>
      <c r="P179" s="158">
        <f>LOOKUP($A179,'GDP data'!$A$2:$A$192,'GDP data'!H$2:H$192)</f>
        <v>38.46</v>
      </c>
      <c r="Q179" s="158">
        <f>LOOKUP($A179,'GDP data'!$A$2:$A$192,'GDP data'!I$2:I$192)</f>
        <v>40.884</v>
      </c>
      <c r="R179" s="158">
        <f>LOOKUP($A179,'GDP data'!$A$2:$A$192,'GDP data'!J$2:J$192)</f>
        <v>43.677999999999997</v>
      </c>
      <c r="S179" s="158">
        <f>LOOKUP($A179,'GDP data'!$A$2:$A$192,'GDP data'!K$2:K$192)</f>
        <v>46.709000000000003</v>
      </c>
      <c r="T179" s="156"/>
      <c r="U179" s="156"/>
      <c r="V179" s="133">
        <f t="shared" si="88"/>
        <v>3.764851462809755E-3</v>
      </c>
      <c r="W179" s="133">
        <f t="shared" si="89"/>
        <v>3.9144293637516708E-3</v>
      </c>
      <c r="X179" s="133">
        <f t="shared" si="90"/>
        <v>4.0126729446673531E-3</v>
      </c>
      <c r="Y179" s="133">
        <f t="shared" si="91"/>
        <v>3.987144277751993E-3</v>
      </c>
      <c r="Z179" s="133">
        <f t="shared" si="92"/>
        <v>4.0076948574897667E-3</v>
      </c>
      <c r="AA179" s="133">
        <f t="shared" si="93"/>
        <v>4.0655374501490874E-3</v>
      </c>
      <c r="AB179" s="133">
        <f t="shared" si="94"/>
        <v>4.1405237528399858E-3</v>
      </c>
      <c r="AC179" s="133">
        <f t="shared" si="95"/>
        <v>4.2211911767895474E-3</v>
      </c>
      <c r="AD179" s="156"/>
      <c r="AE179" s="156"/>
      <c r="AF179" s="159">
        <f t="shared" si="96"/>
        <v>2.3754998262115758E-4</v>
      </c>
      <c r="AG179" s="159">
        <f t="shared" si="97"/>
        <v>1.9586400111744378E-4</v>
      </c>
      <c r="AH179" s="159">
        <f t="shared" si="98"/>
        <v>1.3590095914319211E-4</v>
      </c>
      <c r="AI179" s="159">
        <f t="shared" si="99"/>
        <v>1.0854679057859564E-4</v>
      </c>
      <c r="AJ179" s="159">
        <f t="shared" si="100"/>
        <v>1.8636637129465966E-4</v>
      </c>
      <c r="AK179" s="159">
        <f t="shared" si="101"/>
        <v>2.5623668172546538E-4</v>
      </c>
      <c r="AL179" s="159">
        <f t="shared" si="102"/>
        <v>2.8296212125611246E-4</v>
      </c>
      <c r="AM179" s="159">
        <f t="shared" si="103"/>
        <v>2.9292619755595802E-4</v>
      </c>
    </row>
    <row r="180" spans="1:40" hidden="1" outlineLevel="1">
      <c r="A180" s="160" t="s">
        <v>279</v>
      </c>
      <c r="B180" s="133">
        <f>LOOKUP($A180,'GDP data'!$A$2:$A$192,'GDP data'!P$2:P$192)</f>
        <v>6.3096774193548422E-2</v>
      </c>
      <c r="C180" s="133">
        <f>LOOKUP($A180,'GDP data'!$A$2:$A$192,'GDP data'!Q$2:Q$192)</f>
        <v>5.0036412185944679E-2</v>
      </c>
      <c r="D180" s="133">
        <f>LOOKUP($A180,'GDP data'!$A$2:$A$192,'GDP data'!R$2:R$192)</f>
        <v>3.386793815922573E-2</v>
      </c>
      <c r="E180" s="133">
        <f>LOOKUP($A180,'GDP data'!$A$2:$A$192,'GDP data'!S$2:S$192)</f>
        <v>2.7224194314783068E-2</v>
      </c>
      <c r="F180" s="133">
        <f>LOOKUP($A180,'GDP data'!$A$2:$A$192,'GDP data'!T$2:T$192)</f>
        <v>4.6502135996299598E-2</v>
      </c>
      <c r="G180" s="133">
        <f>LOOKUP($A180,'GDP data'!$A$2:$A$192,'GDP data'!U$2:U$192)</f>
        <v>6.30265210608425E-2</v>
      </c>
      <c r="H180" s="133">
        <f>LOOKUP($A180,'GDP data'!$A$2:$A$192,'GDP data'!V$2:V$192)</f>
        <v>6.8339692789355144E-2</v>
      </c>
      <c r="I180" s="133">
        <f>LOOKUP($A180,'GDP data'!$A$2:$A$192,'GDP data'!W$2:W$192)</f>
        <v>6.9394203031274415E-2</v>
      </c>
      <c r="J180" s="851"/>
      <c r="K180" s="156"/>
      <c r="L180" s="158">
        <f>LOOKUP($A180,'GDP data'!$A$2:$A$192,'GDP data'!D$2:D$192)</f>
        <v>32.956000000000003</v>
      </c>
      <c r="M180" s="158">
        <f>LOOKUP($A180,'GDP data'!$A$2:$A$192,'GDP data'!E$2:E$192)</f>
        <v>34.604999999999997</v>
      </c>
      <c r="N180" s="158">
        <f>LOOKUP($A180,'GDP data'!$A$2:$A$192,'GDP data'!F$2:F$192)</f>
        <v>35.777000000000001</v>
      </c>
      <c r="O180" s="158">
        <f>LOOKUP($A180,'GDP data'!$A$2:$A$192,'GDP data'!G$2:G$192)</f>
        <v>36.750999999999998</v>
      </c>
      <c r="P180" s="158">
        <f>LOOKUP($A180,'GDP data'!$A$2:$A$192,'GDP data'!H$2:H$192)</f>
        <v>38.46</v>
      </c>
      <c r="Q180" s="158">
        <f>LOOKUP($A180,'GDP data'!$A$2:$A$192,'GDP data'!I$2:I$192)</f>
        <v>40.884</v>
      </c>
      <c r="R180" s="158">
        <f>LOOKUP($A180,'GDP data'!$A$2:$A$192,'GDP data'!J$2:J$192)</f>
        <v>43.677999999999997</v>
      </c>
      <c r="S180" s="158">
        <f>LOOKUP($A180,'GDP data'!$A$2:$A$192,'GDP data'!K$2:K$192)</f>
        <v>46.709000000000003</v>
      </c>
      <c r="T180" s="156"/>
      <c r="U180" s="156"/>
      <c r="V180" s="133">
        <f t="shared" si="88"/>
        <v>3.764851462809755E-3</v>
      </c>
      <c r="W180" s="133">
        <f t="shared" si="89"/>
        <v>3.9144293637516708E-3</v>
      </c>
      <c r="X180" s="133">
        <f t="shared" si="90"/>
        <v>4.0126729446673531E-3</v>
      </c>
      <c r="Y180" s="133">
        <f t="shared" si="91"/>
        <v>3.987144277751993E-3</v>
      </c>
      <c r="Z180" s="133">
        <f t="shared" si="92"/>
        <v>4.0076948574897667E-3</v>
      </c>
      <c r="AA180" s="133">
        <f t="shared" si="93"/>
        <v>4.0655374501490874E-3</v>
      </c>
      <c r="AB180" s="133">
        <f t="shared" si="94"/>
        <v>4.1405237528399858E-3</v>
      </c>
      <c r="AC180" s="133">
        <f t="shared" si="95"/>
        <v>4.2211911767895474E-3</v>
      </c>
      <c r="AD180" s="156"/>
      <c r="AE180" s="156"/>
      <c r="AF180" s="159">
        <f t="shared" si="96"/>
        <v>2.3754998262115758E-4</v>
      </c>
      <c r="AG180" s="159">
        <f t="shared" si="97"/>
        <v>1.9586400111744378E-4</v>
      </c>
      <c r="AH180" s="159">
        <f t="shared" si="98"/>
        <v>1.3590095914319211E-4</v>
      </c>
      <c r="AI180" s="159">
        <f t="shared" si="99"/>
        <v>1.0854679057859564E-4</v>
      </c>
      <c r="AJ180" s="159">
        <f t="shared" si="100"/>
        <v>1.8636637129465966E-4</v>
      </c>
      <c r="AK180" s="159">
        <f t="shared" si="101"/>
        <v>2.5623668172546538E-4</v>
      </c>
      <c r="AL180" s="159">
        <f t="shared" si="102"/>
        <v>2.8296212125611246E-4</v>
      </c>
      <c r="AM180" s="159">
        <f t="shared" si="103"/>
        <v>2.9292619755595802E-4</v>
      </c>
    </row>
    <row r="181" spans="1:40" hidden="1" outlineLevel="1">
      <c r="A181" s="160" t="s">
        <v>319</v>
      </c>
      <c r="B181" s="133">
        <f>LOOKUP($A181,'GDP data'!$A$2:$A$192,'GDP data'!P$2:P$192)</f>
        <v>4.1058680805610592E-2</v>
      </c>
      <c r="C181" s="133">
        <f>LOOKUP($A181,'GDP data'!$A$2:$A$192,'GDP data'!Q$2:Q$192)</f>
        <v>3.7624074951019937E-2</v>
      </c>
      <c r="D181" s="133">
        <f>LOOKUP($A181,'GDP data'!$A$2:$A$192,'GDP data'!R$2:R$192)</f>
        <v>3.5910835891148851E-2</v>
      </c>
      <c r="E181" s="133">
        <f>LOOKUP($A181,'GDP data'!$A$2:$A$192,'GDP data'!S$2:S$192)</f>
        <v>3.9239992398196533E-2</v>
      </c>
      <c r="F181" s="133">
        <f>LOOKUP($A181,'GDP data'!$A$2:$A$192,'GDP data'!T$2:T$192)</f>
        <v>3.828202602562647E-2</v>
      </c>
      <c r="G181" s="133">
        <f>LOOKUP($A181,'GDP data'!$A$2:$A$192,'GDP data'!U$2:U$192)</f>
        <v>4.5240573212713242E-2</v>
      </c>
      <c r="H181" s="133">
        <f>LOOKUP($A181,'GDP data'!$A$2:$A$192,'GDP data'!V$2:V$192)</f>
        <v>4.825713651090302E-2</v>
      </c>
      <c r="I181" s="133">
        <f>LOOKUP($A181,'GDP data'!$A$2:$A$192,'GDP data'!W$2:W$192)</f>
        <v>4.8596573908659568E-2</v>
      </c>
      <c r="J181" s="851"/>
      <c r="K181" s="156"/>
      <c r="L181" s="158">
        <f>LOOKUP($A181,'GDP data'!$A$2:$A$192,'GDP data'!D$2:D$192)</f>
        <v>2153.94</v>
      </c>
      <c r="M181" s="158">
        <f>LOOKUP($A181,'GDP data'!$A$2:$A$192,'GDP data'!E$2:E$192)</f>
        <v>2234.98</v>
      </c>
      <c r="N181" s="158">
        <f>LOOKUP($A181,'GDP data'!$A$2:$A$192,'GDP data'!F$2:F$192)</f>
        <v>2315.2399999999998</v>
      </c>
      <c r="O181" s="158">
        <f>LOOKUP($A181,'GDP data'!$A$2:$A$192,'GDP data'!G$2:G$192)</f>
        <v>2406.09</v>
      </c>
      <c r="P181" s="158">
        <f>LOOKUP($A181,'GDP data'!$A$2:$A$192,'GDP data'!H$2:H$192)</f>
        <v>2498.1999999999998</v>
      </c>
      <c r="Q181" s="158">
        <f>LOOKUP($A181,'GDP data'!$A$2:$A$192,'GDP data'!I$2:I$192)</f>
        <v>2611.2199999999998</v>
      </c>
      <c r="R181" s="158">
        <f>LOOKUP($A181,'GDP data'!$A$2:$A$192,'GDP data'!J$2:J$192)</f>
        <v>2737.23</v>
      </c>
      <c r="S181" s="158">
        <f>LOOKUP($A181,'GDP data'!$A$2:$A$192,'GDP data'!K$2:K$192)</f>
        <v>2870.25</v>
      </c>
      <c r="T181" s="156"/>
      <c r="U181" s="156"/>
      <c r="V181" s="133">
        <f t="shared" si="88"/>
        <v>0.24606336205256837</v>
      </c>
      <c r="W181" s="133">
        <f t="shared" si="89"/>
        <v>0.25281523882091345</v>
      </c>
      <c r="X181" s="133">
        <f t="shared" si="90"/>
        <v>0.25967244062978007</v>
      </c>
      <c r="Y181" s="133">
        <f t="shared" si="91"/>
        <v>0.26103855610068555</v>
      </c>
      <c r="Z181" s="133">
        <f t="shared" si="92"/>
        <v>0.26032301853824585</v>
      </c>
      <c r="AA181" s="133">
        <f t="shared" si="93"/>
        <v>0.25966179191317629</v>
      </c>
      <c r="AB181" s="133">
        <f t="shared" si="94"/>
        <v>0.25947996318481148</v>
      </c>
      <c r="AC181" s="133">
        <f t="shared" si="95"/>
        <v>0.25939056659701981</v>
      </c>
      <c r="AD181" s="156"/>
      <c r="AE181" s="156"/>
      <c r="AF181" s="159">
        <f t="shared" si="96"/>
        <v>1.0103037040471798E-2</v>
      </c>
      <c r="AG181" s="159">
        <f t="shared" si="97"/>
        <v>9.5119394941580535E-3</v>
      </c>
      <c r="AH181" s="159">
        <f t="shared" si="98"/>
        <v>9.3250544009101256E-3</v>
      </c>
      <c r="AI181" s="159">
        <f t="shared" si="99"/>
        <v>1.0243150957027099E-2</v>
      </c>
      <c r="AJ181" s="159">
        <f t="shared" si="100"/>
        <v>9.9656925707507695E-3</v>
      </c>
      <c r="AK181" s="159">
        <f t="shared" si="101"/>
        <v>1.1747248307592363E-2</v>
      </c>
      <c r="AL181" s="159">
        <f t="shared" si="102"/>
        <v>1.2521760005253537E-2</v>
      </c>
      <c r="AM181" s="159">
        <f t="shared" si="103"/>
        <v>1.2605492840841155E-2</v>
      </c>
    </row>
    <row r="182" spans="1:40" hidden="1" outlineLevel="1">
      <c r="A182" s="160" t="s">
        <v>331</v>
      </c>
      <c r="B182" s="133">
        <f>LOOKUP($A182,'GDP data'!$A$2:$A$192,'GDP data'!P$2:P$192)</f>
        <v>6.6680741757275008E-2</v>
      </c>
      <c r="C182" s="133">
        <f>LOOKUP($A182,'GDP data'!$A$2:$A$192,'GDP data'!Q$2:Q$192)</f>
        <v>5.9906313914363185E-2</v>
      </c>
      <c r="D182" s="133">
        <f>LOOKUP($A182,'GDP data'!$A$2:$A$192,'GDP data'!R$2:R$192)</f>
        <v>6.0379707438530827E-2</v>
      </c>
      <c r="E182" s="133">
        <f>LOOKUP($A182,'GDP data'!$A$2:$A$192,'GDP data'!S$2:S$192)</f>
        <v>6.3193425300851258E-2</v>
      </c>
      <c r="F182" s="133">
        <f>LOOKUP($A182,'GDP data'!$A$2:$A$192,'GDP data'!T$2:T$192)</f>
        <v>6.3247108190928492E-2</v>
      </c>
      <c r="G182" s="133">
        <f>LOOKUP($A182,'GDP data'!$A$2:$A$192,'GDP data'!U$2:U$192)</f>
        <v>6.7300202523757457E-2</v>
      </c>
      <c r="H182" s="133">
        <f>LOOKUP($A182,'GDP data'!$A$2:$A$192,'GDP data'!V$2:V$192)</f>
        <v>6.6973191261616272E-2</v>
      </c>
      <c r="I182" s="133">
        <f>LOOKUP($A182,'GDP data'!$A$2:$A$192,'GDP data'!W$2:W$192)</f>
        <v>6.6713787364052868E-2</v>
      </c>
      <c r="J182" s="851"/>
      <c r="K182" s="156"/>
      <c r="L182" s="158">
        <f>LOOKUP($A182,'GDP data'!$A$2:$A$192,'GDP data'!D$2:D$192)</f>
        <v>30.314</v>
      </c>
      <c r="M182" s="158">
        <f>LOOKUP($A182,'GDP data'!$A$2:$A$192,'GDP data'!E$2:E$192)</f>
        <v>32.130000000000003</v>
      </c>
      <c r="N182" s="158">
        <f>LOOKUP($A182,'GDP data'!$A$2:$A$192,'GDP data'!F$2:F$192)</f>
        <v>34.07</v>
      </c>
      <c r="O182" s="158">
        <f>LOOKUP($A182,'GDP data'!$A$2:$A$192,'GDP data'!G$2:G$192)</f>
        <v>36.222999999999999</v>
      </c>
      <c r="P182" s="158">
        <f>LOOKUP($A182,'GDP data'!$A$2:$A$192,'GDP data'!H$2:H$192)</f>
        <v>38.514000000000003</v>
      </c>
      <c r="Q182" s="158">
        <f>LOOKUP($A182,'GDP data'!$A$2:$A$192,'GDP data'!I$2:I$192)</f>
        <v>41.106000000000002</v>
      </c>
      <c r="R182" s="158">
        <f>LOOKUP($A182,'GDP data'!$A$2:$A$192,'GDP data'!J$2:J$192)</f>
        <v>43.859000000000002</v>
      </c>
      <c r="S182" s="158">
        <f>LOOKUP($A182,'GDP data'!$A$2:$A$192,'GDP data'!K$2:K$192)</f>
        <v>46.784999999999997</v>
      </c>
      <c r="T182" s="156"/>
      <c r="U182" s="156"/>
      <c r="V182" s="133">
        <f t="shared" si="88"/>
        <v>3.4630327480159881E-3</v>
      </c>
      <c r="W182" s="133">
        <f t="shared" si="89"/>
        <v>3.6344636745366623E-3</v>
      </c>
      <c r="X182" s="133">
        <f t="shared" si="90"/>
        <v>3.8212194209916064E-3</v>
      </c>
      <c r="Y182" s="133">
        <f t="shared" si="91"/>
        <v>3.9298611513431045E-3</v>
      </c>
      <c r="Z182" s="133">
        <f t="shared" si="92"/>
        <v>4.0133218861508292E-3</v>
      </c>
      <c r="AA182" s="133">
        <f t="shared" si="93"/>
        <v>4.0876133065705011E-3</v>
      </c>
      <c r="AB182" s="133">
        <f t="shared" si="94"/>
        <v>4.1576819285637848E-3</v>
      </c>
      <c r="AC182" s="133">
        <f t="shared" si="95"/>
        <v>4.2280594576227055E-3</v>
      </c>
      <c r="AD182" s="156"/>
      <c r="AE182" s="156"/>
      <c r="AF182" s="159">
        <f t="shared" si="96"/>
        <v>2.3091759236744053E-4</v>
      </c>
      <c r="AG182" s="159">
        <f t="shared" si="97"/>
        <v>2.1772732179714321E-4</v>
      </c>
      <c r="AH182" s="159">
        <f t="shared" si="98"/>
        <v>2.3072411069790537E-4</v>
      </c>
      <c r="AI182" s="159">
        <f t="shared" si="99"/>
        <v>2.4834138711011779E-4</v>
      </c>
      <c r="AJ182" s="159">
        <f t="shared" si="100"/>
        <v>2.5383100353840269E-4</v>
      </c>
      <c r="AK182" s="159">
        <f t="shared" si="101"/>
        <v>2.7509720337100062E-4</v>
      </c>
      <c r="AL182" s="159">
        <f t="shared" si="102"/>
        <v>2.7845322700666798E-4</v>
      </c>
      <c r="AM182" s="159">
        <f t="shared" si="103"/>
        <v>2.8206985961841386E-4</v>
      </c>
    </row>
    <row r="183" spans="1:40" hidden="1" outlineLevel="1">
      <c r="A183" s="160" t="s">
        <v>338</v>
      </c>
      <c r="B183" s="133">
        <f>LOOKUP($A183,'GDP data'!$A$2:$A$192,'GDP data'!P$2:P$192)</f>
        <v>7.9561966658740824E-2</v>
      </c>
      <c r="C183" s="133">
        <f>LOOKUP($A183,'GDP data'!$A$2:$A$192,'GDP data'!Q$2:Q$192)</f>
        <v>6.9244417252982693E-2</v>
      </c>
      <c r="D183" s="133">
        <f>LOOKUP($A183,'GDP data'!$A$2:$A$192,'GDP data'!R$2:R$192)</f>
        <v>6.208230339650278E-2</v>
      </c>
      <c r="E183" s="133">
        <f>LOOKUP($A183,'GDP data'!$A$2:$A$192,'GDP data'!S$2:S$192)</f>
        <v>7.1340064002413772E-2</v>
      </c>
      <c r="F183" s="133">
        <f>LOOKUP($A183,'GDP data'!$A$2:$A$192,'GDP data'!T$2:T$192)</f>
        <v>7.6506084682691267E-2</v>
      </c>
      <c r="G183" s="133">
        <f>LOOKUP($A183,'GDP data'!$A$2:$A$192,'GDP data'!U$2:U$192)</f>
        <v>8.0570270093518914E-2</v>
      </c>
      <c r="H183" s="133">
        <f>LOOKUP($A183,'GDP data'!$A$2:$A$192,'GDP data'!V$2:V$192)</f>
        <v>7.8211324474109611E-2</v>
      </c>
      <c r="I183" s="133">
        <f>LOOKUP($A183,'GDP data'!$A$2:$A$192,'GDP data'!W$2:W$192)</f>
        <v>7.6916291787951119E-2</v>
      </c>
      <c r="J183" s="851"/>
      <c r="K183" s="156"/>
      <c r="L183" s="158">
        <f>LOOKUP($A183,'GDP data'!$A$2:$A$192,'GDP data'!D$2:D$192)</f>
        <v>81.724999999999994</v>
      </c>
      <c r="M183" s="158">
        <f>LOOKUP($A183,'GDP data'!$A$2:$A$192,'GDP data'!E$2:E$192)</f>
        <v>87.384</v>
      </c>
      <c r="N183" s="158">
        <f>LOOKUP($A183,'GDP data'!$A$2:$A$192,'GDP data'!F$2:F$192)</f>
        <v>92.808999999999997</v>
      </c>
      <c r="O183" s="158">
        <f>LOOKUP($A183,'GDP data'!$A$2:$A$192,'GDP data'!G$2:G$192)</f>
        <v>99.43</v>
      </c>
      <c r="P183" s="158">
        <f>LOOKUP($A183,'GDP data'!$A$2:$A$192,'GDP data'!H$2:H$192)</f>
        <v>107.03700000000001</v>
      </c>
      <c r="Q183" s="158">
        <f>LOOKUP($A183,'GDP data'!$A$2:$A$192,'GDP data'!I$2:I$192)</f>
        <v>115.661</v>
      </c>
      <c r="R183" s="158">
        <f>LOOKUP($A183,'GDP data'!$A$2:$A$192,'GDP data'!J$2:J$192)</f>
        <v>124.70699999999999</v>
      </c>
      <c r="S183" s="158">
        <f>LOOKUP($A183,'GDP data'!$A$2:$A$192,'GDP data'!K$2:K$192)</f>
        <v>134.29900000000001</v>
      </c>
      <c r="T183" s="156"/>
      <c r="U183" s="156"/>
      <c r="V183" s="133">
        <f t="shared" si="88"/>
        <v>9.3361599040577489E-3</v>
      </c>
      <c r="W183" s="133">
        <f t="shared" si="89"/>
        <v>9.8846552672179171E-3</v>
      </c>
      <c r="X183" s="133">
        <f t="shared" si="90"/>
        <v>1.0409261909093337E-2</v>
      </c>
      <c r="Y183" s="133">
        <f t="shared" si="91"/>
        <v>1.0787237232643484E-2</v>
      </c>
      <c r="Z183" s="133">
        <f t="shared" si="92"/>
        <v>1.115370864433521E-2</v>
      </c>
      <c r="AA183" s="133">
        <f t="shared" si="93"/>
        <v>1.1501421754762096E-2</v>
      </c>
      <c r="AB183" s="133">
        <f t="shared" si="94"/>
        <v>1.1821793480594719E-2</v>
      </c>
      <c r="AC183" s="133">
        <f t="shared" si="95"/>
        <v>1.2136884837004848E-2</v>
      </c>
      <c r="AD183" s="156"/>
      <c r="AE183" s="156"/>
      <c r="AF183" s="159">
        <f t="shared" si="96"/>
        <v>7.4280324300731555E-4</v>
      </c>
      <c r="AG183" s="159">
        <f t="shared" si="97"/>
        <v>6.8445719372513063E-4</v>
      </c>
      <c r="AH183" s="159">
        <f t="shared" si="98"/>
        <v>6.4623095597399227E-4</v>
      </c>
      <c r="AI183" s="159">
        <f t="shared" si="99"/>
        <v>7.6956219458600703E-4</v>
      </c>
      <c r="AJ183" s="159">
        <f t="shared" si="100"/>
        <v>8.5332657806957523E-4</v>
      </c>
      <c r="AK183" s="159">
        <f t="shared" si="101"/>
        <v>9.2667265724065634E-4</v>
      </c>
      <c r="AL183" s="159">
        <f t="shared" si="102"/>
        <v>9.2459812577670719E-4</v>
      </c>
      <c r="AM183" s="159">
        <f t="shared" si="103"/>
        <v>9.335241755198244E-4</v>
      </c>
    </row>
    <row r="184" spans="1:40" hidden="1" outlineLevel="1">
      <c r="A184" s="160" t="s">
        <v>340</v>
      </c>
      <c r="B184" s="133">
        <f>LOOKUP($A184,'GDP data'!$A$2:$A$192,'GDP data'!P$2:P$192)</f>
        <v>6.6012715712988168E-2</v>
      </c>
      <c r="C184" s="133">
        <f>LOOKUP($A184,'GDP data'!$A$2:$A$192,'GDP data'!Q$2:Q$192)</f>
        <v>4.0794765183014281E-2</v>
      </c>
      <c r="D184" s="133">
        <f>LOOKUP($A184,'GDP data'!$A$2:$A$192,'GDP data'!R$2:R$192)</f>
        <v>5.419299911588471E-2</v>
      </c>
      <c r="E184" s="133">
        <f>LOOKUP($A184,'GDP data'!$A$2:$A$192,'GDP data'!S$2:S$192)</f>
        <v>5.6796297446729094E-2</v>
      </c>
      <c r="F184" s="133">
        <f>LOOKUP($A184,'GDP data'!$A$2:$A$192,'GDP data'!T$2:T$192)</f>
        <v>6.0136674259681167E-2</v>
      </c>
      <c r="G184" s="133">
        <f>LOOKUP($A184,'GDP data'!$A$2:$A$192,'GDP data'!U$2:U$192)</f>
        <v>6.0953463548525821E-2</v>
      </c>
      <c r="H184" s="133">
        <f>LOOKUP($A184,'GDP data'!$A$2:$A$192,'GDP data'!V$2:V$192)</f>
        <v>6.0117072150939421E-2</v>
      </c>
      <c r="I184" s="133">
        <f>LOOKUP($A184,'GDP data'!$A$2:$A$192,'GDP data'!W$2:W$192)</f>
        <v>5.978924015529663E-2</v>
      </c>
      <c r="J184" s="851"/>
      <c r="K184" s="156"/>
      <c r="L184" s="158">
        <f>LOOKUP($A184,'GDP data'!$A$2:$A$192,'GDP data'!D$2:D$192)</f>
        <v>58.683999999999997</v>
      </c>
      <c r="M184" s="158">
        <f>LOOKUP($A184,'GDP data'!$A$2:$A$192,'GDP data'!E$2:E$192)</f>
        <v>61.078000000000003</v>
      </c>
      <c r="N184" s="158">
        <f>LOOKUP($A184,'GDP data'!$A$2:$A$192,'GDP data'!F$2:F$192)</f>
        <v>64.388000000000005</v>
      </c>
      <c r="O184" s="158">
        <f>LOOKUP($A184,'GDP data'!$A$2:$A$192,'GDP data'!G$2:G$192)</f>
        <v>68.045000000000002</v>
      </c>
      <c r="P184" s="158">
        <f>LOOKUP($A184,'GDP data'!$A$2:$A$192,'GDP data'!H$2:H$192)</f>
        <v>72.137</v>
      </c>
      <c r="Q184" s="158">
        <f>LOOKUP($A184,'GDP data'!$A$2:$A$192,'GDP data'!I$2:I$192)</f>
        <v>76.534000000000006</v>
      </c>
      <c r="R184" s="158">
        <f>LOOKUP($A184,'GDP data'!$A$2:$A$192,'GDP data'!J$2:J$192)</f>
        <v>81.135000000000005</v>
      </c>
      <c r="S184" s="158">
        <f>LOOKUP($A184,'GDP data'!$A$2:$A$192,'GDP data'!K$2:K$192)</f>
        <v>85.986000000000004</v>
      </c>
      <c r="T184" s="156"/>
      <c r="U184" s="156"/>
      <c r="V184" s="133">
        <f t="shared" si="88"/>
        <v>6.7039854121716119E-3</v>
      </c>
      <c r="W184" s="133">
        <f t="shared" si="89"/>
        <v>6.9089876225754826E-3</v>
      </c>
      <c r="X184" s="133">
        <f t="shared" si="90"/>
        <v>7.221622426733419E-3</v>
      </c>
      <c r="Y184" s="133">
        <f t="shared" si="91"/>
        <v>7.3822544251757605E-3</v>
      </c>
      <c r="Z184" s="133">
        <f t="shared" si="92"/>
        <v>7.5169808615376836E-3</v>
      </c>
      <c r="AA184" s="133">
        <f t="shared" si="93"/>
        <v>7.610601780885194E-3</v>
      </c>
      <c r="AB184" s="133">
        <f t="shared" si="94"/>
        <v>7.6913181621565165E-3</v>
      </c>
      <c r="AC184" s="133">
        <f t="shared" si="95"/>
        <v>7.7707367857891632E-3</v>
      </c>
      <c r="AD184" s="156"/>
      <c r="AE184" s="156"/>
      <c r="AF184" s="159">
        <f t="shared" si="96"/>
        <v>4.4254828315770444E-4</v>
      </c>
      <c r="AG184" s="159">
        <f t="shared" si="97"/>
        <v>2.8185052771531892E-4</v>
      </c>
      <c r="AH184" s="159">
        <f t="shared" si="98"/>
        <v>3.9136137778721737E-4</v>
      </c>
      <c r="AI184" s="159">
        <f t="shared" si="99"/>
        <v>4.192847181597146E-4</v>
      </c>
      <c r="AJ184" s="159">
        <f t="shared" si="100"/>
        <v>4.5204622948654918E-4</v>
      </c>
      <c r="AK184" s="159">
        <f t="shared" si="101"/>
        <v>4.6389253823353135E-4</v>
      </c>
      <c r="AL184" s="159">
        <f t="shared" si="102"/>
        <v>4.6237952889019408E-4</v>
      </c>
      <c r="AM184" s="159">
        <f t="shared" si="103"/>
        <v>4.6460644786914612E-4</v>
      </c>
    </row>
    <row r="185" spans="1:40" hidden="1" outlineLevel="1">
      <c r="A185" s="160" t="s">
        <v>341</v>
      </c>
      <c r="B185" s="133">
        <f>LOOKUP($A185,'GDP data'!$A$2:$A$192,'GDP data'!P$2:P$192)</f>
        <v>4.2434087146817401E-2</v>
      </c>
      <c r="C185" s="133">
        <f>LOOKUP($A185,'GDP data'!$A$2:$A$192,'GDP data'!Q$2:Q$192)</f>
        <v>4.415599874473819E-2</v>
      </c>
      <c r="D185" s="133">
        <f>LOOKUP($A185,'GDP data'!$A$2:$A$192,'GDP data'!R$2:R$192)</f>
        <v>5.3261168082162635E-2</v>
      </c>
      <c r="E185" s="133">
        <f>LOOKUP($A185,'GDP data'!$A$2:$A$192,'GDP data'!S$2:S$192)</f>
        <v>4.4563284242219892E-2</v>
      </c>
      <c r="F185" s="133">
        <f>LOOKUP($A185,'GDP data'!$A$2:$A$192,'GDP data'!T$2:T$192)</f>
        <v>5.7729035722107414E-2</v>
      </c>
      <c r="G185" s="133">
        <f>LOOKUP($A185,'GDP data'!$A$2:$A$192,'GDP data'!U$2:U$192)</f>
        <v>6.2125823494443955E-2</v>
      </c>
      <c r="H185" s="133">
        <f>LOOKUP($A185,'GDP data'!$A$2:$A$192,'GDP data'!V$2:V$192)</f>
        <v>6.056508970626151E-2</v>
      </c>
      <c r="I185" s="133">
        <f>LOOKUP($A185,'GDP data'!$A$2:$A$192,'GDP data'!W$2:W$192)</f>
        <v>5.940705603320473E-2</v>
      </c>
      <c r="J185" s="851"/>
      <c r="K185" s="156"/>
      <c r="L185" s="158">
        <f>LOOKUP($A185,'GDP data'!$A$2:$A$192,'GDP data'!D$2:D$192)</f>
        <v>369.64400000000001</v>
      </c>
      <c r="M185" s="158">
        <f>LOOKUP($A185,'GDP data'!$A$2:$A$192,'GDP data'!E$2:E$192)</f>
        <v>385.96600000000001</v>
      </c>
      <c r="N185" s="158">
        <f>LOOKUP($A185,'GDP data'!$A$2:$A$192,'GDP data'!F$2:F$192)</f>
        <v>406.52300000000002</v>
      </c>
      <c r="O185" s="158">
        <f>LOOKUP($A185,'GDP data'!$A$2:$A$192,'GDP data'!G$2:G$192)</f>
        <v>424.63900000000001</v>
      </c>
      <c r="P185" s="158">
        <f>LOOKUP($A185,'GDP data'!$A$2:$A$192,'GDP data'!H$2:H$192)</f>
        <v>449.15300000000002</v>
      </c>
      <c r="Q185" s="158">
        <f>LOOKUP($A185,'GDP data'!$A$2:$A$192,'GDP data'!I$2:I$192)</f>
        <v>477.05700000000002</v>
      </c>
      <c r="R185" s="158">
        <f>LOOKUP($A185,'GDP data'!$A$2:$A$192,'GDP data'!J$2:J$192)</f>
        <v>505.95</v>
      </c>
      <c r="S185" s="158">
        <f>LOOKUP($A185,'GDP data'!$A$2:$A$192,'GDP data'!K$2:K$192)</f>
        <v>536.00699999999995</v>
      </c>
      <c r="T185" s="156"/>
      <c r="U185" s="156"/>
      <c r="V185" s="133">
        <f t="shared" si="88"/>
        <v>4.2227659731728637E-2</v>
      </c>
      <c r="W185" s="133">
        <f t="shared" si="89"/>
        <v>4.3659489779216229E-2</v>
      </c>
      <c r="X185" s="133">
        <f t="shared" si="90"/>
        <v>4.5594763213377486E-2</v>
      </c>
      <c r="Y185" s="133">
        <f t="shared" si="91"/>
        <v>4.6069411960499816E-2</v>
      </c>
      <c r="Z185" s="133">
        <f t="shared" si="92"/>
        <v>4.6803644522259526E-2</v>
      </c>
      <c r="AA185" s="133">
        <f t="shared" si="93"/>
        <v>4.7438927192930559E-2</v>
      </c>
      <c r="AB185" s="133">
        <f t="shared" si="94"/>
        <v>4.7962314958317487E-2</v>
      </c>
      <c r="AC185" s="133">
        <f t="shared" si="95"/>
        <v>4.844008690182694E-2</v>
      </c>
      <c r="AD185" s="156"/>
      <c r="AE185" s="156"/>
      <c r="AF185" s="159">
        <f t="shared" si="96"/>
        <v>1.7918921930623248E-3</v>
      </c>
      <c r="AG185" s="159">
        <f t="shared" si="97"/>
        <v>1.9278283758869816E-3</v>
      </c>
      <c r="AH185" s="159">
        <f t="shared" si="98"/>
        <v>2.4284303471741042E-3</v>
      </c>
      <c r="AI185" s="159">
        <f t="shared" si="99"/>
        <v>2.0530043000676779E-3</v>
      </c>
      <c r="AJ185" s="159">
        <f t="shared" si="100"/>
        <v>2.701929266550337E-3</v>
      </c>
      <c r="AK185" s="159">
        <f t="shared" si="101"/>
        <v>2.9471824175537815E-3</v>
      </c>
      <c r="AL185" s="159">
        <f t="shared" si="102"/>
        <v>2.9048419079704671E-3</v>
      </c>
      <c r="AM185" s="159">
        <f t="shared" si="103"/>
        <v>2.8776829568301393E-3</v>
      </c>
    </row>
    <row r="186" spans="1:40" hidden="1" outlineLevel="1">
      <c r="A186" s="160" t="s">
        <v>345</v>
      </c>
      <c r="B186" s="133">
        <f>LOOKUP($A186,'GDP data'!$A$2:$A$192,'GDP data'!P$2:P$192)</f>
        <v>5.8311059073647975E-3</v>
      </c>
      <c r="C186" s="133">
        <f>LOOKUP($A186,'GDP data'!$A$2:$A$192,'GDP data'!Q$2:Q$192)</f>
        <v>-3.9822941077360952E-4</v>
      </c>
      <c r="D186" s="133">
        <f>LOOKUP($A186,'GDP data'!$A$2:$A$192,'GDP data'!R$2:R$192)</f>
        <v>-1.3637129767249401E-2</v>
      </c>
      <c r="E186" s="133">
        <f>LOOKUP($A186,'GDP data'!$A$2:$A$192,'GDP data'!S$2:S$192)</f>
        <v>-1.1068305034719561E-2</v>
      </c>
      <c r="F186" s="133">
        <f>LOOKUP($A186,'GDP data'!$A$2:$A$192,'GDP data'!T$2:T$192)</f>
        <v>-6.079122846977314E-3</v>
      </c>
      <c r="G186" s="133">
        <f>LOOKUP($A186,'GDP data'!$A$2:$A$192,'GDP data'!U$2:U$192)</f>
        <v>7.0408622883197935E-3</v>
      </c>
      <c r="H186" s="133">
        <f>LOOKUP($A186,'GDP data'!$A$2:$A$192,'GDP data'!V$2:V$192)</f>
        <v>8.7885873915158896E-3</v>
      </c>
      <c r="I186" s="133">
        <f>LOOKUP($A186,'GDP data'!$A$2:$A$192,'GDP data'!W$2:W$192)</f>
        <v>1.055554691267746E-2</v>
      </c>
      <c r="J186" s="851"/>
      <c r="K186" s="156"/>
      <c r="L186" s="158">
        <f>LOOKUP($A186,'GDP data'!$A$2:$A$192,'GDP data'!D$2:D$192)</f>
        <v>130.578</v>
      </c>
      <c r="M186" s="158">
        <f>LOOKUP($A186,'GDP data'!$A$2:$A$192,'GDP data'!E$2:E$192)</f>
        <v>130.52600000000001</v>
      </c>
      <c r="N186" s="158">
        <f>LOOKUP($A186,'GDP data'!$A$2:$A$192,'GDP data'!F$2:F$192)</f>
        <v>128.74600000000001</v>
      </c>
      <c r="O186" s="158">
        <f>LOOKUP($A186,'GDP data'!$A$2:$A$192,'GDP data'!G$2:G$192)</f>
        <v>127.321</v>
      </c>
      <c r="P186" s="158">
        <f>LOOKUP($A186,'GDP data'!$A$2:$A$192,'GDP data'!H$2:H$192)</f>
        <v>126.547</v>
      </c>
      <c r="Q186" s="158">
        <f>LOOKUP($A186,'GDP data'!$A$2:$A$192,'GDP data'!I$2:I$192)</f>
        <v>127.438</v>
      </c>
      <c r="R186" s="158">
        <f>LOOKUP($A186,'GDP data'!$A$2:$A$192,'GDP data'!J$2:J$192)</f>
        <v>128.55799999999999</v>
      </c>
      <c r="S186" s="158">
        <f>LOOKUP($A186,'GDP data'!$A$2:$A$192,'GDP data'!K$2:K$192)</f>
        <v>129.91499999999999</v>
      </c>
      <c r="T186" s="156"/>
      <c r="U186" s="156"/>
      <c r="V186" s="133">
        <f t="shared" si="88"/>
        <v>1.4917064398312058E-2</v>
      </c>
      <c r="W186" s="133">
        <f t="shared" si="89"/>
        <v>1.4764768303223543E-2</v>
      </c>
      <c r="X186" s="133">
        <f t="shared" si="90"/>
        <v>1.443988011667113E-2</v>
      </c>
      <c r="Y186" s="133">
        <f t="shared" si="91"/>
        <v>1.3813153290731179E-2</v>
      </c>
      <c r="Z186" s="133">
        <f t="shared" si="92"/>
        <v>1.3186733258730045E-2</v>
      </c>
      <c r="AA186" s="133">
        <f t="shared" si="93"/>
        <v>1.2672535993838651E-2</v>
      </c>
      <c r="AB186" s="133">
        <f t="shared" si="94"/>
        <v>1.2186854998342482E-2</v>
      </c>
      <c r="AC186" s="133">
        <f t="shared" si="95"/>
        <v>1.1740693479471065E-2</v>
      </c>
      <c r="AD186" s="156"/>
      <c r="AE186" s="156"/>
      <c r="AF186" s="159">
        <f t="shared" si="96"/>
        <v>8.6982982333538543E-5</v>
      </c>
      <c r="AG186" s="159">
        <f t="shared" si="97"/>
        <v>-5.879764981601578E-6</v>
      </c>
      <c r="AH186" s="159">
        <f t="shared" si="98"/>
        <v>-1.9691851897456862E-4</v>
      </c>
      <c r="AI186" s="159">
        <f t="shared" si="99"/>
        <v>-1.5288819411315296E-4</v>
      </c>
      <c r="AJ186" s="159">
        <f t="shared" si="100"/>
        <v>-8.016377143014143E-5</v>
      </c>
      <c r="AK186" s="159">
        <f t="shared" si="101"/>
        <v>8.9225580776393747E-5</v>
      </c>
      <c r="AL186" s="159">
        <f t="shared" si="102"/>
        <v>1.0710524018066514E-4</v>
      </c>
      <c r="AM186" s="159">
        <f t="shared" si="103"/>
        <v>1.239294408099232E-4</v>
      </c>
    </row>
    <row r="187" spans="1:40" hidden="1" outlineLevel="1">
      <c r="A187" s="160" t="s">
        <v>391</v>
      </c>
      <c r="B187" s="133">
        <f>LOOKUP($A187,'GDP data'!$A$2:$A$192,'GDP data'!P$2:P$192)</f>
        <v>5.0924018598081267E-2</v>
      </c>
      <c r="C187" s="133">
        <f>LOOKUP($A187,'GDP data'!$A$2:$A$192,'GDP data'!Q$2:Q$192)</f>
        <v>1.4588729436471937E-2</v>
      </c>
      <c r="D187" s="133">
        <f>LOOKUP($A187,'GDP data'!$A$2:$A$192,'GDP data'!R$2:R$192)</f>
        <v>2.7474574633971294E-2</v>
      </c>
      <c r="E187" s="133">
        <f>LOOKUP($A187,'GDP data'!$A$2:$A$192,'GDP data'!S$2:S$192)</f>
        <v>5.3036611243922671E-2</v>
      </c>
      <c r="F187" s="133">
        <f>LOOKUP($A187,'GDP data'!$A$2:$A$192,'GDP data'!T$2:T$192)</f>
        <v>5.1003099213080549E-2</v>
      </c>
      <c r="G187" s="133">
        <f>LOOKUP($A187,'GDP data'!$A$2:$A$192,'GDP data'!U$2:U$192)</f>
        <v>5.3005849088658463E-2</v>
      </c>
      <c r="H187" s="133">
        <f>LOOKUP($A187,'GDP data'!$A$2:$A$192,'GDP data'!V$2:V$192)</f>
        <v>5.2688593357457236E-2</v>
      </c>
      <c r="I187" s="133">
        <f>LOOKUP($A187,'GDP data'!$A$2:$A$192,'GDP data'!W$2:W$192)</f>
        <v>5.1387033915004432E-2</v>
      </c>
      <c r="J187" s="851"/>
      <c r="K187" s="156"/>
      <c r="L187" s="158">
        <f>LOOKUP($A187,'GDP data'!$A$2:$A$192,'GDP data'!D$2:D$192)</f>
        <v>71.424999999999997</v>
      </c>
      <c r="M187" s="158">
        <f>LOOKUP($A187,'GDP data'!$A$2:$A$192,'GDP data'!E$2:E$192)</f>
        <v>72.466999999999999</v>
      </c>
      <c r="N187" s="158">
        <f>LOOKUP($A187,'GDP data'!$A$2:$A$192,'GDP data'!F$2:F$192)</f>
        <v>74.457999999999998</v>
      </c>
      <c r="O187" s="158">
        <f>LOOKUP($A187,'GDP data'!$A$2:$A$192,'GDP data'!G$2:G$192)</f>
        <v>78.406999999999996</v>
      </c>
      <c r="P187" s="158">
        <f>LOOKUP($A187,'GDP data'!$A$2:$A$192,'GDP data'!H$2:H$192)</f>
        <v>82.406000000000006</v>
      </c>
      <c r="Q187" s="158">
        <f>LOOKUP($A187,'GDP data'!$A$2:$A$192,'GDP data'!I$2:I$192)</f>
        <v>86.774000000000001</v>
      </c>
      <c r="R187" s="158">
        <f>LOOKUP($A187,'GDP data'!$A$2:$A$192,'GDP data'!J$2:J$192)</f>
        <v>91.346000000000004</v>
      </c>
      <c r="S187" s="158">
        <f>LOOKUP($A187,'GDP data'!$A$2:$A$192,'GDP data'!K$2:K$192)</f>
        <v>96.04</v>
      </c>
      <c r="T187" s="156"/>
      <c r="U187" s="156"/>
      <c r="V187" s="133">
        <f t="shared" si="88"/>
        <v>8.1595010235218698E-3</v>
      </c>
      <c r="W187" s="133">
        <f t="shared" si="89"/>
        <v>8.197282262765275E-3</v>
      </c>
      <c r="X187" s="133">
        <f t="shared" si="90"/>
        <v>8.3510524111591738E-3</v>
      </c>
      <c r="Y187" s="133">
        <f t="shared" si="91"/>
        <v>8.5064357809501931E-3</v>
      </c>
      <c r="Z187" s="133">
        <f t="shared" si="92"/>
        <v>8.5870541452496563E-3</v>
      </c>
      <c r="AA187" s="133">
        <f t="shared" si="93"/>
        <v>8.6288755185215948E-3</v>
      </c>
      <c r="AB187" s="133">
        <f t="shared" si="94"/>
        <v>8.659285744011206E-3</v>
      </c>
      <c r="AC187" s="133">
        <f t="shared" si="95"/>
        <v>8.6793380423230669E-3</v>
      </c>
      <c r="AD187" s="156"/>
      <c r="AE187" s="156"/>
      <c r="AF187" s="159">
        <f t="shared" si="96"/>
        <v>4.1551458187289082E-4</v>
      </c>
      <c r="AG187" s="159">
        <f t="shared" si="97"/>
        <v>1.1958793304587305E-4</v>
      </c>
      <c r="AH187" s="159">
        <f t="shared" si="98"/>
        <v>2.2944161274259865E-4</v>
      </c>
      <c r="AI187" s="159">
        <f t="shared" si="99"/>
        <v>4.5115252758564912E-4</v>
      </c>
      <c r="AJ187" s="159">
        <f t="shared" si="100"/>
        <v>4.3796637451826284E-4</v>
      </c>
      <c r="AK187" s="159">
        <f t="shared" si="101"/>
        <v>4.5738087353957522E-4</v>
      </c>
      <c r="AL187" s="159">
        <f t="shared" si="102"/>
        <v>4.5624558533223297E-4</v>
      </c>
      <c r="AM187" s="159">
        <f t="shared" si="103"/>
        <v>4.4600543834064359E-4</v>
      </c>
    </row>
    <row r="188" spans="1:40" hidden="1" outlineLevel="1">
      <c r="A188" s="160" t="s">
        <v>394</v>
      </c>
      <c r="B188" s="133">
        <f>LOOKUP($A188,'GDP data'!$A$2:$A$192,'GDP data'!P$2:P$192)</f>
        <v>1.6028486415296861E-2</v>
      </c>
      <c r="C188" s="133">
        <f>LOOKUP($A188,'GDP data'!$A$2:$A$192,'GDP data'!Q$2:Q$192)</f>
        <v>-0.27316895187617629</v>
      </c>
      <c r="D188" s="133">
        <f>LOOKUP($A188,'GDP data'!$A$2:$A$192,'GDP data'!R$2:R$192)</f>
        <v>-8.6277048270759993E-2</v>
      </c>
      <c r="E188" s="133">
        <f>LOOKUP($A188,'GDP data'!$A$2:$A$192,'GDP data'!S$2:S$192)</f>
        <v>-3.0795032313098991E-3</v>
      </c>
      <c r="F188" s="133">
        <f>LOOKUP($A188,'GDP data'!$A$2:$A$192,'GDP data'!T$2:T$192)</f>
        <v>0.10649128404443542</v>
      </c>
      <c r="G188" s="133">
        <f>LOOKUP($A188,'GDP data'!$A$2:$A$192,'GDP data'!U$2:U$192)</f>
        <v>0.15885290378389727</v>
      </c>
      <c r="H188" s="133">
        <f>LOOKUP($A188,'GDP data'!$A$2:$A$192,'GDP data'!V$2:V$192)</f>
        <v>9.6384179512989387E-2</v>
      </c>
      <c r="I188" s="133">
        <f>LOOKUP($A188,'GDP data'!$A$2:$A$192,'GDP data'!W$2:W$192)</f>
        <v>7.7120663510042542E-2</v>
      </c>
      <c r="J188" s="851"/>
      <c r="K188" s="156"/>
      <c r="L188" s="158">
        <f>LOOKUP($A188,'GDP data'!$A$2:$A$192,'GDP data'!D$2:D$192)</f>
        <v>104.148</v>
      </c>
      <c r="M188" s="158">
        <f>LOOKUP($A188,'GDP data'!$A$2:$A$192,'GDP data'!E$2:E$192)</f>
        <v>75.697999999999993</v>
      </c>
      <c r="N188" s="158">
        <f>LOOKUP($A188,'GDP data'!$A$2:$A$192,'GDP data'!F$2:F$192)</f>
        <v>69.167000000000002</v>
      </c>
      <c r="O188" s="158">
        <f>LOOKUP($A188,'GDP data'!$A$2:$A$192,'GDP data'!G$2:G$192)</f>
        <v>68.953999999999994</v>
      </c>
      <c r="P188" s="158">
        <f>LOOKUP($A188,'GDP data'!$A$2:$A$192,'GDP data'!H$2:H$192)</f>
        <v>76.296999999999997</v>
      </c>
      <c r="Q188" s="158">
        <f>LOOKUP($A188,'GDP data'!$A$2:$A$192,'GDP data'!I$2:I$192)</f>
        <v>88.417000000000002</v>
      </c>
      <c r="R188" s="158">
        <f>LOOKUP($A188,'GDP data'!$A$2:$A$192,'GDP data'!J$2:J$192)</f>
        <v>96.938999999999993</v>
      </c>
      <c r="S188" s="158">
        <f>LOOKUP($A188,'GDP data'!$A$2:$A$192,'GDP data'!K$2:K$192)</f>
        <v>104.41500000000001</v>
      </c>
      <c r="T188" s="156"/>
      <c r="U188" s="156"/>
      <c r="V188" s="133">
        <f t="shared" si="88"/>
        <v>1.1897734863111735E-2</v>
      </c>
      <c r="W188" s="133">
        <f t="shared" si="89"/>
        <v>8.562764744322323E-3</v>
      </c>
      <c r="X188" s="133">
        <f t="shared" si="90"/>
        <v>7.7576249982895936E-3</v>
      </c>
      <c r="Y188" s="133">
        <f t="shared" si="91"/>
        <v>7.4808725348456074E-3</v>
      </c>
      <c r="Z188" s="133">
        <f t="shared" si="92"/>
        <v>7.9504704769083907E-3</v>
      </c>
      <c r="AA188" s="133">
        <f t="shared" si="93"/>
        <v>8.7922567441989976E-3</v>
      </c>
      <c r="AB188" s="133">
        <f t="shared" si="94"/>
        <v>9.1894828535316504E-3</v>
      </c>
      <c r="AC188" s="133">
        <f t="shared" si="95"/>
        <v>9.4362045157139005E-3</v>
      </c>
      <c r="AD188" s="156"/>
      <c r="AE188" s="156"/>
      <c r="AF188" s="159">
        <f t="shared" si="96"/>
        <v>1.9070268162619031E-4</v>
      </c>
      <c r="AG188" s="159">
        <f t="shared" si="97"/>
        <v>-2.3390814703688036E-3</v>
      </c>
      <c r="AH188" s="159">
        <f t="shared" si="98"/>
        <v>-6.6930498644388568E-4</v>
      </c>
      <c r="AI188" s="159">
        <f t="shared" si="99"/>
        <v>-2.3037371144074526E-5</v>
      </c>
      <c r="AJ188" s="159">
        <f t="shared" si="100"/>
        <v>8.4665580984334937E-4</v>
      </c>
      <c r="AK188" s="159">
        <f t="shared" si="101"/>
        <v>1.3966755146295653E-3</v>
      </c>
      <c r="AL188" s="159">
        <f t="shared" si="102"/>
        <v>8.8572076498633252E-4</v>
      </c>
      <c r="AM188" s="159">
        <f t="shared" si="103"/>
        <v>7.2772635326831569E-4</v>
      </c>
    </row>
    <row r="189" spans="1:40" hidden="1" outlineLevel="1">
      <c r="B189" s="133"/>
      <c r="C189" s="133"/>
      <c r="D189" s="133"/>
      <c r="E189" s="133"/>
      <c r="F189" s="133"/>
      <c r="G189" s="133"/>
      <c r="H189" s="133"/>
      <c r="I189" s="133"/>
      <c r="J189" s="156"/>
      <c r="K189" s="156"/>
      <c r="L189" s="158"/>
      <c r="M189" s="158"/>
      <c r="N189" s="158"/>
      <c r="O189" s="158"/>
      <c r="P189" s="158"/>
      <c r="Q189" s="158"/>
      <c r="R189" s="158"/>
      <c r="S189" s="158"/>
      <c r="T189" s="156"/>
      <c r="U189" s="156"/>
      <c r="V189" s="133"/>
      <c r="W189" s="133"/>
      <c r="X189" s="133"/>
      <c r="Y189" s="133"/>
      <c r="Z189" s="133"/>
      <c r="AA189" s="133"/>
      <c r="AB189" s="133"/>
      <c r="AC189" s="133"/>
      <c r="AD189" s="156"/>
      <c r="AE189" s="958" t="s">
        <v>403</v>
      </c>
      <c r="AF189" s="959">
        <f>SUM(AF169:AF188)</f>
        <v>3.2557227865183183E-2</v>
      </c>
      <c r="AG189" s="959">
        <f t="shared" ref="AG189:AM189" si="104">SUM(AG169:AG188)</f>
        <v>1.1954786292162973E-2</v>
      </c>
      <c r="AH189" s="959">
        <f t="shared" si="104"/>
        <v>9.558665879148668E-3</v>
      </c>
      <c r="AI189" s="959">
        <f t="shared" si="104"/>
        <v>3.3938802873875892E-2</v>
      </c>
      <c r="AJ189" s="959">
        <f t="shared" si="104"/>
        <v>4.1282631000097783E-2</v>
      </c>
      <c r="AK189" s="959">
        <f t="shared" si="104"/>
        <v>4.8082166668457979E-2</v>
      </c>
      <c r="AL189" s="959">
        <f t="shared" si="104"/>
        <v>4.9091813707971714E-2</v>
      </c>
      <c r="AM189" s="959">
        <f t="shared" si="104"/>
        <v>4.9043727096140168E-2</v>
      </c>
      <c r="AN189" s="163"/>
    </row>
    <row r="190" spans="1:40" hidden="1" outlineLevel="1">
      <c r="B190" s="133"/>
      <c r="C190" s="133"/>
      <c r="D190" s="133"/>
      <c r="E190" s="133"/>
      <c r="F190" s="133"/>
      <c r="G190" s="133"/>
      <c r="H190" s="133"/>
      <c r="I190" s="133"/>
      <c r="J190" s="156"/>
      <c r="K190" s="156"/>
      <c r="L190" s="158"/>
      <c r="M190" s="158"/>
      <c r="N190" s="158"/>
      <c r="O190" s="158"/>
      <c r="P190" s="158"/>
      <c r="Q190" s="158"/>
      <c r="R190" s="158"/>
      <c r="S190" s="158"/>
      <c r="T190" s="156"/>
      <c r="U190" s="156"/>
      <c r="V190" s="133"/>
      <c r="W190" s="133"/>
      <c r="X190" s="133"/>
      <c r="Y190" s="133"/>
      <c r="Z190" s="133"/>
      <c r="AA190" s="133"/>
      <c r="AB190" s="133"/>
      <c r="AC190" s="133"/>
      <c r="AD190" s="156"/>
      <c r="AE190" s="958" t="s">
        <v>404</v>
      </c>
      <c r="AF190" s="959">
        <f t="shared" ref="AF190:AM190" si="105">AF189^1/4</f>
        <v>8.1393069662957958E-3</v>
      </c>
      <c r="AG190" s="959">
        <f t="shared" si="105"/>
        <v>2.9886965730407432E-3</v>
      </c>
      <c r="AH190" s="959">
        <f t="shared" si="105"/>
        <v>2.389666469787167E-3</v>
      </c>
      <c r="AI190" s="959">
        <f t="shared" si="105"/>
        <v>8.4847007184689731E-3</v>
      </c>
      <c r="AJ190" s="959">
        <f t="shared" si="105"/>
        <v>1.0320657750024446E-2</v>
      </c>
      <c r="AK190" s="959">
        <f t="shared" si="105"/>
        <v>1.2020541667114495E-2</v>
      </c>
      <c r="AL190" s="959">
        <f t="shared" si="105"/>
        <v>1.2272953426992929E-2</v>
      </c>
      <c r="AM190" s="959">
        <f t="shared" si="105"/>
        <v>1.2260931774035042E-2</v>
      </c>
      <c r="AN190" s="163"/>
    </row>
    <row r="191" spans="1:40" hidden="1" outlineLevel="1">
      <c r="A191" s="851"/>
      <c r="B191" s="133"/>
      <c r="C191" s="133"/>
      <c r="D191" s="133"/>
      <c r="E191" s="133"/>
      <c r="F191" s="133"/>
      <c r="G191" s="133"/>
      <c r="H191" s="133"/>
      <c r="I191" s="133"/>
      <c r="J191" s="851"/>
      <c r="K191" s="851"/>
      <c r="L191" s="158"/>
      <c r="M191" s="158"/>
      <c r="N191" s="158"/>
      <c r="O191" s="158"/>
      <c r="P191" s="158"/>
      <c r="Q191" s="158"/>
      <c r="R191" s="158"/>
      <c r="S191" s="158"/>
      <c r="T191" s="851"/>
      <c r="U191" s="851"/>
      <c r="V191" s="133"/>
      <c r="W191" s="133"/>
      <c r="X191" s="133"/>
      <c r="Y191" s="133"/>
      <c r="Z191" s="133"/>
      <c r="AA191" s="133"/>
      <c r="AB191" s="133"/>
      <c r="AC191" s="133"/>
      <c r="AD191" s="156"/>
      <c r="AE191" s="2"/>
      <c r="AF191" s="163"/>
      <c r="AG191" s="163"/>
      <c r="AH191" s="163"/>
      <c r="AI191" s="163"/>
      <c r="AJ191" s="163"/>
      <c r="AK191" s="163"/>
      <c r="AL191" s="163"/>
      <c r="AM191" s="159"/>
    </row>
    <row r="192" spans="1:40" hidden="1" outlineLevel="1">
      <c r="A192" s="851"/>
      <c r="B192" s="133"/>
      <c r="C192" s="133"/>
      <c r="D192" s="133"/>
      <c r="E192" s="133"/>
      <c r="F192" s="133"/>
      <c r="G192" s="133"/>
      <c r="H192" s="133"/>
      <c r="I192" s="133"/>
      <c r="J192" s="851"/>
      <c r="K192" s="851"/>
      <c r="L192" s="158"/>
      <c r="M192" s="158"/>
      <c r="N192" s="158"/>
      <c r="O192" s="158"/>
      <c r="P192" s="158"/>
      <c r="Q192" s="158"/>
      <c r="R192" s="158"/>
      <c r="S192" s="158"/>
      <c r="T192" s="851"/>
      <c r="U192" s="851"/>
      <c r="V192" s="133"/>
      <c r="W192" s="133"/>
      <c r="X192" s="133"/>
      <c r="Y192" s="133"/>
      <c r="Z192" s="133"/>
      <c r="AA192" s="133"/>
      <c r="AB192" s="133"/>
      <c r="AC192" s="133"/>
      <c r="AD192" s="156"/>
    </row>
    <row r="193" spans="1:39" s="9" customFormat="1" hidden="1" outlineLevel="1">
      <c r="B193" s="953"/>
      <c r="C193" s="953"/>
      <c r="D193" s="953"/>
      <c r="E193" s="953"/>
      <c r="F193" s="953"/>
      <c r="G193" s="953"/>
      <c r="H193" s="953"/>
      <c r="I193" s="953"/>
      <c r="L193" s="954"/>
      <c r="M193" s="954"/>
      <c r="N193" s="954"/>
      <c r="O193" s="954"/>
      <c r="P193" s="954"/>
      <c r="Q193" s="954"/>
      <c r="R193" s="954"/>
      <c r="S193" s="954"/>
      <c r="V193" s="953"/>
      <c r="W193" s="953"/>
      <c r="X193" s="953"/>
      <c r="Y193" s="953"/>
      <c r="Z193" s="953"/>
      <c r="AA193" s="953"/>
      <c r="AB193" s="953"/>
      <c r="AC193" s="953"/>
    </row>
    <row r="194" spans="1:39" hidden="1" outlineLevel="1">
      <c r="A194" s="851"/>
      <c r="B194" s="133"/>
      <c r="C194" s="133"/>
      <c r="D194" s="133"/>
      <c r="E194" s="133"/>
      <c r="F194" s="133"/>
      <c r="G194" s="133"/>
      <c r="H194" s="133"/>
      <c r="I194" s="133"/>
      <c r="J194" s="851"/>
      <c r="K194" s="851"/>
      <c r="L194" s="158"/>
      <c r="M194" s="158"/>
      <c r="N194" s="158"/>
      <c r="O194" s="158"/>
      <c r="P194" s="158"/>
      <c r="Q194" s="158"/>
      <c r="R194" s="158"/>
      <c r="S194" s="158"/>
      <c r="T194" s="851"/>
      <c r="U194" s="851"/>
      <c r="V194" s="133"/>
      <c r="W194" s="133"/>
      <c r="X194" s="133"/>
      <c r="Y194" s="133"/>
      <c r="Z194" s="133"/>
      <c r="AA194" s="133"/>
      <c r="AB194" s="133"/>
      <c r="AC194" s="133"/>
      <c r="AD194" s="156"/>
      <c r="AE194" s="2"/>
      <c r="AF194" s="163"/>
      <c r="AG194" s="163"/>
      <c r="AH194" s="163"/>
      <c r="AI194" s="163"/>
      <c r="AJ194" s="163"/>
      <c r="AK194" s="163"/>
      <c r="AL194" s="163"/>
      <c r="AM194" s="159"/>
    </row>
    <row r="195" spans="1:39" collapsed="1">
      <c r="A195" s="162" t="s">
        <v>409</v>
      </c>
      <c r="B195" s="133"/>
      <c r="C195" s="133"/>
      <c r="D195" s="133"/>
      <c r="E195" s="133"/>
      <c r="F195" s="133"/>
      <c r="G195" s="133"/>
      <c r="H195" s="133"/>
      <c r="I195" s="133"/>
      <c r="J195" s="156"/>
      <c r="K195" s="156"/>
      <c r="L195" s="158"/>
      <c r="M195" s="158"/>
      <c r="N195" s="158"/>
      <c r="O195" s="158"/>
      <c r="P195" s="158"/>
      <c r="Q195" s="158"/>
      <c r="R195" s="158"/>
      <c r="S195" s="158"/>
      <c r="T195" s="156"/>
      <c r="U195" s="156"/>
      <c r="V195" s="164">
        <f t="shared" ref="V195:V226" si="106">L44/SUM(L$44:L$188)</f>
        <v>4.2794679689598151E-4</v>
      </c>
      <c r="W195" s="164">
        <f t="shared" ref="W195:W226" si="107">M44/SUM(M$44:M$188)</f>
        <v>4.2258732436860889E-4</v>
      </c>
      <c r="X195" s="164">
        <f t="shared" ref="X195:X226" si="108">N44/SUM(N$44:N$188)</f>
        <v>4.2457798625397355E-4</v>
      </c>
      <c r="Y195" s="164">
        <f t="shared" ref="Y195:Y226" si="109">O44/SUM(O$44:O$188)</f>
        <v>4.256000153391606E-4</v>
      </c>
      <c r="Z195" s="164">
        <f t="shared" ref="Z195:Z226" si="110">P44/SUM(P$44:P$188)</f>
        <v>4.2634476286111347E-4</v>
      </c>
      <c r="AA195" s="164">
        <f t="shared" ref="AA195:AA226" si="111">Q44/SUM(Q$44:Q$188)</f>
        <v>4.2781456973379616E-4</v>
      </c>
      <c r="AB195" s="164">
        <f t="shared" ref="AB195:AB226" si="112">R44/SUM(R$44:R$188)</f>
        <v>4.2970706207040929E-4</v>
      </c>
      <c r="AC195" s="164">
        <f t="shared" ref="AC195:AC226" si="113">S44/SUM(S$44:S$188)</f>
        <v>4.3181850870741651E-4</v>
      </c>
      <c r="AD195" s="156"/>
    </row>
    <row r="196" spans="1:39" hidden="1" outlineLevel="1">
      <c r="B196" s="133"/>
      <c r="C196" s="133"/>
      <c r="D196" s="133"/>
      <c r="E196" s="133"/>
      <c r="F196" s="133"/>
      <c r="G196" s="133"/>
      <c r="H196" s="133"/>
      <c r="I196" s="133"/>
      <c r="J196" s="156"/>
      <c r="K196" s="156"/>
      <c r="L196" s="158"/>
      <c r="M196" s="158"/>
      <c r="N196" s="158"/>
      <c r="O196" s="158"/>
      <c r="P196" s="158"/>
      <c r="Q196" s="158"/>
      <c r="R196" s="158"/>
      <c r="S196" s="158"/>
      <c r="T196" s="156"/>
      <c r="U196" s="156"/>
      <c r="V196" s="164">
        <f t="shared" si="106"/>
        <v>7.5697940972102376E-3</v>
      </c>
      <c r="W196" s="164">
        <f t="shared" si="107"/>
        <v>7.5825113624915395E-3</v>
      </c>
      <c r="X196" s="164">
        <f t="shared" si="108"/>
        <v>7.6132301732589587E-3</v>
      </c>
      <c r="Y196" s="164">
        <f t="shared" si="109"/>
        <v>7.466272474279256E-3</v>
      </c>
      <c r="Z196" s="164">
        <f t="shared" si="110"/>
        <v>7.2667594088037238E-3</v>
      </c>
      <c r="AA196" s="164">
        <f t="shared" si="111"/>
        <v>7.1283659356781385E-3</v>
      </c>
      <c r="AB196" s="164">
        <f t="shared" si="112"/>
        <v>7.0170938459116674E-3</v>
      </c>
      <c r="AC196" s="164">
        <f t="shared" si="113"/>
        <v>6.9428955311511839E-3</v>
      </c>
      <c r="AD196" s="156"/>
    </row>
    <row r="197" spans="1:39" hidden="1" outlineLevel="1">
      <c r="B197" s="133"/>
      <c r="C197" s="133"/>
      <c r="D197" s="133"/>
      <c r="E197" s="133"/>
      <c r="F197" s="133"/>
      <c r="G197" s="133"/>
      <c r="H197" s="133"/>
      <c r="I197" s="133"/>
      <c r="J197" s="156"/>
      <c r="K197" s="156"/>
      <c r="L197" s="158"/>
      <c r="M197" s="158"/>
      <c r="N197" s="158"/>
      <c r="O197" s="158"/>
      <c r="P197" s="158"/>
      <c r="Q197" s="158"/>
      <c r="R197" s="158"/>
      <c r="S197" s="158"/>
      <c r="T197" s="156"/>
      <c r="U197" s="156"/>
      <c r="V197" s="164">
        <f t="shared" si="106"/>
        <v>2.41756032414362E-3</v>
      </c>
      <c r="W197" s="164">
        <f t="shared" si="107"/>
        <v>2.4054360175984743E-3</v>
      </c>
      <c r="X197" s="164">
        <f t="shared" si="108"/>
        <v>2.3224716825515912E-3</v>
      </c>
      <c r="Y197" s="164">
        <f t="shared" si="109"/>
        <v>2.2780813310594788E-3</v>
      </c>
      <c r="Z197" s="164">
        <f t="shared" si="110"/>
        <v>2.2345915879568917E-3</v>
      </c>
      <c r="AA197" s="164">
        <f t="shared" si="111"/>
        <v>2.1910049583828911E-3</v>
      </c>
      <c r="AB197" s="164">
        <f t="shared" si="112"/>
        <v>2.1505915661438968E-3</v>
      </c>
      <c r="AC197" s="164">
        <f t="shared" si="113"/>
        <v>2.1083027255756983E-3</v>
      </c>
      <c r="AD197" s="156"/>
    </row>
    <row r="198" spans="1:39" hidden="1" outlineLevel="1">
      <c r="B198" s="133"/>
      <c r="C198" s="133"/>
      <c r="D198" s="133"/>
      <c r="E198" s="133"/>
      <c r="F198" s="133"/>
      <c r="G198" s="133"/>
      <c r="H198" s="133"/>
      <c r="I198" s="133"/>
      <c r="J198" s="156"/>
      <c r="K198" s="156"/>
      <c r="L198" s="158"/>
      <c r="M198" s="158"/>
      <c r="N198" s="158"/>
      <c r="O198" s="158"/>
      <c r="P198" s="158"/>
      <c r="Q198" s="158"/>
      <c r="R198" s="158"/>
      <c r="S198" s="158"/>
      <c r="T198" s="156"/>
      <c r="U198" s="156"/>
      <c r="V198" s="164">
        <f t="shared" si="106"/>
        <v>5.4152441604926015E-3</v>
      </c>
      <c r="W198" s="164">
        <f t="shared" si="107"/>
        <v>5.281189930952287E-3</v>
      </c>
      <c r="X198" s="164">
        <f t="shared" si="108"/>
        <v>5.2091948577919715E-3</v>
      </c>
      <c r="Y198" s="164">
        <f t="shared" si="109"/>
        <v>5.1505907404149317E-3</v>
      </c>
      <c r="Z198" s="164">
        <f t="shared" si="110"/>
        <v>5.0670416824715762E-3</v>
      </c>
      <c r="AA198" s="164">
        <f t="shared" si="111"/>
        <v>4.9732206365750518E-3</v>
      </c>
      <c r="AB198" s="164">
        <f t="shared" si="112"/>
        <v>4.8807448750319091E-3</v>
      </c>
      <c r="AC198" s="164">
        <f t="shared" si="113"/>
        <v>4.7876041059948145E-3</v>
      </c>
      <c r="AD198" s="156"/>
    </row>
    <row r="199" spans="1:39" hidden="1" outlineLevel="1">
      <c r="B199" s="133"/>
      <c r="C199" s="133"/>
      <c r="D199" s="133"/>
      <c r="E199" s="133"/>
      <c r="F199" s="133"/>
      <c r="G199" s="133"/>
      <c r="H199" s="133"/>
      <c r="I199" s="133"/>
      <c r="J199" s="156"/>
      <c r="K199" s="156"/>
      <c r="L199" s="158"/>
      <c r="M199" s="158"/>
      <c r="N199" s="158"/>
      <c r="O199" s="158"/>
      <c r="P199" s="158"/>
      <c r="Q199" s="158"/>
      <c r="R199" s="158"/>
      <c r="S199" s="158"/>
      <c r="T199" s="156"/>
      <c r="U199" s="156"/>
      <c r="V199" s="164">
        <f t="shared" si="106"/>
        <v>8.4038314379309201E-4</v>
      </c>
      <c r="W199" s="164">
        <f t="shared" si="107"/>
        <v>8.3499871994102833E-4</v>
      </c>
      <c r="X199" s="164">
        <f t="shared" si="108"/>
        <v>8.3573063100066635E-4</v>
      </c>
      <c r="Y199" s="164">
        <f t="shared" si="109"/>
        <v>8.2786144048673687E-4</v>
      </c>
      <c r="Z199" s="164">
        <f t="shared" si="110"/>
        <v>8.1356604459582144E-4</v>
      </c>
      <c r="AA199" s="164">
        <f t="shared" si="111"/>
        <v>8.0017386346647079E-4</v>
      </c>
      <c r="AB199" s="164">
        <f t="shared" si="112"/>
        <v>7.9015660675943466E-4</v>
      </c>
      <c r="AC199" s="164">
        <f t="shared" si="113"/>
        <v>7.812062316260572E-4</v>
      </c>
      <c r="AD199" s="156"/>
    </row>
    <row r="200" spans="1:39" hidden="1" outlineLevel="1">
      <c r="B200" s="133"/>
      <c r="C200" s="133"/>
      <c r="D200" s="133"/>
      <c r="E200" s="133"/>
      <c r="F200" s="133"/>
      <c r="G200" s="133"/>
      <c r="H200" s="133"/>
      <c r="I200" s="133"/>
      <c r="J200" s="156"/>
      <c r="K200" s="156"/>
      <c r="L200" s="158"/>
      <c r="M200" s="158"/>
      <c r="N200" s="158"/>
      <c r="O200" s="158"/>
      <c r="P200" s="158"/>
      <c r="Q200" s="158"/>
      <c r="R200" s="158"/>
      <c r="S200" s="158"/>
      <c r="T200" s="156"/>
      <c r="U200" s="156"/>
      <c r="V200" s="164">
        <f t="shared" si="106"/>
        <v>2.4388854906916726E-3</v>
      </c>
      <c r="W200" s="164">
        <f t="shared" si="107"/>
        <v>2.2656015791792266E-3</v>
      </c>
      <c r="X200" s="164">
        <f t="shared" si="108"/>
        <v>2.1437835092621284E-3</v>
      </c>
      <c r="Y200" s="164">
        <f t="shared" si="109"/>
        <v>2.087445271777229E-3</v>
      </c>
      <c r="Z200" s="164">
        <f t="shared" si="110"/>
        <v>2.0295418258119181E-3</v>
      </c>
      <c r="AA200" s="164">
        <f t="shared" si="111"/>
        <v>1.9804877897168292E-3</v>
      </c>
      <c r="AB200" s="164">
        <f t="shared" si="112"/>
        <v>1.9446535167160031E-3</v>
      </c>
      <c r="AC200" s="164">
        <f t="shared" si="113"/>
        <v>1.9160597308888402E-3</v>
      </c>
      <c r="AD200" s="156"/>
    </row>
    <row r="201" spans="1:39" hidden="1" outlineLevel="1">
      <c r="B201" s="133"/>
      <c r="C201" s="133"/>
      <c r="D201" s="133"/>
      <c r="E201" s="133"/>
      <c r="F201" s="133"/>
      <c r="G201" s="133"/>
      <c r="H201" s="133"/>
      <c r="I201" s="133"/>
      <c r="J201" s="156"/>
      <c r="K201" s="156"/>
      <c r="L201" s="158"/>
      <c r="M201" s="158"/>
      <c r="N201" s="158"/>
      <c r="O201" s="158"/>
      <c r="P201" s="158"/>
      <c r="Q201" s="158"/>
      <c r="R201" s="158"/>
      <c r="S201" s="158"/>
      <c r="T201" s="156"/>
      <c r="U201" s="156"/>
      <c r="V201" s="164">
        <f t="shared" si="106"/>
        <v>6.5939158019783679E-3</v>
      </c>
      <c r="W201" s="164">
        <f t="shared" si="107"/>
        <v>6.4633543853607556E-3</v>
      </c>
      <c r="X201" s="164">
        <f t="shared" si="108"/>
        <v>6.3571552218377771E-3</v>
      </c>
      <c r="Y201" s="164">
        <f t="shared" si="109"/>
        <v>6.2461755917216522E-3</v>
      </c>
      <c r="Z201" s="164">
        <f t="shared" si="110"/>
        <v>6.1320210628230893E-3</v>
      </c>
      <c r="AA201" s="164">
        <f t="shared" si="111"/>
        <v>6.0188133673654883E-3</v>
      </c>
      <c r="AB201" s="164">
        <f t="shared" si="112"/>
        <v>5.9080563164513929E-3</v>
      </c>
      <c r="AC201" s="164">
        <f t="shared" si="113"/>
        <v>5.7998190094617832E-3</v>
      </c>
      <c r="AD201" s="156"/>
    </row>
    <row r="202" spans="1:39" hidden="1" outlineLevel="1">
      <c r="B202" s="133"/>
      <c r="C202" s="133"/>
      <c r="D202" s="133"/>
      <c r="E202" s="133"/>
      <c r="F202" s="133"/>
      <c r="G202" s="133"/>
      <c r="H202" s="133"/>
      <c r="I202" s="133"/>
      <c r="J202" s="156"/>
      <c r="K202" s="156"/>
      <c r="L202" s="158"/>
      <c r="M202" s="158"/>
      <c r="N202" s="158"/>
      <c r="O202" s="158"/>
      <c r="P202" s="158"/>
      <c r="Q202" s="158"/>
      <c r="R202" s="158"/>
      <c r="S202" s="158"/>
      <c r="T202" s="156"/>
      <c r="U202" s="156"/>
      <c r="V202" s="164">
        <f t="shared" si="106"/>
        <v>2.952977245175765E-4</v>
      </c>
      <c r="W202" s="164">
        <f t="shared" si="107"/>
        <v>2.9122415148173875E-4</v>
      </c>
      <c r="X202" s="164">
        <f t="shared" si="108"/>
        <v>2.9445832749643166E-4</v>
      </c>
      <c r="Y202" s="164">
        <f t="shared" si="109"/>
        <v>3.0000826283386328E-4</v>
      </c>
      <c r="Z202" s="164">
        <f t="shared" si="110"/>
        <v>3.0725423539789125E-4</v>
      </c>
      <c r="AA202" s="164">
        <f t="shared" si="111"/>
        <v>3.1575446498527263E-4</v>
      </c>
      <c r="AB202" s="164">
        <f t="shared" si="112"/>
        <v>3.2564439150638535E-4</v>
      </c>
      <c r="AC202" s="164">
        <f t="shared" si="113"/>
        <v>3.3717257113740511E-4</v>
      </c>
      <c r="AD202" s="156"/>
    </row>
    <row r="203" spans="1:39" hidden="1" outlineLevel="1">
      <c r="B203" s="133"/>
      <c r="C203" s="133"/>
      <c r="D203" s="133"/>
      <c r="E203" s="133"/>
      <c r="F203" s="133"/>
      <c r="G203" s="133"/>
      <c r="H203" s="133"/>
      <c r="I203" s="133"/>
      <c r="J203" s="156"/>
      <c r="K203" s="156"/>
      <c r="L203" s="158"/>
      <c r="M203" s="158"/>
      <c r="N203" s="158"/>
      <c r="O203" s="158"/>
      <c r="P203" s="158"/>
      <c r="Q203" s="158"/>
      <c r="R203" s="158"/>
      <c r="S203" s="158"/>
      <c r="T203" s="156"/>
      <c r="U203" s="156"/>
      <c r="V203" s="164">
        <f t="shared" si="106"/>
        <v>5.3229848990857958E-4</v>
      </c>
      <c r="W203" s="164">
        <f t="shared" si="107"/>
        <v>5.2968181796533397E-4</v>
      </c>
      <c r="X203" s="164">
        <f t="shared" si="108"/>
        <v>5.2506198417730417E-4</v>
      </c>
      <c r="Y203" s="164">
        <f t="shared" si="109"/>
        <v>5.2022393845959009E-4</v>
      </c>
      <c r="Z203" s="164">
        <f t="shared" si="110"/>
        <v>5.1555304525709828E-4</v>
      </c>
      <c r="AA203" s="164">
        <f t="shared" si="111"/>
        <v>5.1199802038501881E-4</v>
      </c>
      <c r="AB203" s="164">
        <f t="shared" si="112"/>
        <v>5.0840924453494809E-4</v>
      </c>
      <c r="AC203" s="164">
        <f t="shared" si="113"/>
        <v>5.0550099189133565E-4</v>
      </c>
      <c r="AD203" s="156"/>
    </row>
    <row r="204" spans="1:39" hidden="1" outlineLevel="1">
      <c r="B204" s="133"/>
      <c r="C204" s="133"/>
      <c r="D204" s="133"/>
      <c r="E204" s="133"/>
      <c r="F204" s="133"/>
      <c r="G204" s="133"/>
      <c r="H204" s="133"/>
      <c r="I204" s="133"/>
      <c r="J204" s="156"/>
      <c r="K204" s="156"/>
      <c r="L204" s="158"/>
      <c r="M204" s="158"/>
      <c r="N204" s="158"/>
      <c r="O204" s="158"/>
      <c r="P204" s="158"/>
      <c r="Q204" s="158"/>
      <c r="R204" s="158"/>
      <c r="S204" s="158"/>
      <c r="T204" s="156"/>
      <c r="U204" s="156"/>
      <c r="V204" s="164">
        <f t="shared" si="106"/>
        <v>4.8277126721683753E-4</v>
      </c>
      <c r="W204" s="164">
        <f t="shared" si="107"/>
        <v>4.5839826560532663E-4</v>
      </c>
      <c r="X204" s="164">
        <f t="shared" si="108"/>
        <v>4.6466668042920237E-4</v>
      </c>
      <c r="Y204" s="164">
        <f t="shared" si="109"/>
        <v>4.6926346826495127E-4</v>
      </c>
      <c r="Z204" s="164">
        <f t="shared" si="110"/>
        <v>4.7513669047278005E-4</v>
      </c>
      <c r="AA204" s="164">
        <f t="shared" si="111"/>
        <v>4.8039596386921664E-4</v>
      </c>
      <c r="AB204" s="164">
        <f t="shared" si="112"/>
        <v>4.8445991237104652E-4</v>
      </c>
      <c r="AC204" s="164">
        <f t="shared" si="113"/>
        <v>4.8852011631116609E-4</v>
      </c>
      <c r="AD204" s="156"/>
    </row>
    <row r="205" spans="1:39" hidden="1" outlineLevel="1">
      <c r="B205" s="133"/>
      <c r="C205" s="133"/>
      <c r="D205" s="133"/>
      <c r="E205" s="133"/>
      <c r="F205" s="133"/>
      <c r="G205" s="133"/>
      <c r="H205" s="133"/>
      <c r="I205" s="133"/>
      <c r="J205" s="156"/>
      <c r="K205" s="156"/>
      <c r="L205" s="158"/>
      <c r="M205" s="158"/>
      <c r="N205" s="158"/>
      <c r="O205" s="158"/>
      <c r="P205" s="158"/>
      <c r="Q205" s="158"/>
      <c r="R205" s="158"/>
      <c r="S205" s="158"/>
      <c r="T205" s="156"/>
      <c r="U205" s="156"/>
      <c r="V205" s="164">
        <f t="shared" si="106"/>
        <v>1.7940238930652102E-3</v>
      </c>
      <c r="W205" s="164">
        <f t="shared" si="107"/>
        <v>1.7956090008406456E-3</v>
      </c>
      <c r="X205" s="164">
        <f t="shared" si="108"/>
        <v>1.8053774824502359E-3</v>
      </c>
      <c r="Y205" s="164">
        <f t="shared" si="109"/>
        <v>1.8079279826397898E-3</v>
      </c>
      <c r="Z205" s="164">
        <f t="shared" si="110"/>
        <v>1.8021759400934053E-3</v>
      </c>
      <c r="AA205" s="164">
        <f t="shared" si="111"/>
        <v>1.7932064881353066E-3</v>
      </c>
      <c r="AB205" s="164">
        <f t="shared" si="112"/>
        <v>1.7806671173159539E-3</v>
      </c>
      <c r="AC205" s="164">
        <f t="shared" si="113"/>
        <v>1.765285218636795E-3</v>
      </c>
      <c r="AD205" s="156"/>
    </row>
    <row r="206" spans="1:39" hidden="1" outlineLevel="1">
      <c r="B206" s="133"/>
      <c r="C206" s="133"/>
      <c r="D206" s="133"/>
      <c r="E206" s="133"/>
      <c r="F206" s="133"/>
      <c r="G206" s="133"/>
      <c r="H206" s="133"/>
      <c r="I206" s="133"/>
      <c r="J206" s="156"/>
      <c r="K206" s="156"/>
      <c r="L206" s="158"/>
      <c r="M206" s="158"/>
      <c r="N206" s="158"/>
      <c r="O206" s="158"/>
      <c r="P206" s="158"/>
      <c r="Q206" s="158"/>
      <c r="R206" s="158"/>
      <c r="S206" s="158"/>
      <c r="T206" s="156"/>
      <c r="U206" s="156"/>
      <c r="V206" s="164">
        <f t="shared" si="106"/>
        <v>3.9813786357945048E-4</v>
      </c>
      <c r="W206" s="164">
        <f t="shared" si="107"/>
        <v>4.000883718256273E-4</v>
      </c>
      <c r="X206" s="164">
        <f t="shared" si="108"/>
        <v>4.1171463578653245E-4</v>
      </c>
      <c r="Y206" s="164">
        <f t="shared" si="109"/>
        <v>4.2338124748668156E-4</v>
      </c>
      <c r="Z206" s="164">
        <f t="shared" si="110"/>
        <v>4.3567593795735383E-4</v>
      </c>
      <c r="AA206" s="164">
        <f t="shared" si="111"/>
        <v>4.4848523115302417E-4</v>
      </c>
      <c r="AB206" s="164">
        <f t="shared" si="112"/>
        <v>4.618410986606949E-4</v>
      </c>
      <c r="AC206" s="164">
        <f t="shared" si="113"/>
        <v>4.755982239264814E-4</v>
      </c>
      <c r="AD206" s="156"/>
    </row>
    <row r="207" spans="1:39" hidden="1" outlineLevel="1">
      <c r="B207" s="133"/>
      <c r="C207" s="133"/>
      <c r="D207" s="133"/>
      <c r="E207" s="133"/>
      <c r="F207" s="133"/>
      <c r="G207" s="133"/>
      <c r="H207" s="133"/>
      <c r="I207" s="133"/>
      <c r="J207" s="156"/>
      <c r="K207" s="156"/>
      <c r="L207" s="158"/>
      <c r="M207" s="158"/>
      <c r="N207" s="158"/>
      <c r="O207" s="158"/>
      <c r="P207" s="158"/>
      <c r="Q207" s="158"/>
      <c r="R207" s="158"/>
      <c r="S207" s="158"/>
      <c r="T207" s="156"/>
      <c r="U207" s="156"/>
      <c r="V207" s="164">
        <f t="shared" si="106"/>
        <v>1.0983958708594754E-4</v>
      </c>
      <c r="W207" s="164">
        <f t="shared" si="107"/>
        <v>1.0190242762526793E-4</v>
      </c>
      <c r="X207" s="164">
        <f t="shared" si="108"/>
        <v>9.802372603781035E-5</v>
      </c>
      <c r="Y207" s="164">
        <f t="shared" si="109"/>
        <v>9.4742573807727836E-5</v>
      </c>
      <c r="Z207" s="164">
        <f t="shared" si="110"/>
        <v>9.1659121156202256E-5</v>
      </c>
      <c r="AA207" s="164">
        <f t="shared" si="111"/>
        <v>8.8994541774544574E-5</v>
      </c>
      <c r="AB207" s="164">
        <f t="shared" si="112"/>
        <v>8.6483699480756064E-5</v>
      </c>
      <c r="AC207" s="164">
        <f t="shared" si="113"/>
        <v>8.4063929615665057E-5</v>
      </c>
      <c r="AD207" s="156"/>
    </row>
    <row r="208" spans="1:39" hidden="1" outlineLevel="1">
      <c r="B208" s="133"/>
      <c r="C208" s="133"/>
      <c r="D208" s="133"/>
      <c r="E208" s="133"/>
      <c r="F208" s="133"/>
      <c r="G208" s="133"/>
      <c r="H208" s="133"/>
      <c r="I208" s="133"/>
      <c r="J208" s="156"/>
      <c r="K208" s="156"/>
      <c r="L208" s="158"/>
      <c r="M208" s="158"/>
      <c r="N208" s="158"/>
      <c r="O208" s="158"/>
      <c r="P208" s="158"/>
      <c r="Q208" s="158"/>
      <c r="R208" s="158"/>
      <c r="S208" s="158"/>
      <c r="T208" s="156"/>
      <c r="U208" s="156"/>
      <c r="V208" s="164">
        <f t="shared" si="106"/>
        <v>9.2633745493696771E-4</v>
      </c>
      <c r="W208" s="164">
        <f t="shared" si="107"/>
        <v>9.463743907422884E-4</v>
      </c>
      <c r="X208" s="164">
        <f t="shared" si="108"/>
        <v>9.6282802683284833E-4</v>
      </c>
      <c r="Y208" s="164">
        <f t="shared" si="109"/>
        <v>9.6764381519291623E-4</v>
      </c>
      <c r="Z208" s="164">
        <f t="shared" si="110"/>
        <v>9.7736751586355937E-4</v>
      </c>
      <c r="AA208" s="164">
        <f t="shared" si="111"/>
        <v>9.9221303613676549E-4</v>
      </c>
      <c r="AB208" s="164">
        <f t="shared" si="112"/>
        <v>1.0085329877909707E-3</v>
      </c>
      <c r="AC208" s="164">
        <f t="shared" si="113"/>
        <v>1.0286131955767278E-3</v>
      </c>
      <c r="AD208" s="156"/>
    </row>
    <row r="209" spans="2:30" hidden="1" outlineLevel="1">
      <c r="B209" s="133"/>
      <c r="C209" s="133"/>
      <c r="D209" s="133"/>
      <c r="E209" s="133"/>
      <c r="F209" s="133"/>
      <c r="G209" s="133"/>
      <c r="H209" s="133"/>
      <c r="I209" s="133"/>
      <c r="J209" s="156"/>
      <c r="K209" s="156"/>
      <c r="L209" s="158"/>
      <c r="M209" s="158"/>
      <c r="N209" s="158"/>
      <c r="O209" s="158"/>
      <c r="P209" s="158"/>
      <c r="Q209" s="158"/>
      <c r="R209" s="158"/>
      <c r="S209" s="158"/>
      <c r="T209" s="156"/>
      <c r="U209" s="156"/>
      <c r="V209" s="164">
        <f t="shared" si="106"/>
        <v>4.4774679189015056E-5</v>
      </c>
      <c r="W209" s="164">
        <f t="shared" si="107"/>
        <v>4.3683622722260816E-5</v>
      </c>
      <c r="X209" s="164">
        <f t="shared" si="108"/>
        <v>4.4072586213203299E-5</v>
      </c>
      <c r="Y209" s="164">
        <f t="shared" si="109"/>
        <v>4.4304166637201719E-5</v>
      </c>
      <c r="Z209" s="164">
        <f t="shared" si="110"/>
        <v>4.4553550489639338E-5</v>
      </c>
      <c r="AA209" s="164">
        <f t="shared" si="111"/>
        <v>4.4864489125667428E-5</v>
      </c>
      <c r="AB209" s="164">
        <f t="shared" si="112"/>
        <v>4.5156989938669835E-5</v>
      </c>
      <c r="AC209" s="164">
        <f t="shared" si="113"/>
        <v>4.547971288682084E-5</v>
      </c>
      <c r="AD209" s="156"/>
    </row>
    <row r="210" spans="2:30" hidden="1" outlineLevel="1">
      <c r="B210" s="133"/>
      <c r="C210" s="133"/>
      <c r="D210" s="133"/>
      <c r="E210" s="133"/>
      <c r="F210" s="133"/>
      <c r="G210" s="133"/>
      <c r="H210" s="133"/>
      <c r="I210" s="133"/>
      <c r="J210" s="156"/>
      <c r="K210" s="156"/>
      <c r="L210" s="158"/>
      <c r="M210" s="158"/>
      <c r="N210" s="158"/>
      <c r="O210" s="158"/>
      <c r="P210" s="158"/>
      <c r="Q210" s="158"/>
      <c r="R210" s="158"/>
      <c r="S210" s="158"/>
      <c r="T210" s="156"/>
      <c r="U210" s="156"/>
      <c r="V210" s="164">
        <f t="shared" si="106"/>
        <v>3.8673992973480161E-5</v>
      </c>
      <c r="W210" s="164">
        <f t="shared" si="107"/>
        <v>3.9155204280989809E-5</v>
      </c>
      <c r="X210" s="164">
        <f t="shared" si="108"/>
        <v>3.9776476930873483E-5</v>
      </c>
      <c r="Y210" s="164">
        <f t="shared" si="109"/>
        <v>4.0281908337787856E-5</v>
      </c>
      <c r="Z210" s="164">
        <f t="shared" si="110"/>
        <v>4.0866049969679278E-5</v>
      </c>
      <c r="AA210" s="164">
        <f t="shared" si="111"/>
        <v>4.1575490990476149E-5</v>
      </c>
      <c r="AB210" s="164">
        <f t="shared" si="112"/>
        <v>4.2405235864282137E-5</v>
      </c>
      <c r="AC210" s="164">
        <f t="shared" si="113"/>
        <v>4.3321288881692426E-5</v>
      </c>
      <c r="AD210" s="156"/>
    </row>
    <row r="211" spans="2:30" hidden="1" outlineLevel="1">
      <c r="B211" s="133"/>
      <c r="C211" s="133"/>
      <c r="D211" s="133"/>
      <c r="E211" s="133"/>
      <c r="F211" s="133"/>
      <c r="G211" s="133"/>
      <c r="H211" s="133"/>
      <c r="I211" s="133"/>
      <c r="J211" s="156"/>
      <c r="K211" s="156"/>
      <c r="L211" s="158"/>
      <c r="M211" s="158"/>
      <c r="N211" s="158"/>
      <c r="O211" s="158"/>
      <c r="P211" s="158"/>
      <c r="Q211" s="158"/>
      <c r="R211" s="158"/>
      <c r="S211" s="158"/>
      <c r="T211" s="156"/>
      <c r="U211" s="156"/>
      <c r="V211" s="164">
        <f t="shared" si="106"/>
        <v>4.0457898987397733E-4</v>
      </c>
      <c r="W211" s="164">
        <f t="shared" si="107"/>
        <v>3.9770704833495894E-4</v>
      </c>
      <c r="X211" s="164">
        <f t="shared" si="108"/>
        <v>3.6169743324080306E-4</v>
      </c>
      <c r="Y211" s="164">
        <f t="shared" si="109"/>
        <v>3.5172809742721153E-4</v>
      </c>
      <c r="Z211" s="164">
        <f t="shared" si="110"/>
        <v>3.4796289205269425E-4</v>
      </c>
      <c r="AA211" s="164">
        <f t="shared" si="111"/>
        <v>3.4698398125922473E-4</v>
      </c>
      <c r="AB211" s="164">
        <f t="shared" si="112"/>
        <v>3.4874703010893694E-4</v>
      </c>
      <c r="AC211" s="164">
        <f t="shared" si="113"/>
        <v>3.4947367785689799E-4</v>
      </c>
      <c r="AD211" s="156"/>
    </row>
    <row r="212" spans="2:30" hidden="1" outlineLevel="1">
      <c r="B212" s="133"/>
      <c r="C212" s="133"/>
      <c r="D212" s="133"/>
      <c r="E212" s="133"/>
      <c r="F212" s="133"/>
      <c r="G212" s="133"/>
      <c r="H212" s="133"/>
      <c r="I212" s="133"/>
      <c r="J212" s="156"/>
      <c r="K212" s="156"/>
      <c r="L212" s="158"/>
      <c r="M212" s="158"/>
      <c r="N212" s="158"/>
      <c r="O212" s="158"/>
      <c r="P212" s="158"/>
      <c r="Q212" s="158"/>
      <c r="R212" s="158"/>
      <c r="S212" s="158"/>
      <c r="T212" s="156"/>
      <c r="U212" s="156"/>
      <c r="V212" s="164">
        <f t="shared" si="106"/>
        <v>1.6218565363174251E-5</v>
      </c>
      <c r="W212" s="164">
        <f t="shared" si="107"/>
        <v>1.58364518477782E-5</v>
      </c>
      <c r="X212" s="164">
        <f t="shared" si="108"/>
        <v>1.5723260425736171E-5</v>
      </c>
      <c r="Y212" s="164">
        <f t="shared" si="109"/>
        <v>1.5697485929570937E-5</v>
      </c>
      <c r="Z212" s="164">
        <f t="shared" si="110"/>
        <v>1.5773058626536459E-5</v>
      </c>
      <c r="AA212" s="164">
        <f t="shared" si="111"/>
        <v>1.585957029590616E-5</v>
      </c>
      <c r="AB212" s="164">
        <f t="shared" si="112"/>
        <v>1.5946062072092786E-5</v>
      </c>
      <c r="AC212" s="164">
        <f t="shared" si="113"/>
        <v>1.6035371259338974E-5</v>
      </c>
      <c r="AD212" s="156"/>
    </row>
    <row r="213" spans="2:30" hidden="1" outlineLevel="1">
      <c r="B213" s="133"/>
      <c r="C213" s="133"/>
      <c r="D213" s="133"/>
      <c r="E213" s="133"/>
      <c r="F213" s="133"/>
      <c r="G213" s="133"/>
      <c r="H213" s="133"/>
      <c r="I213" s="133"/>
      <c r="J213" s="156"/>
      <c r="K213" s="156"/>
      <c r="L213" s="158"/>
      <c r="M213" s="158"/>
      <c r="N213" s="158"/>
      <c r="O213" s="158"/>
      <c r="P213" s="158"/>
      <c r="Q213" s="158"/>
      <c r="R213" s="158"/>
      <c r="S213" s="158"/>
      <c r="T213" s="156"/>
      <c r="U213" s="156"/>
      <c r="V213" s="164">
        <f t="shared" si="106"/>
        <v>1.2083580163738598E-3</v>
      </c>
      <c r="W213" s="164">
        <f t="shared" si="107"/>
        <v>1.1934204370282944E-3</v>
      </c>
      <c r="X213" s="164">
        <f t="shared" si="108"/>
        <v>1.1945806429729485E-3</v>
      </c>
      <c r="Y213" s="164">
        <f t="shared" si="109"/>
        <v>1.1886544504235419E-3</v>
      </c>
      <c r="Z213" s="164">
        <f t="shared" si="110"/>
        <v>1.1788309589052795E-3</v>
      </c>
      <c r="AA213" s="164">
        <f t="shared" si="111"/>
        <v>1.1681691143660437E-3</v>
      </c>
      <c r="AB213" s="164">
        <f t="shared" si="112"/>
        <v>1.1551218504423269E-3</v>
      </c>
      <c r="AC213" s="164">
        <f t="shared" si="113"/>
        <v>1.1414338273138163E-3</v>
      </c>
      <c r="AD213" s="156"/>
    </row>
    <row r="214" spans="2:30" hidden="1" outlineLevel="1">
      <c r="B214" s="133"/>
      <c r="C214" s="133"/>
      <c r="D214" s="133"/>
      <c r="E214" s="133"/>
      <c r="F214" s="133"/>
      <c r="G214" s="133"/>
      <c r="H214" s="133"/>
      <c r="I214" s="133"/>
      <c r="J214" s="156"/>
      <c r="K214" s="156"/>
      <c r="L214" s="158"/>
      <c r="M214" s="158"/>
      <c r="N214" s="158"/>
      <c r="O214" s="158"/>
      <c r="P214" s="158"/>
      <c r="Q214" s="158"/>
      <c r="R214" s="158"/>
      <c r="S214" s="158"/>
      <c r="T214" s="156"/>
      <c r="U214" s="156"/>
      <c r="V214" s="164">
        <f t="shared" si="106"/>
        <v>0.24823705828614664</v>
      </c>
      <c r="W214" s="164">
        <f t="shared" si="107"/>
        <v>0.2563270919321774</v>
      </c>
      <c r="X214" s="164">
        <f t="shared" si="108"/>
        <v>0.26583649849809121</v>
      </c>
      <c r="Y214" s="164">
        <f t="shared" si="109"/>
        <v>0.27434447512329335</v>
      </c>
      <c r="Z214" s="164">
        <f t="shared" si="110"/>
        <v>0.28221655656254785</v>
      </c>
      <c r="AA214" s="164">
        <f t="shared" si="111"/>
        <v>0.2900900612841471</v>
      </c>
      <c r="AB214" s="164">
        <f t="shared" si="112"/>
        <v>0.29787878970840331</v>
      </c>
      <c r="AC214" s="164">
        <f t="shared" si="113"/>
        <v>0.30538949114542829</v>
      </c>
      <c r="AD214" s="156"/>
    </row>
    <row r="215" spans="2:30" hidden="1" outlineLevel="1">
      <c r="B215" s="133"/>
      <c r="C215" s="133"/>
      <c r="D215" s="133"/>
      <c r="E215" s="133"/>
      <c r="F215" s="133"/>
      <c r="G215" s="133"/>
      <c r="H215" s="133"/>
      <c r="I215" s="133"/>
      <c r="J215" s="156"/>
      <c r="K215" s="156"/>
      <c r="L215" s="158"/>
      <c r="M215" s="158"/>
      <c r="N215" s="158"/>
      <c r="O215" s="158"/>
      <c r="P215" s="158"/>
      <c r="Q215" s="158"/>
      <c r="R215" s="158"/>
      <c r="S215" s="158"/>
      <c r="T215" s="156"/>
      <c r="U215" s="156"/>
      <c r="V215" s="164">
        <f t="shared" si="106"/>
        <v>4.3567070140814986E-3</v>
      </c>
      <c r="W215" s="164">
        <f t="shared" si="107"/>
        <v>4.4317471177072057E-3</v>
      </c>
      <c r="X215" s="164">
        <f t="shared" si="108"/>
        <v>4.4192727408831249E-3</v>
      </c>
      <c r="Y215" s="164">
        <f t="shared" si="109"/>
        <v>4.4211263149047117E-3</v>
      </c>
      <c r="Z215" s="164">
        <f t="shared" si="110"/>
        <v>4.3805482548791349E-3</v>
      </c>
      <c r="AA215" s="164">
        <f t="shared" si="111"/>
        <v>4.3322385404546025E-3</v>
      </c>
      <c r="AB215" s="164">
        <f t="shared" si="112"/>
        <v>4.2838662330211335E-3</v>
      </c>
      <c r="AC215" s="164">
        <f t="shared" si="113"/>
        <v>4.2400233965521703E-3</v>
      </c>
      <c r="AD215" s="156"/>
    </row>
    <row r="216" spans="2:30" hidden="1" outlineLevel="1">
      <c r="B216" s="133"/>
      <c r="C216" s="133"/>
      <c r="D216" s="133"/>
      <c r="E216" s="133"/>
      <c r="F216" s="133"/>
      <c r="G216" s="133"/>
      <c r="H216" s="133"/>
      <c r="I216" s="133"/>
      <c r="J216" s="156"/>
      <c r="K216" s="156"/>
      <c r="L216" s="158"/>
      <c r="M216" s="158"/>
      <c r="N216" s="158"/>
      <c r="O216" s="158"/>
      <c r="P216" s="158"/>
      <c r="Q216" s="158"/>
      <c r="R216" s="158"/>
      <c r="S216" s="158"/>
      <c r="T216" s="156"/>
      <c r="U216" s="156"/>
      <c r="V216" s="164">
        <f t="shared" si="106"/>
        <v>4.3567070140814986E-3</v>
      </c>
      <c r="W216" s="164">
        <f t="shared" si="107"/>
        <v>4.4317471177072057E-3</v>
      </c>
      <c r="X216" s="164">
        <f t="shared" si="108"/>
        <v>4.4192727408831249E-3</v>
      </c>
      <c r="Y216" s="164">
        <f t="shared" si="109"/>
        <v>4.4211263149047117E-3</v>
      </c>
      <c r="Z216" s="164">
        <f t="shared" si="110"/>
        <v>4.3805482548791349E-3</v>
      </c>
      <c r="AA216" s="164">
        <f t="shared" si="111"/>
        <v>4.3322385404546025E-3</v>
      </c>
      <c r="AB216" s="164">
        <f t="shared" si="112"/>
        <v>4.2838662330211335E-3</v>
      </c>
      <c r="AC216" s="164">
        <f t="shared" si="113"/>
        <v>4.2400233965521703E-3</v>
      </c>
      <c r="AD216" s="156"/>
    </row>
    <row r="217" spans="2:30" hidden="1" outlineLevel="1">
      <c r="B217" s="133"/>
      <c r="C217" s="133"/>
      <c r="D217" s="133"/>
      <c r="E217" s="133"/>
      <c r="F217" s="133"/>
      <c r="G217" s="133"/>
      <c r="H217" s="133"/>
      <c r="I217" s="133"/>
      <c r="J217" s="156"/>
      <c r="K217" s="156"/>
      <c r="L217" s="158"/>
      <c r="M217" s="158"/>
      <c r="N217" s="158"/>
      <c r="O217" s="158"/>
      <c r="P217" s="158"/>
      <c r="Q217" s="158"/>
      <c r="R217" s="158"/>
      <c r="S217" s="158"/>
      <c r="T217" s="156"/>
      <c r="U217" s="156"/>
      <c r="V217" s="164">
        <f t="shared" si="106"/>
        <v>3.5441173983373053E-3</v>
      </c>
      <c r="W217" s="164">
        <f t="shared" si="107"/>
        <v>3.4783588834596149E-3</v>
      </c>
      <c r="X217" s="164">
        <f t="shared" si="108"/>
        <v>3.4376492359400835E-3</v>
      </c>
      <c r="Y217" s="164">
        <f t="shared" si="109"/>
        <v>3.3870974401683722E-3</v>
      </c>
      <c r="Z217" s="164">
        <f t="shared" si="110"/>
        <v>3.3319152945154931E-3</v>
      </c>
      <c r="AA217" s="164">
        <f t="shared" si="111"/>
        <v>3.2801423214421544E-3</v>
      </c>
      <c r="AB217" s="164">
        <f t="shared" si="112"/>
        <v>3.2311741441316557E-3</v>
      </c>
      <c r="AC217" s="164">
        <f t="shared" si="113"/>
        <v>3.182319229649685E-3</v>
      </c>
      <c r="AD217" s="156"/>
    </row>
    <row r="218" spans="2:30" hidden="1" outlineLevel="1">
      <c r="B218" s="133"/>
      <c r="C218" s="133"/>
      <c r="D218" s="133"/>
      <c r="E218" s="133"/>
      <c r="F218" s="133"/>
      <c r="G218" s="133"/>
      <c r="H218" s="133"/>
      <c r="I218" s="133"/>
      <c r="J218" s="156"/>
      <c r="K218" s="156"/>
      <c r="L218" s="158"/>
      <c r="M218" s="158"/>
      <c r="N218" s="158"/>
      <c r="O218" s="158"/>
      <c r="P218" s="158"/>
      <c r="Q218" s="158"/>
      <c r="R218" s="158"/>
      <c r="S218" s="158"/>
      <c r="T218" s="156"/>
      <c r="U218" s="156"/>
      <c r="V218" s="164">
        <f t="shared" si="106"/>
        <v>3.9218697099867207E-5</v>
      </c>
      <c r="W218" s="164">
        <f t="shared" si="107"/>
        <v>4.0339359677988837E-5</v>
      </c>
      <c r="X218" s="164">
        <f t="shared" si="108"/>
        <v>4.1762178604973595E-5</v>
      </c>
      <c r="Y218" s="164">
        <f t="shared" si="109"/>
        <v>4.3188850176597288E-5</v>
      </c>
      <c r="Z218" s="164">
        <f t="shared" si="110"/>
        <v>4.4643489526711538E-5</v>
      </c>
      <c r="AA218" s="164">
        <f t="shared" si="111"/>
        <v>4.6184345982507946E-5</v>
      </c>
      <c r="AB218" s="164">
        <f t="shared" si="112"/>
        <v>4.7334201953569981E-5</v>
      </c>
      <c r="AC218" s="164">
        <f t="shared" si="113"/>
        <v>4.8535888469303549E-5</v>
      </c>
      <c r="AD218" s="156"/>
    </row>
    <row r="219" spans="2:30" hidden="1" outlineLevel="1">
      <c r="B219" s="133"/>
      <c r="C219" s="133"/>
      <c r="D219" s="133"/>
      <c r="E219" s="133"/>
      <c r="F219" s="133"/>
      <c r="G219" s="133"/>
      <c r="H219" s="133"/>
      <c r="I219" s="133"/>
      <c r="J219" s="156"/>
      <c r="K219" s="156"/>
      <c r="L219" s="158"/>
      <c r="M219" s="158"/>
      <c r="N219" s="158"/>
      <c r="O219" s="158"/>
      <c r="P219" s="158"/>
      <c r="Q219" s="158"/>
      <c r="R219" s="158"/>
      <c r="S219" s="158"/>
      <c r="T219" s="156"/>
      <c r="U219" s="156"/>
      <c r="V219" s="164">
        <f t="shared" si="106"/>
        <v>5.0540372366821918E-4</v>
      </c>
      <c r="W219" s="164">
        <f t="shared" si="107"/>
        <v>4.4362885488451463E-4</v>
      </c>
      <c r="X219" s="164">
        <f t="shared" si="108"/>
        <v>3.8943481322933367E-4</v>
      </c>
      <c r="Y219" s="164">
        <f t="shared" si="109"/>
        <v>3.4860758435126509E-4</v>
      </c>
      <c r="Z219" s="164">
        <f t="shared" si="110"/>
        <v>3.1041334407505219E-4</v>
      </c>
      <c r="AA219" s="164">
        <f t="shared" si="111"/>
        <v>2.8924024377245233E-4</v>
      </c>
      <c r="AB219" s="164">
        <f t="shared" si="112"/>
        <v>2.7011540544117724E-4</v>
      </c>
      <c r="AC219" s="164">
        <f t="shared" si="113"/>
        <v>2.6127436065618599E-4</v>
      </c>
      <c r="AD219" s="156"/>
    </row>
    <row r="220" spans="2:30" hidden="1" outlineLevel="1">
      <c r="B220" s="133"/>
      <c r="C220" s="133"/>
      <c r="D220" s="133"/>
      <c r="E220" s="133"/>
      <c r="F220" s="133"/>
      <c r="G220" s="133"/>
      <c r="H220" s="133"/>
      <c r="I220" s="133"/>
      <c r="J220" s="156"/>
      <c r="K220" s="156"/>
      <c r="L220" s="158"/>
      <c r="M220" s="158"/>
      <c r="N220" s="158"/>
      <c r="O220" s="158"/>
      <c r="P220" s="158"/>
      <c r="Q220" s="158"/>
      <c r="R220" s="158"/>
      <c r="S220" s="158"/>
      <c r="T220" s="156"/>
      <c r="U220" s="156"/>
      <c r="V220" s="164">
        <f t="shared" si="106"/>
        <v>1.1226352044836987E-4</v>
      </c>
      <c r="W220" s="164">
        <f t="shared" si="107"/>
        <v>1.13613854628555E-4</v>
      </c>
      <c r="X220" s="164">
        <f t="shared" si="108"/>
        <v>1.1448381916022517E-4</v>
      </c>
      <c r="Y220" s="164">
        <f t="shared" si="109"/>
        <v>1.142724769370353E-4</v>
      </c>
      <c r="Z220" s="164">
        <f t="shared" si="110"/>
        <v>1.1440245515583394E-4</v>
      </c>
      <c r="AA220" s="164">
        <f t="shared" si="111"/>
        <v>1.146040224000145E-4</v>
      </c>
      <c r="AB220" s="164">
        <f t="shared" si="112"/>
        <v>1.1500920875004973E-4</v>
      </c>
      <c r="AC220" s="164">
        <f t="shared" si="113"/>
        <v>1.1559029085871328E-4</v>
      </c>
      <c r="AD220" s="156"/>
    </row>
    <row r="221" spans="2:30" hidden="1" outlineLevel="1">
      <c r="B221" s="133"/>
      <c r="C221" s="133"/>
      <c r="D221" s="133"/>
      <c r="E221" s="133"/>
      <c r="F221" s="133"/>
      <c r="G221" s="133"/>
      <c r="H221" s="133"/>
      <c r="I221" s="133"/>
      <c r="J221" s="156"/>
      <c r="K221" s="156"/>
      <c r="L221" s="158"/>
      <c r="M221" s="158"/>
      <c r="N221" s="158"/>
      <c r="O221" s="158"/>
      <c r="P221" s="158"/>
      <c r="Q221" s="158"/>
      <c r="R221" s="158"/>
      <c r="S221" s="158"/>
      <c r="T221" s="156"/>
      <c r="U221" s="156"/>
      <c r="V221" s="164">
        <f t="shared" si="106"/>
        <v>4.9912600861160852E-4</v>
      </c>
      <c r="W221" s="164">
        <f t="shared" si="107"/>
        <v>4.9020129626758621E-4</v>
      </c>
      <c r="X221" s="164">
        <f t="shared" si="108"/>
        <v>4.8629709111814207E-4</v>
      </c>
      <c r="Y221" s="164">
        <f t="shared" si="109"/>
        <v>4.8886456180663776E-4</v>
      </c>
      <c r="Z221" s="164">
        <f t="shared" si="110"/>
        <v>4.8979675351554805E-4</v>
      </c>
      <c r="AA221" s="164">
        <f t="shared" si="111"/>
        <v>4.8783612469930948E-4</v>
      </c>
      <c r="AB221" s="164">
        <f t="shared" si="112"/>
        <v>4.8561907617527568E-4</v>
      </c>
      <c r="AC221" s="164">
        <f t="shared" si="113"/>
        <v>4.8361113428180324E-4</v>
      </c>
      <c r="AD221" s="156"/>
    </row>
    <row r="222" spans="2:30" hidden="1" outlineLevel="1">
      <c r="B222" s="133"/>
      <c r="C222" s="133"/>
      <c r="D222" s="133"/>
      <c r="E222" s="133"/>
      <c r="F222" s="133"/>
      <c r="G222" s="133"/>
      <c r="H222" s="133"/>
      <c r="I222" s="133"/>
      <c r="J222" s="156"/>
      <c r="K222" s="156"/>
      <c r="L222" s="158"/>
      <c r="M222" s="158"/>
      <c r="N222" s="158"/>
      <c r="O222" s="158"/>
      <c r="P222" s="158"/>
      <c r="Q222" s="158"/>
      <c r="R222" s="158"/>
      <c r="S222" s="158"/>
      <c r="T222" s="156"/>
      <c r="U222" s="156"/>
      <c r="V222" s="164">
        <f t="shared" si="106"/>
        <v>1.979904176194789E-3</v>
      </c>
      <c r="W222" s="164">
        <f t="shared" si="107"/>
        <v>2.111492212512639E-3</v>
      </c>
      <c r="X222" s="164">
        <f t="shared" si="108"/>
        <v>2.2156434302229595E-3</v>
      </c>
      <c r="Y222" s="164">
        <f t="shared" si="109"/>
        <v>2.3229312908582527E-3</v>
      </c>
      <c r="Z222" s="164">
        <f t="shared" si="110"/>
        <v>2.4334018294049826E-3</v>
      </c>
      <c r="AA222" s="164">
        <f t="shared" si="111"/>
        <v>2.5431193509727378E-3</v>
      </c>
      <c r="AB222" s="164">
        <f t="shared" si="112"/>
        <v>2.6506346719178862E-3</v>
      </c>
      <c r="AC222" s="164">
        <f t="shared" si="113"/>
        <v>2.7552568941925071E-3</v>
      </c>
      <c r="AD222" s="156"/>
    </row>
    <row r="223" spans="2:30" hidden="1" outlineLevel="1">
      <c r="B223" s="133"/>
      <c r="C223" s="133"/>
      <c r="D223" s="133"/>
      <c r="E223" s="133"/>
      <c r="F223" s="133"/>
      <c r="G223" s="133"/>
      <c r="H223" s="133"/>
      <c r="I223" s="133"/>
      <c r="J223" s="156"/>
      <c r="K223" s="156"/>
      <c r="L223" s="158"/>
      <c r="M223" s="158"/>
      <c r="N223" s="158"/>
      <c r="O223" s="158"/>
      <c r="P223" s="158"/>
      <c r="Q223" s="158"/>
      <c r="R223" s="158"/>
      <c r="S223" s="158"/>
      <c r="T223" s="156"/>
      <c r="U223" s="156"/>
      <c r="V223" s="164">
        <f t="shared" si="106"/>
        <v>3.0266076254601339E-3</v>
      </c>
      <c r="W223" s="164">
        <f t="shared" si="107"/>
        <v>2.923276281593818E-3</v>
      </c>
      <c r="X223" s="164">
        <f t="shared" si="108"/>
        <v>2.8960896925710414E-3</v>
      </c>
      <c r="Y223" s="164">
        <f t="shared" si="109"/>
        <v>2.8765672628610567E-3</v>
      </c>
      <c r="Z223" s="164">
        <f t="shared" si="110"/>
        <v>2.8435125960745641E-3</v>
      </c>
      <c r="AA223" s="164">
        <f t="shared" si="111"/>
        <v>2.7998421536351275E-3</v>
      </c>
      <c r="AB223" s="164">
        <f t="shared" si="112"/>
        <v>2.7508065839738013E-3</v>
      </c>
      <c r="AC223" s="164">
        <f t="shared" si="113"/>
        <v>2.6998732623087027E-3</v>
      </c>
      <c r="AD223" s="156"/>
    </row>
    <row r="224" spans="2:30" hidden="1" outlineLevel="1">
      <c r="B224" s="133"/>
      <c r="C224" s="133"/>
      <c r="D224" s="133"/>
      <c r="E224" s="133"/>
      <c r="F224" s="133"/>
      <c r="G224" s="133"/>
      <c r="H224" s="133"/>
      <c r="I224" s="133"/>
      <c r="J224" s="156"/>
      <c r="K224" s="156"/>
      <c r="L224" s="158"/>
      <c r="M224" s="158"/>
      <c r="N224" s="158"/>
      <c r="O224" s="158"/>
      <c r="P224" s="158"/>
      <c r="Q224" s="158"/>
      <c r="R224" s="158"/>
      <c r="S224" s="158"/>
      <c r="T224" s="156"/>
      <c r="U224" s="156"/>
      <c r="V224" s="164">
        <f t="shared" si="106"/>
        <v>3.5575443550527462E-2</v>
      </c>
      <c r="W224" s="164">
        <f t="shared" si="107"/>
        <v>3.4730627159147952E-2</v>
      </c>
      <c r="X224" s="164">
        <f t="shared" si="108"/>
        <v>3.4158314949045303E-2</v>
      </c>
      <c r="Y224" s="164">
        <f t="shared" si="109"/>
        <v>3.3536142162127795E-2</v>
      </c>
      <c r="Z224" s="164">
        <f t="shared" si="110"/>
        <v>3.2963444053534401E-2</v>
      </c>
      <c r="AA224" s="164">
        <f t="shared" si="111"/>
        <v>3.2479974205739413E-2</v>
      </c>
      <c r="AB224" s="164">
        <f t="shared" si="112"/>
        <v>3.2009451680544074E-2</v>
      </c>
      <c r="AC224" s="164">
        <f t="shared" si="113"/>
        <v>3.153581628625652E-2</v>
      </c>
      <c r="AD224" s="156"/>
    </row>
    <row r="225" spans="2:30" hidden="1" outlineLevel="1">
      <c r="B225" s="133"/>
      <c r="C225" s="133"/>
      <c r="D225" s="133"/>
      <c r="E225" s="133"/>
      <c r="F225" s="133"/>
      <c r="G225" s="133"/>
      <c r="H225" s="133"/>
      <c r="I225" s="133"/>
      <c r="J225" s="156"/>
      <c r="K225" s="156"/>
      <c r="L225" s="158"/>
      <c r="M225" s="158"/>
      <c r="N225" s="158"/>
      <c r="O225" s="158"/>
      <c r="P225" s="158"/>
      <c r="Q225" s="158"/>
      <c r="R225" s="158"/>
      <c r="S225" s="158"/>
      <c r="T225" s="156"/>
      <c r="U225" s="156"/>
      <c r="V225" s="164">
        <f t="shared" si="106"/>
        <v>4.48781729730286E-4</v>
      </c>
      <c r="W225" s="164">
        <f t="shared" si="107"/>
        <v>4.5030436827638823E-4</v>
      </c>
      <c r="X225" s="164">
        <f t="shared" si="108"/>
        <v>4.468078540520755E-4</v>
      </c>
      <c r="Y225" s="164">
        <f t="shared" si="109"/>
        <v>4.3605314089014471E-4</v>
      </c>
      <c r="Z225" s="164">
        <f t="shared" si="110"/>
        <v>4.3238192072458465E-4</v>
      </c>
      <c r="AA225" s="164">
        <f t="shared" si="111"/>
        <v>4.3516957850860903E-4</v>
      </c>
      <c r="AB225" s="164">
        <f t="shared" si="112"/>
        <v>4.402604925315225E-4</v>
      </c>
      <c r="AC225" s="164">
        <f t="shared" si="113"/>
        <v>4.4609657900682799E-4</v>
      </c>
      <c r="AD225" s="156"/>
    </row>
    <row r="226" spans="2:30" hidden="1" outlineLevel="1">
      <c r="B226" s="133"/>
      <c r="C226" s="133"/>
      <c r="D226" s="133"/>
      <c r="E226" s="133"/>
      <c r="F226" s="133"/>
      <c r="G226" s="133"/>
      <c r="H226" s="133"/>
      <c r="I226" s="133"/>
      <c r="J226" s="156"/>
      <c r="K226" s="156"/>
      <c r="L226" s="158"/>
      <c r="M226" s="158"/>
      <c r="N226" s="158"/>
      <c r="O226" s="158"/>
      <c r="P226" s="158"/>
      <c r="Q226" s="158"/>
      <c r="R226" s="158"/>
      <c r="S226" s="158"/>
      <c r="T226" s="156"/>
      <c r="U226" s="156"/>
      <c r="V226" s="164">
        <f t="shared" si="106"/>
        <v>1.4578188886559665E-2</v>
      </c>
      <c r="W226" s="164">
        <f t="shared" si="107"/>
        <v>1.4495753709835234E-2</v>
      </c>
      <c r="X226" s="164">
        <f t="shared" si="108"/>
        <v>1.4545701866925479E-2</v>
      </c>
      <c r="Y226" s="164">
        <f t="shared" si="109"/>
        <v>1.4581457564842712E-2</v>
      </c>
      <c r="Z226" s="164">
        <f t="shared" si="110"/>
        <v>1.4571248243659234E-2</v>
      </c>
      <c r="AA226" s="164">
        <f t="shared" si="111"/>
        <v>1.4568026497446259E-2</v>
      </c>
      <c r="AB226" s="164">
        <f t="shared" si="112"/>
        <v>1.452391927958231E-2</v>
      </c>
      <c r="AC226" s="164">
        <f t="shared" si="113"/>
        <v>1.4473474525716404E-2</v>
      </c>
      <c r="AD226" s="156"/>
    </row>
    <row r="227" spans="2:30" hidden="1" outlineLevel="1">
      <c r="B227" s="133"/>
      <c r="C227" s="133"/>
      <c r="D227" s="133"/>
      <c r="E227" s="133"/>
      <c r="F227" s="133"/>
      <c r="G227" s="133"/>
      <c r="H227" s="133"/>
      <c r="I227" s="133"/>
      <c r="J227" s="156"/>
      <c r="K227" s="156"/>
      <c r="L227" s="158"/>
      <c r="M227" s="158"/>
      <c r="N227" s="158"/>
      <c r="O227" s="158"/>
      <c r="P227" s="158"/>
      <c r="Q227" s="158"/>
      <c r="R227" s="158"/>
      <c r="S227" s="158"/>
      <c r="T227" s="156"/>
      <c r="U227" s="156"/>
      <c r="V227" s="164">
        <f t="shared" ref="V227:V258" si="114">L76/SUM(L$44:L$188)</f>
        <v>4.48781729730286E-4</v>
      </c>
      <c r="W227" s="164">
        <f t="shared" ref="W227:W258" si="115">M76/SUM(M$44:M$188)</f>
        <v>4.5030436827638823E-4</v>
      </c>
      <c r="X227" s="164">
        <f t="shared" ref="X227:X258" si="116">N76/SUM(N$44:N$188)</f>
        <v>4.468078540520755E-4</v>
      </c>
      <c r="Y227" s="164">
        <f t="shared" ref="Y227:Y258" si="117">O76/SUM(O$44:O$188)</f>
        <v>4.3605314089014471E-4</v>
      </c>
      <c r="Z227" s="164">
        <f t="shared" ref="Z227:Z258" si="118">P76/SUM(P$44:P$188)</f>
        <v>4.3238192072458465E-4</v>
      </c>
      <c r="AA227" s="164">
        <f t="shared" ref="AA227:AA258" si="119">Q76/SUM(Q$44:Q$188)</f>
        <v>4.3516957850860903E-4</v>
      </c>
      <c r="AB227" s="164">
        <f t="shared" ref="AB227:AB258" si="120">R76/SUM(R$44:R$188)</f>
        <v>4.402604925315225E-4</v>
      </c>
      <c r="AC227" s="164">
        <f t="shared" ref="AC227:AC258" si="121">S76/SUM(S$44:S$188)</f>
        <v>4.4609657900682799E-4</v>
      </c>
      <c r="AD227" s="156"/>
    </row>
    <row r="228" spans="2:30" hidden="1" outlineLevel="1">
      <c r="B228" s="133"/>
      <c r="C228" s="133"/>
      <c r="D228" s="133"/>
      <c r="E228" s="133"/>
      <c r="F228" s="133"/>
      <c r="G228" s="133"/>
      <c r="H228" s="133"/>
      <c r="I228" s="133"/>
      <c r="J228" s="156"/>
      <c r="K228" s="156"/>
      <c r="L228" s="158"/>
      <c r="M228" s="158"/>
      <c r="N228" s="158"/>
      <c r="O228" s="158"/>
      <c r="P228" s="158"/>
      <c r="Q228" s="158"/>
      <c r="R228" s="158"/>
      <c r="S228" s="158"/>
      <c r="T228" s="156"/>
      <c r="U228" s="156"/>
      <c r="V228" s="164">
        <f t="shared" si="114"/>
        <v>4.48781729730286E-4</v>
      </c>
      <c r="W228" s="164">
        <f t="shared" si="115"/>
        <v>4.5030436827638823E-4</v>
      </c>
      <c r="X228" s="164">
        <f t="shared" si="116"/>
        <v>4.468078540520755E-4</v>
      </c>
      <c r="Y228" s="164">
        <f t="shared" si="117"/>
        <v>4.3605314089014471E-4</v>
      </c>
      <c r="Z228" s="164">
        <f t="shared" si="118"/>
        <v>4.3238192072458465E-4</v>
      </c>
      <c r="AA228" s="164">
        <f t="shared" si="119"/>
        <v>4.3516957850860903E-4</v>
      </c>
      <c r="AB228" s="164">
        <f t="shared" si="120"/>
        <v>4.402604925315225E-4</v>
      </c>
      <c r="AC228" s="164">
        <f t="shared" si="121"/>
        <v>4.4609657900682799E-4</v>
      </c>
      <c r="AD228" s="156"/>
    </row>
    <row r="229" spans="2:30" hidden="1" outlineLevel="1">
      <c r="B229" s="133"/>
      <c r="C229" s="133"/>
      <c r="D229" s="133"/>
      <c r="E229" s="133"/>
      <c r="F229" s="133"/>
      <c r="G229" s="133"/>
      <c r="H229" s="133"/>
      <c r="I229" s="133"/>
      <c r="J229" s="156"/>
      <c r="K229" s="156"/>
      <c r="L229" s="158"/>
      <c r="M229" s="158"/>
      <c r="N229" s="158"/>
      <c r="O229" s="158"/>
      <c r="P229" s="158"/>
      <c r="Q229" s="158"/>
      <c r="R229" s="158"/>
      <c r="S229" s="158"/>
      <c r="T229" s="156"/>
      <c r="U229" s="156"/>
      <c r="V229" s="164">
        <f t="shared" si="114"/>
        <v>4.48781729730286E-4</v>
      </c>
      <c r="W229" s="164">
        <f t="shared" si="115"/>
        <v>4.5030436827638823E-4</v>
      </c>
      <c r="X229" s="164">
        <f t="shared" si="116"/>
        <v>4.468078540520755E-4</v>
      </c>
      <c r="Y229" s="164">
        <f t="shared" si="117"/>
        <v>4.3605314089014471E-4</v>
      </c>
      <c r="Z229" s="164">
        <f t="shared" si="118"/>
        <v>4.3238192072458465E-4</v>
      </c>
      <c r="AA229" s="164">
        <f t="shared" si="119"/>
        <v>4.3516957850860903E-4</v>
      </c>
      <c r="AB229" s="164">
        <f t="shared" si="120"/>
        <v>4.402604925315225E-4</v>
      </c>
      <c r="AC229" s="164">
        <f t="shared" si="121"/>
        <v>4.4609657900682799E-4</v>
      </c>
      <c r="AD229" s="156"/>
    </row>
    <row r="230" spans="2:30" hidden="1" outlineLevel="1">
      <c r="B230" s="133"/>
      <c r="C230" s="133"/>
      <c r="D230" s="133"/>
      <c r="E230" s="133"/>
      <c r="F230" s="133"/>
      <c r="G230" s="133"/>
      <c r="H230" s="133"/>
      <c r="I230" s="133"/>
      <c r="J230" s="156"/>
      <c r="K230" s="156"/>
      <c r="L230" s="158"/>
      <c r="M230" s="158"/>
      <c r="N230" s="158"/>
      <c r="O230" s="158"/>
      <c r="P230" s="158"/>
      <c r="Q230" s="158"/>
      <c r="R230" s="158"/>
      <c r="S230" s="158"/>
      <c r="T230" s="156"/>
      <c r="U230" s="156"/>
      <c r="V230" s="164">
        <f t="shared" si="114"/>
        <v>4.48781729730286E-4</v>
      </c>
      <c r="W230" s="164">
        <f t="shared" si="115"/>
        <v>4.5030436827638823E-4</v>
      </c>
      <c r="X230" s="164">
        <f t="shared" si="116"/>
        <v>4.468078540520755E-4</v>
      </c>
      <c r="Y230" s="164">
        <f t="shared" si="117"/>
        <v>4.3605314089014471E-4</v>
      </c>
      <c r="Z230" s="164">
        <f t="shared" si="118"/>
        <v>4.3238192072458465E-4</v>
      </c>
      <c r="AA230" s="164">
        <f t="shared" si="119"/>
        <v>4.3516957850860903E-4</v>
      </c>
      <c r="AB230" s="164">
        <f t="shared" si="120"/>
        <v>4.402604925315225E-4</v>
      </c>
      <c r="AC230" s="164">
        <f t="shared" si="121"/>
        <v>4.4609657900682799E-4</v>
      </c>
      <c r="AD230" s="156"/>
    </row>
    <row r="231" spans="2:30" hidden="1" outlineLevel="1">
      <c r="B231" s="133"/>
      <c r="C231" s="133"/>
      <c r="D231" s="133"/>
      <c r="E231" s="133"/>
      <c r="F231" s="133"/>
      <c r="G231" s="133"/>
      <c r="H231" s="133"/>
      <c r="I231" s="133"/>
      <c r="J231" s="156"/>
      <c r="K231" s="156"/>
      <c r="L231" s="158"/>
      <c r="M231" s="158"/>
      <c r="N231" s="158"/>
      <c r="O231" s="158"/>
      <c r="P231" s="158"/>
      <c r="Q231" s="158"/>
      <c r="R231" s="158"/>
      <c r="S231" s="158"/>
      <c r="T231" s="156"/>
      <c r="U231" s="156"/>
      <c r="V231" s="164">
        <f t="shared" si="114"/>
        <v>4.48781729730286E-4</v>
      </c>
      <c r="W231" s="164">
        <f t="shared" si="115"/>
        <v>4.5030436827638823E-4</v>
      </c>
      <c r="X231" s="164">
        <f t="shared" si="116"/>
        <v>4.468078540520755E-4</v>
      </c>
      <c r="Y231" s="164">
        <f t="shared" si="117"/>
        <v>4.3605314089014471E-4</v>
      </c>
      <c r="Z231" s="164">
        <f t="shared" si="118"/>
        <v>4.3238192072458465E-4</v>
      </c>
      <c r="AA231" s="164">
        <f t="shared" si="119"/>
        <v>4.3516957850860903E-4</v>
      </c>
      <c r="AB231" s="164">
        <f t="shared" si="120"/>
        <v>4.402604925315225E-4</v>
      </c>
      <c r="AC231" s="164">
        <f t="shared" si="121"/>
        <v>4.4609657900682799E-4</v>
      </c>
      <c r="AD231" s="156"/>
    </row>
    <row r="232" spans="2:30" hidden="1" outlineLevel="1">
      <c r="B232" s="133"/>
      <c r="C232" s="133"/>
      <c r="D232" s="133"/>
      <c r="E232" s="133"/>
      <c r="F232" s="133"/>
      <c r="G232" s="133"/>
      <c r="H232" s="133"/>
      <c r="I232" s="133"/>
      <c r="J232" s="156"/>
      <c r="K232" s="156"/>
      <c r="L232" s="158"/>
      <c r="M232" s="158"/>
      <c r="N232" s="158"/>
      <c r="O232" s="158"/>
      <c r="P232" s="158"/>
      <c r="Q232" s="158"/>
      <c r="R232" s="158"/>
      <c r="S232" s="158"/>
      <c r="T232" s="156"/>
      <c r="U232" s="156"/>
      <c r="V232" s="164">
        <f t="shared" si="114"/>
        <v>4.48781729730286E-4</v>
      </c>
      <c r="W232" s="164">
        <f t="shared" si="115"/>
        <v>4.5030436827638823E-4</v>
      </c>
      <c r="X232" s="164">
        <f t="shared" si="116"/>
        <v>4.468078540520755E-4</v>
      </c>
      <c r="Y232" s="164">
        <f t="shared" si="117"/>
        <v>4.3605314089014471E-4</v>
      </c>
      <c r="Z232" s="164">
        <f t="shared" si="118"/>
        <v>4.3238192072458465E-4</v>
      </c>
      <c r="AA232" s="164">
        <f t="shared" si="119"/>
        <v>4.3516957850860903E-4</v>
      </c>
      <c r="AB232" s="164">
        <f t="shared" si="120"/>
        <v>4.402604925315225E-4</v>
      </c>
      <c r="AC232" s="164">
        <f t="shared" si="121"/>
        <v>4.4609657900682799E-4</v>
      </c>
      <c r="AD232" s="156"/>
    </row>
    <row r="233" spans="2:30" hidden="1" outlineLevel="1">
      <c r="B233" s="133"/>
      <c r="C233" s="133"/>
      <c r="D233" s="133"/>
      <c r="E233" s="133"/>
      <c r="F233" s="133"/>
      <c r="G233" s="133"/>
      <c r="H233" s="133"/>
      <c r="I233" s="133"/>
      <c r="J233" s="156"/>
      <c r="K233" s="156"/>
      <c r="L233" s="158"/>
      <c r="M233" s="158"/>
      <c r="N233" s="158"/>
      <c r="O233" s="158"/>
      <c r="P233" s="158"/>
      <c r="Q233" s="158"/>
      <c r="R233" s="158"/>
      <c r="S233" s="158"/>
      <c r="T233" s="156"/>
      <c r="U233" s="156"/>
      <c r="V233" s="164">
        <f t="shared" si="114"/>
        <v>3.4163025750805851E-3</v>
      </c>
      <c r="W233" s="164">
        <f t="shared" si="115"/>
        <v>3.4038351696286974E-3</v>
      </c>
      <c r="X233" s="164">
        <f t="shared" si="116"/>
        <v>3.3731076871869425E-3</v>
      </c>
      <c r="Y233" s="164">
        <f t="shared" si="117"/>
        <v>3.3648385712312023E-3</v>
      </c>
      <c r="Z233" s="164">
        <f t="shared" si="118"/>
        <v>3.3606283321007922E-3</v>
      </c>
      <c r="AA233" s="164">
        <f t="shared" si="119"/>
        <v>3.3406535007255277E-3</v>
      </c>
      <c r="AB233" s="164">
        <f t="shared" si="120"/>
        <v>3.314059395976674E-3</v>
      </c>
      <c r="AC233" s="164">
        <f t="shared" si="121"/>
        <v>3.2822275195507834E-3</v>
      </c>
      <c r="AD233" s="156"/>
    </row>
    <row r="234" spans="2:30" hidden="1" outlineLevel="1">
      <c r="B234" s="133"/>
      <c r="C234" s="133"/>
      <c r="D234" s="133"/>
      <c r="E234" s="133"/>
      <c r="F234" s="133"/>
      <c r="G234" s="133"/>
      <c r="H234" s="133"/>
      <c r="I234" s="133"/>
      <c r="J234" s="156"/>
      <c r="K234" s="156"/>
      <c r="L234" s="158"/>
      <c r="M234" s="158"/>
      <c r="N234" s="158"/>
      <c r="O234" s="158"/>
      <c r="P234" s="158"/>
      <c r="Q234" s="158"/>
      <c r="R234" s="158"/>
      <c r="S234" s="158"/>
      <c r="T234" s="156"/>
      <c r="U234" s="156"/>
      <c r="V234" s="164">
        <f t="shared" si="114"/>
        <v>1.9686968887943759E-4</v>
      </c>
      <c r="W234" s="164">
        <f t="shared" si="115"/>
        <v>1.979491417488923E-4</v>
      </c>
      <c r="X234" s="164">
        <f t="shared" si="116"/>
        <v>2.0625071162115401E-4</v>
      </c>
      <c r="Y234" s="164">
        <f t="shared" si="117"/>
        <v>2.103439384425046E-4</v>
      </c>
      <c r="Z234" s="164">
        <f t="shared" si="118"/>
        <v>2.0981653110980041E-4</v>
      </c>
      <c r="AA234" s="164">
        <f t="shared" si="119"/>
        <v>2.0912280376085121E-4</v>
      </c>
      <c r="AB234" s="164">
        <f t="shared" si="120"/>
        <v>2.0835717388889376E-4</v>
      </c>
      <c r="AC234" s="164">
        <f t="shared" si="121"/>
        <v>2.0695083967755583E-4</v>
      </c>
      <c r="AD234" s="156"/>
    </row>
    <row r="235" spans="2:30" hidden="1" outlineLevel="1">
      <c r="B235" s="133"/>
      <c r="C235" s="133"/>
      <c r="D235" s="133"/>
      <c r="E235" s="133"/>
      <c r="F235" s="133"/>
      <c r="G235" s="133"/>
      <c r="H235" s="133"/>
      <c r="I235" s="133"/>
      <c r="J235" s="156"/>
      <c r="K235" s="156"/>
      <c r="L235" s="158"/>
      <c r="M235" s="158"/>
      <c r="N235" s="158"/>
      <c r="O235" s="158"/>
      <c r="P235" s="158"/>
      <c r="Q235" s="158"/>
      <c r="R235" s="158"/>
      <c r="S235" s="158"/>
      <c r="T235" s="156"/>
      <c r="U235" s="156"/>
      <c r="V235" s="164">
        <f t="shared" si="114"/>
        <v>3.2820057727198592E-3</v>
      </c>
      <c r="W235" s="164">
        <f t="shared" si="115"/>
        <v>3.9788271974000823E-3</v>
      </c>
      <c r="X235" s="164">
        <f t="shared" si="116"/>
        <v>4.0656430012364639E-3</v>
      </c>
      <c r="Y235" s="164">
        <f t="shared" si="117"/>
        <v>4.090719745985013E-3</v>
      </c>
      <c r="Z235" s="164">
        <f t="shared" si="118"/>
        <v>4.0854470318656237E-3</v>
      </c>
      <c r="AA235" s="164">
        <f t="shared" si="119"/>
        <v>4.0698957021437308E-3</v>
      </c>
      <c r="AB235" s="164">
        <f t="shared" si="120"/>
        <v>4.0498260211046218E-3</v>
      </c>
      <c r="AC235" s="164">
        <f t="shared" si="121"/>
        <v>4.027676496861793E-3</v>
      </c>
      <c r="AD235" s="156"/>
    </row>
    <row r="236" spans="2:30" hidden="1" outlineLevel="1">
      <c r="B236" s="133"/>
      <c r="C236" s="133"/>
      <c r="D236" s="133"/>
      <c r="E236" s="133"/>
      <c r="F236" s="133"/>
      <c r="G236" s="133"/>
      <c r="H236" s="133"/>
      <c r="I236" s="133"/>
      <c r="J236" s="156"/>
      <c r="K236" s="156"/>
      <c r="L236" s="158"/>
      <c r="M236" s="158"/>
      <c r="N236" s="158"/>
      <c r="O236" s="158"/>
      <c r="P236" s="158"/>
      <c r="Q236" s="158"/>
      <c r="R236" s="158"/>
      <c r="S236" s="158"/>
      <c r="T236" s="156"/>
      <c r="U236" s="156"/>
      <c r="V236" s="164">
        <f t="shared" si="114"/>
        <v>7.4562641396680174E-3</v>
      </c>
      <c r="W236" s="164">
        <f t="shared" si="115"/>
        <v>7.5514500555394874E-3</v>
      </c>
      <c r="X236" s="164">
        <f t="shared" si="116"/>
        <v>8.1467844664827281E-3</v>
      </c>
      <c r="Y236" s="164">
        <f t="shared" si="117"/>
        <v>7.8395238063823872E-3</v>
      </c>
      <c r="Z236" s="164">
        <f t="shared" si="118"/>
        <v>7.794083225537647E-3</v>
      </c>
      <c r="AA236" s="164">
        <f t="shared" si="119"/>
        <v>7.6633869430094963E-3</v>
      </c>
      <c r="AB236" s="164">
        <f t="shared" si="120"/>
        <v>7.5582217487816421E-3</v>
      </c>
      <c r="AC236" s="164">
        <f t="shared" si="121"/>
        <v>7.462130212066302E-3</v>
      </c>
      <c r="AD236" s="156"/>
    </row>
    <row r="237" spans="2:30" hidden="1" outlineLevel="1">
      <c r="B237" s="133"/>
      <c r="C237" s="133"/>
      <c r="D237" s="133"/>
      <c r="E237" s="133"/>
      <c r="F237" s="133"/>
      <c r="G237" s="133"/>
      <c r="H237" s="133"/>
      <c r="I237" s="133"/>
      <c r="J237" s="156"/>
      <c r="K237" s="156"/>
      <c r="L237" s="158"/>
      <c r="M237" s="158"/>
      <c r="N237" s="158"/>
      <c r="O237" s="158"/>
      <c r="P237" s="158"/>
      <c r="Q237" s="158"/>
      <c r="R237" s="158"/>
      <c r="S237" s="158"/>
      <c r="T237" s="156"/>
      <c r="U237" s="156"/>
      <c r="V237" s="164">
        <f t="shared" si="114"/>
        <v>3.2820057727198592E-3</v>
      </c>
      <c r="W237" s="164">
        <f t="shared" si="115"/>
        <v>3.9788271974000823E-3</v>
      </c>
      <c r="X237" s="164">
        <f t="shared" si="116"/>
        <v>4.0656430012364639E-3</v>
      </c>
      <c r="Y237" s="164">
        <f t="shared" si="117"/>
        <v>4.090719745985013E-3</v>
      </c>
      <c r="Z237" s="164">
        <f t="shared" si="118"/>
        <v>4.0854470318656237E-3</v>
      </c>
      <c r="AA237" s="164">
        <f t="shared" si="119"/>
        <v>4.0698957021437308E-3</v>
      </c>
      <c r="AB237" s="164">
        <f t="shared" si="120"/>
        <v>4.0498260211046218E-3</v>
      </c>
      <c r="AC237" s="164">
        <f t="shared" si="121"/>
        <v>4.027676496861793E-3</v>
      </c>
      <c r="AD237" s="156"/>
    </row>
    <row r="238" spans="2:30" hidden="1" outlineLevel="1">
      <c r="B238" s="133"/>
      <c r="C238" s="133"/>
      <c r="D238" s="133"/>
      <c r="E238" s="133"/>
      <c r="F238" s="133"/>
      <c r="G238" s="133"/>
      <c r="H238" s="133"/>
      <c r="I238" s="133"/>
      <c r="J238" s="156"/>
      <c r="K238" s="156"/>
      <c r="L238" s="158"/>
      <c r="M238" s="158"/>
      <c r="N238" s="158"/>
      <c r="O238" s="158"/>
      <c r="P238" s="158"/>
      <c r="Q238" s="158"/>
      <c r="R238" s="158"/>
      <c r="S238" s="158"/>
      <c r="T238" s="156"/>
      <c r="U238" s="156"/>
      <c r="V238" s="164">
        <f t="shared" si="114"/>
        <v>3.7514045536338955E-3</v>
      </c>
      <c r="W238" s="164">
        <f t="shared" si="115"/>
        <v>3.71885954332045E-3</v>
      </c>
      <c r="X238" s="164">
        <f t="shared" si="116"/>
        <v>3.757834264371397E-3</v>
      </c>
      <c r="Y238" s="164">
        <f t="shared" si="117"/>
        <v>3.7444021198986058E-3</v>
      </c>
      <c r="Z238" s="164">
        <f t="shared" si="118"/>
        <v>3.7385521658781619E-3</v>
      </c>
      <c r="AA238" s="164">
        <f t="shared" si="119"/>
        <v>3.7250405222665072E-3</v>
      </c>
      <c r="AB238" s="164">
        <f t="shared" si="120"/>
        <v>3.7103724608000266E-3</v>
      </c>
      <c r="AC238" s="164">
        <f t="shared" si="121"/>
        <v>3.6970078493858589E-3</v>
      </c>
      <c r="AD238" s="156"/>
    </row>
    <row r="239" spans="2:30" hidden="1" outlineLevel="1">
      <c r="B239" s="133"/>
      <c r="C239" s="133"/>
      <c r="D239" s="133"/>
      <c r="E239" s="133"/>
      <c r="F239" s="133"/>
      <c r="G239" s="133"/>
      <c r="H239" s="133"/>
      <c r="I239" s="133"/>
      <c r="J239" s="156"/>
      <c r="K239" s="156"/>
      <c r="L239" s="158"/>
      <c r="M239" s="158"/>
      <c r="N239" s="158"/>
      <c r="O239" s="158"/>
      <c r="P239" s="158"/>
      <c r="Q239" s="158"/>
      <c r="R239" s="158"/>
      <c r="S239" s="158"/>
      <c r="T239" s="156"/>
      <c r="U239" s="156"/>
      <c r="V239" s="164">
        <f t="shared" si="114"/>
        <v>2.922705313351805E-2</v>
      </c>
      <c r="W239" s="164">
        <f t="shared" si="115"/>
        <v>2.8452651650552559E-2</v>
      </c>
      <c r="X239" s="164">
        <f t="shared" si="116"/>
        <v>2.7898608973515721E-2</v>
      </c>
      <c r="Y239" s="164">
        <f t="shared" si="117"/>
        <v>2.7373544114539097E-2</v>
      </c>
      <c r="Z239" s="164">
        <f t="shared" si="118"/>
        <v>2.6737751483600618E-2</v>
      </c>
      <c r="AA239" s="164">
        <f t="shared" si="119"/>
        <v>2.6087609415867335E-2</v>
      </c>
      <c r="AB239" s="164">
        <f t="shared" si="120"/>
        <v>2.5476303683055493E-2</v>
      </c>
      <c r="AC239" s="164">
        <f t="shared" si="121"/>
        <v>2.487192093413992E-2</v>
      </c>
      <c r="AD239" s="156"/>
    </row>
    <row r="240" spans="2:30" hidden="1" outlineLevel="1">
      <c r="B240" s="133"/>
      <c r="C240" s="133"/>
      <c r="D240" s="133"/>
      <c r="E240" s="133"/>
      <c r="F240" s="133"/>
      <c r="G240" s="133"/>
      <c r="H240" s="133"/>
      <c r="I240" s="133"/>
      <c r="J240" s="156"/>
      <c r="K240" s="156"/>
      <c r="L240" s="158"/>
      <c r="M240" s="158"/>
      <c r="N240" s="158"/>
      <c r="O240" s="158"/>
      <c r="P240" s="158"/>
      <c r="Q240" s="158"/>
      <c r="R240" s="158"/>
      <c r="S240" s="158"/>
      <c r="T240" s="156"/>
      <c r="U240" s="156"/>
      <c r="V240" s="164">
        <f t="shared" si="114"/>
        <v>1.0895988992183244E-3</v>
      </c>
      <c r="W240" s="164">
        <f t="shared" si="115"/>
        <v>1.0775683985724442E-3</v>
      </c>
      <c r="X240" s="164">
        <f t="shared" si="116"/>
        <v>1.0684573649431554E-3</v>
      </c>
      <c r="Y240" s="164">
        <f t="shared" si="117"/>
        <v>1.0565369101168357E-3</v>
      </c>
      <c r="Z240" s="164">
        <f t="shared" si="118"/>
        <v>1.0460359706681813E-3</v>
      </c>
      <c r="AA240" s="164">
        <f t="shared" si="119"/>
        <v>1.0388018543818535E-3</v>
      </c>
      <c r="AB240" s="164">
        <f t="shared" si="120"/>
        <v>1.0335507665918142E-3</v>
      </c>
      <c r="AC240" s="164">
        <f t="shared" si="121"/>
        <v>1.0296160031897301E-3</v>
      </c>
      <c r="AD240" s="156"/>
    </row>
    <row r="241" spans="2:38" hidden="1" outlineLevel="1">
      <c r="B241" s="133"/>
      <c r="C241" s="133"/>
      <c r="D241" s="133"/>
      <c r="E241" s="133"/>
      <c r="F241" s="133"/>
      <c r="G241" s="133"/>
      <c r="H241" s="133"/>
      <c r="I241" s="133"/>
      <c r="J241" s="156"/>
      <c r="K241" s="156"/>
      <c r="L241" s="158"/>
      <c r="M241" s="158"/>
      <c r="N241" s="158"/>
      <c r="O241" s="158"/>
      <c r="P241" s="158"/>
      <c r="Q241" s="158"/>
      <c r="R241" s="158"/>
      <c r="S241" s="158"/>
      <c r="T241" s="156"/>
      <c r="U241" s="156"/>
      <c r="V241" s="164">
        <f t="shared" si="114"/>
        <v>1.8176368169440886E-3</v>
      </c>
      <c r="W241" s="164">
        <f t="shared" si="115"/>
        <v>1.856039964177607E-3</v>
      </c>
      <c r="X241" s="164">
        <f t="shared" si="116"/>
        <v>1.9095456438569596E-3</v>
      </c>
      <c r="Y241" s="164">
        <f t="shared" si="117"/>
        <v>1.938479333874158E-3</v>
      </c>
      <c r="Z241" s="164">
        <f t="shared" si="118"/>
        <v>1.9748251641331202E-3</v>
      </c>
      <c r="AA241" s="164">
        <f t="shared" si="119"/>
        <v>2.0242985221584063E-3</v>
      </c>
      <c r="AB241" s="164">
        <f t="shared" si="120"/>
        <v>2.0781891869632121E-3</v>
      </c>
      <c r="AC241" s="164">
        <f t="shared" si="121"/>
        <v>2.1402970637048142E-3</v>
      </c>
      <c r="AD241" s="156"/>
    </row>
    <row r="242" spans="2:38" hidden="1" outlineLevel="1">
      <c r="B242" s="133"/>
      <c r="C242" s="133"/>
      <c r="D242" s="133"/>
      <c r="E242" s="133"/>
      <c r="F242" s="133"/>
      <c r="G242" s="133"/>
      <c r="H242" s="133"/>
      <c r="I242" s="133"/>
      <c r="J242" s="156"/>
      <c r="K242" s="156"/>
      <c r="L242" s="158"/>
      <c r="M242" s="158"/>
      <c r="N242" s="158"/>
      <c r="O242" s="158"/>
      <c r="P242" s="158"/>
      <c r="Q242" s="158"/>
      <c r="R242" s="158"/>
      <c r="S242" s="158"/>
      <c r="T242" s="156"/>
      <c r="U242" s="156"/>
      <c r="V242" s="164">
        <f t="shared" si="114"/>
        <v>3.8623607841789358E-3</v>
      </c>
      <c r="W242" s="164">
        <f t="shared" si="115"/>
        <v>3.8074629949486523E-3</v>
      </c>
      <c r="X242" s="164">
        <f t="shared" si="116"/>
        <v>3.7922281160095842E-3</v>
      </c>
      <c r="Y242" s="164">
        <f t="shared" si="117"/>
        <v>3.5895273777680771E-3</v>
      </c>
      <c r="Z242" s="164">
        <f t="shared" si="118"/>
        <v>3.6093547391239512E-3</v>
      </c>
      <c r="AA242" s="164">
        <f t="shared" si="119"/>
        <v>3.6198564459818459E-3</v>
      </c>
      <c r="AB242" s="164">
        <f t="shared" si="120"/>
        <v>3.6201995965162458E-3</v>
      </c>
      <c r="AC242" s="164">
        <f t="shared" si="121"/>
        <v>3.6177096435691279E-3</v>
      </c>
      <c r="AD242" s="156"/>
    </row>
    <row r="243" spans="2:38" hidden="1" outlineLevel="1">
      <c r="B243" s="133"/>
      <c r="C243" s="133"/>
      <c r="D243" s="133"/>
      <c r="E243" s="133"/>
      <c r="F243" s="133"/>
      <c r="G243" s="133"/>
      <c r="H243" s="133"/>
      <c r="I243" s="133"/>
      <c r="J243" s="156"/>
      <c r="K243" s="156"/>
      <c r="L243" s="158"/>
      <c r="M243" s="158"/>
      <c r="N243" s="158"/>
      <c r="O243" s="158"/>
      <c r="P243" s="158"/>
      <c r="Q243" s="158"/>
      <c r="R243" s="158"/>
      <c r="S243" s="158"/>
      <c r="T243" s="156"/>
      <c r="U243" s="156"/>
      <c r="V243" s="164">
        <f t="shared" si="114"/>
        <v>6.4284619235883023E-4</v>
      </c>
      <c r="W243" s="164">
        <f t="shared" si="115"/>
        <v>6.3779130190234413E-4</v>
      </c>
      <c r="X243" s="164">
        <f t="shared" si="116"/>
        <v>6.3201512340367789E-4</v>
      </c>
      <c r="Y243" s="164">
        <f t="shared" si="117"/>
        <v>6.3438962977805692E-4</v>
      </c>
      <c r="Z243" s="164">
        <f t="shared" si="118"/>
        <v>6.3677962485078523E-4</v>
      </c>
      <c r="AA243" s="164">
        <f t="shared" si="119"/>
        <v>6.3723540568812751E-4</v>
      </c>
      <c r="AB243" s="164">
        <f t="shared" si="120"/>
        <v>6.3563503181304879E-4</v>
      </c>
      <c r="AC243" s="164">
        <f t="shared" si="121"/>
        <v>6.3396542239125729E-4</v>
      </c>
      <c r="AD243" s="156"/>
    </row>
    <row r="244" spans="2:38" hidden="1" outlineLevel="1">
      <c r="B244" s="133"/>
      <c r="C244" s="133"/>
      <c r="D244" s="133"/>
      <c r="E244" s="133"/>
      <c r="F244" s="133"/>
      <c r="G244" s="133"/>
      <c r="H244" s="133"/>
      <c r="I244" s="133"/>
      <c r="J244" s="156"/>
      <c r="K244" s="156"/>
      <c r="L244" s="158"/>
      <c r="M244" s="158"/>
      <c r="N244" s="158"/>
      <c r="O244" s="158"/>
      <c r="P244" s="158"/>
      <c r="Q244" s="158"/>
      <c r="R244" s="158"/>
      <c r="S244" s="158"/>
      <c r="T244" s="156"/>
      <c r="U244" s="156"/>
      <c r="V244" s="164">
        <f t="shared" si="114"/>
        <v>1.1117819747654368E-3</v>
      </c>
      <c r="W244" s="164">
        <f t="shared" si="115"/>
        <v>1.0826693756672092E-3</v>
      </c>
      <c r="X244" s="164">
        <f t="shared" si="116"/>
        <v>1.0628499432345331E-3</v>
      </c>
      <c r="Y244" s="164">
        <f t="shared" si="117"/>
        <v>1.0427852954589577E-3</v>
      </c>
      <c r="Z244" s="164">
        <f t="shared" si="118"/>
        <v>1.0273736204757006E-3</v>
      </c>
      <c r="AA244" s="164">
        <f t="shared" si="119"/>
        <v>1.0182908530662756E-3</v>
      </c>
      <c r="AB244" s="164">
        <f t="shared" si="120"/>
        <v>1.0091982470177457E-3</v>
      </c>
      <c r="AC244" s="164">
        <f t="shared" si="121"/>
        <v>1.0053671600524687E-3</v>
      </c>
      <c r="AD244" s="156"/>
    </row>
    <row r="245" spans="2:38" hidden="1" outlineLevel="1">
      <c r="B245" s="133"/>
      <c r="C245" s="133"/>
      <c r="D245" s="133"/>
      <c r="E245" s="133"/>
      <c r="F245" s="133"/>
      <c r="G245" s="133"/>
      <c r="H245" s="133"/>
      <c r="I245" s="133"/>
      <c r="J245" s="156"/>
      <c r="K245" s="156"/>
      <c r="L245" s="158"/>
      <c r="M245" s="158"/>
      <c r="N245" s="158"/>
      <c r="O245" s="158"/>
      <c r="P245" s="158"/>
      <c r="Q245" s="158"/>
      <c r="R245" s="158"/>
      <c r="S245" s="158"/>
      <c r="T245" s="156"/>
      <c r="U245" s="156"/>
      <c r="V245" s="164">
        <f t="shared" si="114"/>
        <v>8.8677831775810844E-5</v>
      </c>
      <c r="W245" s="164">
        <f t="shared" si="115"/>
        <v>8.7822689827982782E-5</v>
      </c>
      <c r="X245" s="164">
        <f t="shared" si="116"/>
        <v>8.7370873660405304E-5</v>
      </c>
      <c r="Y245" s="164">
        <f t="shared" si="117"/>
        <v>8.8371031899806755E-5</v>
      </c>
      <c r="Z245" s="164">
        <f t="shared" si="118"/>
        <v>8.8005347775144276E-5</v>
      </c>
      <c r="AA245" s="164">
        <f t="shared" si="119"/>
        <v>8.8845525677804502E-5</v>
      </c>
      <c r="AB245" s="164">
        <f t="shared" si="120"/>
        <v>8.9749517503106297E-5</v>
      </c>
      <c r="AC245" s="164">
        <f t="shared" si="121"/>
        <v>9.1207740039718412E-5</v>
      </c>
      <c r="AD245" s="156"/>
    </row>
    <row r="246" spans="2:38" hidden="1" outlineLevel="1">
      <c r="B246" s="133"/>
      <c r="C246" s="133"/>
      <c r="D246" s="133"/>
      <c r="E246" s="133"/>
      <c r="F246" s="133"/>
      <c r="G246" s="133"/>
      <c r="H246" s="133"/>
      <c r="I246" s="133"/>
      <c r="J246" s="156"/>
      <c r="K246" s="156"/>
      <c r="L246" s="158"/>
      <c r="M246" s="158"/>
      <c r="N246" s="158"/>
      <c r="O246" s="158"/>
      <c r="P246" s="158"/>
      <c r="Q246" s="158"/>
      <c r="R246" s="158"/>
      <c r="S246" s="158"/>
      <c r="T246" s="156"/>
      <c r="U246" s="156"/>
      <c r="V246" s="164">
        <f t="shared" si="114"/>
        <v>5.0603013341356438E-5</v>
      </c>
      <c r="W246" s="164">
        <f t="shared" si="115"/>
        <v>4.8901714087058722E-5</v>
      </c>
      <c r="X246" s="164">
        <f t="shared" si="116"/>
        <v>4.6745165824885223E-5</v>
      </c>
      <c r="Y246" s="164">
        <f t="shared" si="117"/>
        <v>4.6344958458733247E-5</v>
      </c>
      <c r="Z246" s="164">
        <f t="shared" si="118"/>
        <v>4.6543451684861685E-5</v>
      </c>
      <c r="AA246" s="164">
        <f t="shared" si="119"/>
        <v>4.7238102666598344E-5</v>
      </c>
      <c r="AB246" s="164">
        <f t="shared" si="120"/>
        <v>4.8422807961020067E-5</v>
      </c>
      <c r="AC246" s="164">
        <f t="shared" si="121"/>
        <v>4.9796560897077674E-5</v>
      </c>
      <c r="AD246" s="156"/>
    </row>
    <row r="247" spans="2:38" hidden="1" outlineLevel="1">
      <c r="B247" s="133"/>
      <c r="C247" s="133"/>
      <c r="D247" s="133"/>
      <c r="E247" s="133"/>
      <c r="F247" s="133"/>
      <c r="G247" s="133"/>
      <c r="H247" s="133"/>
      <c r="I247" s="133"/>
      <c r="J247" s="156"/>
      <c r="K247" s="156"/>
      <c r="L247" s="158"/>
      <c r="M247" s="158"/>
      <c r="N247" s="158"/>
      <c r="O247" s="158"/>
      <c r="P247" s="158"/>
      <c r="Q247" s="158"/>
      <c r="R247" s="158"/>
      <c r="S247" s="158"/>
      <c r="T247" s="156"/>
      <c r="U247" s="156"/>
      <c r="V247" s="164">
        <f t="shared" si="114"/>
        <v>6.1158017550421394E-4</v>
      </c>
      <c r="W247" s="164">
        <f t="shared" si="115"/>
        <v>5.2995508459541079E-4</v>
      </c>
      <c r="X247" s="164">
        <f t="shared" si="116"/>
        <v>4.9977238738451964E-4</v>
      </c>
      <c r="Y247" s="164">
        <f t="shared" si="117"/>
        <v>7.492078998766645E-4</v>
      </c>
      <c r="Z247" s="164">
        <f t="shared" si="118"/>
        <v>9.4918287012105975E-4</v>
      </c>
      <c r="AA247" s="164">
        <f t="shared" si="119"/>
        <v>9.1054157111630373E-4</v>
      </c>
      <c r="AB247" s="164">
        <f t="shared" si="120"/>
        <v>9.0150688976222153E-4</v>
      </c>
      <c r="AC247" s="164">
        <f t="shared" si="121"/>
        <v>8.9354933592838265E-4</v>
      </c>
      <c r="AD247" s="156"/>
    </row>
    <row r="248" spans="2:38" hidden="1" outlineLevel="1">
      <c r="B248" s="133"/>
      <c r="C248" s="133"/>
      <c r="D248" s="133"/>
      <c r="E248" s="133"/>
      <c r="F248" s="133"/>
      <c r="G248" s="133"/>
      <c r="H248" s="133"/>
      <c r="I248" s="133"/>
      <c r="J248" s="156"/>
      <c r="K248" s="156"/>
      <c r="L248" s="158"/>
      <c r="M248" s="158"/>
      <c r="N248" s="158"/>
      <c r="O248" s="158"/>
      <c r="P248" s="158"/>
      <c r="Q248" s="158"/>
      <c r="R248" s="158"/>
      <c r="S248" s="158"/>
      <c r="T248" s="156"/>
      <c r="U248" s="156"/>
      <c r="V248" s="164">
        <f t="shared" si="114"/>
        <v>1.099335485477493E-3</v>
      </c>
      <c r="W248" s="164">
        <f t="shared" si="115"/>
        <v>1.080782534650013E-3</v>
      </c>
      <c r="X248" s="164">
        <f t="shared" si="116"/>
        <v>1.0746392663813916E-3</v>
      </c>
      <c r="Y248" s="164">
        <f t="shared" si="117"/>
        <v>1.0753549091223531E-3</v>
      </c>
      <c r="Z248" s="164">
        <f t="shared" si="118"/>
        <v>1.0746703115960417E-3</v>
      </c>
      <c r="AA248" s="164">
        <f t="shared" si="119"/>
        <v>1.0746295816409274E-3</v>
      </c>
      <c r="AB248" s="164">
        <f t="shared" si="120"/>
        <v>1.0724684313581543E-3</v>
      </c>
      <c r="AC248" s="164">
        <f t="shared" si="121"/>
        <v>1.0696614538689489E-3</v>
      </c>
      <c r="AD248" s="156"/>
    </row>
    <row r="249" spans="2:38" hidden="1" outlineLevel="1">
      <c r="B249" s="133"/>
      <c r="C249" s="133"/>
      <c r="D249" s="133"/>
      <c r="E249" s="133"/>
      <c r="F249" s="133"/>
      <c r="G249" s="133"/>
      <c r="H249" s="133"/>
      <c r="I249" s="133"/>
      <c r="J249" s="156"/>
      <c r="K249" s="156"/>
      <c r="L249" s="158"/>
      <c r="M249" s="158"/>
      <c r="N249" s="158"/>
      <c r="O249" s="158"/>
      <c r="P249" s="158"/>
      <c r="Q249" s="158"/>
      <c r="R249" s="158"/>
      <c r="S249" s="158"/>
      <c r="T249" s="156"/>
      <c r="U249" s="156"/>
      <c r="V249" s="164">
        <f t="shared" si="114"/>
        <v>7.4798770635468945E-4</v>
      </c>
      <c r="W249" s="164">
        <f t="shared" si="115"/>
        <v>7.5144419462091008E-4</v>
      </c>
      <c r="X249" s="164">
        <f t="shared" si="116"/>
        <v>7.6091089056334665E-4</v>
      </c>
      <c r="Y249" s="164">
        <f t="shared" si="117"/>
        <v>7.6400364058276811E-4</v>
      </c>
      <c r="Z249" s="164">
        <f t="shared" si="118"/>
        <v>7.6478535936378887E-4</v>
      </c>
      <c r="AA249" s="164">
        <f t="shared" si="119"/>
        <v>7.6366491976515656E-4</v>
      </c>
      <c r="AB249" s="164">
        <f t="shared" si="120"/>
        <v>7.6145974284082003E-4</v>
      </c>
      <c r="AC249" s="164">
        <f t="shared" si="121"/>
        <v>7.5905850920175277E-4</v>
      </c>
      <c r="AD249" s="156"/>
    </row>
    <row r="250" spans="2:38" hidden="1" outlineLevel="1">
      <c r="B250" s="133"/>
      <c r="C250" s="133"/>
      <c r="D250" s="133"/>
      <c r="E250" s="133"/>
      <c r="F250" s="133"/>
      <c r="G250" s="133"/>
      <c r="H250" s="133"/>
      <c r="I250" s="133"/>
      <c r="J250" s="156"/>
      <c r="K250" s="156"/>
      <c r="L250" s="158"/>
      <c r="M250" s="158"/>
      <c r="N250" s="158"/>
      <c r="O250" s="158"/>
      <c r="P250" s="158"/>
      <c r="Q250" s="158"/>
      <c r="R250" s="158"/>
      <c r="S250" s="158"/>
      <c r="T250" s="156"/>
      <c r="U250" s="156"/>
      <c r="V250" s="164">
        <f t="shared" si="114"/>
        <v>3.0266076254601339E-3</v>
      </c>
      <c r="W250" s="164">
        <f t="shared" si="115"/>
        <v>2.923276281593818E-3</v>
      </c>
      <c r="X250" s="164">
        <f t="shared" si="116"/>
        <v>2.8960896925710414E-3</v>
      </c>
      <c r="Y250" s="164">
        <f t="shared" si="117"/>
        <v>2.8765672628610567E-3</v>
      </c>
      <c r="Z250" s="164">
        <f t="shared" si="118"/>
        <v>2.8435125960745641E-3</v>
      </c>
      <c r="AA250" s="164">
        <f t="shared" si="119"/>
        <v>2.7998421536351275E-3</v>
      </c>
      <c r="AB250" s="164">
        <f t="shared" si="120"/>
        <v>2.7508065839738013E-3</v>
      </c>
      <c r="AC250" s="164">
        <f t="shared" si="121"/>
        <v>2.6998732623087027E-3</v>
      </c>
      <c r="AD250" s="156"/>
    </row>
    <row r="251" spans="2:38" hidden="1" outlineLevel="1">
      <c r="B251" s="133"/>
      <c r="C251" s="133"/>
      <c r="D251" s="133"/>
      <c r="E251" s="133"/>
      <c r="F251" s="133"/>
      <c r="G251" s="133"/>
      <c r="H251" s="133"/>
      <c r="I251" s="133"/>
      <c r="J251" s="156"/>
      <c r="K251" s="156"/>
      <c r="L251" s="158"/>
      <c r="M251" s="158"/>
      <c r="N251" s="158"/>
      <c r="O251" s="158"/>
      <c r="P251" s="158"/>
      <c r="Q251" s="158"/>
      <c r="R251" s="158"/>
      <c r="S251" s="158"/>
      <c r="T251" s="156"/>
      <c r="U251" s="156"/>
      <c r="V251" s="164">
        <f t="shared" si="114"/>
        <v>4.6429217972915706E-4</v>
      </c>
      <c r="W251" s="164">
        <f t="shared" si="115"/>
        <v>4.6245822696646619E-4</v>
      </c>
      <c r="X251" s="164">
        <f t="shared" si="116"/>
        <v>4.682884004637246E-4</v>
      </c>
      <c r="Y251" s="164">
        <f t="shared" si="117"/>
        <v>4.7228906079105907E-4</v>
      </c>
      <c r="Z251" s="164">
        <f t="shared" si="118"/>
        <v>4.8045433603967363E-4</v>
      </c>
      <c r="AA251" s="164">
        <f t="shared" si="119"/>
        <v>4.9177440725601098E-4</v>
      </c>
      <c r="AB251" s="164">
        <f t="shared" si="120"/>
        <v>5.0159537730313098E-4</v>
      </c>
      <c r="AC251" s="164">
        <f t="shared" si="121"/>
        <v>5.1024761459287911E-4</v>
      </c>
      <c r="AD251" s="156"/>
    </row>
    <row r="252" spans="2:38" hidden="1" outlineLevel="1">
      <c r="B252" s="133"/>
      <c r="C252" s="133"/>
      <c r="D252" s="133"/>
      <c r="E252" s="133"/>
      <c r="F252" s="133"/>
      <c r="G252" s="133"/>
      <c r="H252" s="133"/>
      <c r="I252" s="133"/>
      <c r="J252" s="156"/>
      <c r="K252" s="156"/>
      <c r="L252" s="158"/>
      <c r="M252" s="158"/>
      <c r="N252" s="158"/>
      <c r="O252" s="158"/>
      <c r="P252" s="158"/>
      <c r="Q252" s="158"/>
      <c r="R252" s="158"/>
      <c r="S252" s="158"/>
      <c r="T252" s="156"/>
      <c r="U252" s="156"/>
      <c r="V252" s="164">
        <f t="shared" si="114"/>
        <v>2.6698672754860988E-4</v>
      </c>
      <c r="W252" s="164">
        <f t="shared" si="115"/>
        <v>2.6549805016451813E-4</v>
      </c>
      <c r="X252" s="164">
        <f t="shared" si="116"/>
        <v>2.63923480998477E-4</v>
      </c>
      <c r="Y252" s="164">
        <f t="shared" si="117"/>
        <v>2.6658436422191971E-4</v>
      </c>
      <c r="Z252" s="164">
        <f t="shared" si="118"/>
        <v>2.7037923019829072E-4</v>
      </c>
      <c r="AA252" s="164">
        <f t="shared" si="119"/>
        <v>2.7582879506584713E-4</v>
      </c>
      <c r="AB252" s="164">
        <f t="shared" si="120"/>
        <v>2.8136433418482807E-4</v>
      </c>
      <c r="AC252" s="164">
        <f t="shared" si="121"/>
        <v>2.8709904432816491E-4</v>
      </c>
      <c r="AD252" s="156"/>
    </row>
    <row r="253" spans="2:38" hidden="1" outlineLevel="1">
      <c r="B253" s="133"/>
      <c r="C253" s="133"/>
      <c r="D253" s="133"/>
      <c r="E253" s="133"/>
      <c r="F253" s="133"/>
      <c r="G253" s="133"/>
      <c r="H253" s="133"/>
      <c r="I253" s="133"/>
      <c r="J253" s="156"/>
      <c r="K253" s="156"/>
      <c r="L253" s="158"/>
      <c r="M253" s="158"/>
      <c r="N253" s="158"/>
      <c r="O253" s="158"/>
      <c r="P253" s="158"/>
      <c r="Q253" s="158"/>
      <c r="R253" s="158"/>
      <c r="S253" s="158"/>
      <c r="T253" s="156"/>
      <c r="U253" s="156"/>
      <c r="V253" s="164">
        <f t="shared" si="114"/>
        <v>4.5386109570884516E-4</v>
      </c>
      <c r="W253" s="164">
        <f t="shared" si="115"/>
        <v>4.6454025843371724E-4</v>
      </c>
      <c r="X253" s="164">
        <f t="shared" si="116"/>
        <v>4.7765491779438557E-4</v>
      </c>
      <c r="Y253" s="164">
        <f t="shared" si="117"/>
        <v>4.8618305627369518E-4</v>
      </c>
      <c r="Z253" s="164">
        <f t="shared" si="118"/>
        <v>4.9309077074831723E-4</v>
      </c>
      <c r="AA253" s="164">
        <f t="shared" si="119"/>
        <v>4.9921456808610398E-4</v>
      </c>
      <c r="AB253" s="164">
        <f t="shared" si="120"/>
        <v>5.0538533895869793E-4</v>
      </c>
      <c r="AC253" s="164">
        <f t="shared" si="121"/>
        <v>5.1176615183542518E-4</v>
      </c>
      <c r="AD253" s="156"/>
    </row>
    <row r="254" spans="2:38" hidden="1" outlineLevel="1">
      <c r="B254" s="133"/>
      <c r="C254" s="133"/>
      <c r="D254" s="133"/>
      <c r="E254" s="133"/>
      <c r="F254" s="133"/>
      <c r="G254" s="133"/>
      <c r="H254" s="133"/>
      <c r="I254" s="133"/>
      <c r="J254" s="156"/>
      <c r="K254" s="156"/>
      <c r="L254" s="158"/>
      <c r="M254" s="158"/>
      <c r="N254" s="158"/>
      <c r="O254" s="158"/>
      <c r="P254" s="158"/>
      <c r="Q254" s="158"/>
      <c r="R254" s="158"/>
      <c r="S254" s="158"/>
      <c r="T254" s="156"/>
      <c r="U254" s="156"/>
      <c r="V254" s="164">
        <f t="shared" si="114"/>
        <v>2.039780777287885E-4</v>
      </c>
      <c r="W254" s="164">
        <f t="shared" si="115"/>
        <v>2.1094882572254096E-4</v>
      </c>
      <c r="X254" s="164">
        <f t="shared" si="116"/>
        <v>2.1634157295871939E-4</v>
      </c>
      <c r="Y254" s="164">
        <f t="shared" si="117"/>
        <v>2.1987158863256162E-4</v>
      </c>
      <c r="Z254" s="164">
        <f t="shared" si="118"/>
        <v>2.217109687625984E-4</v>
      </c>
      <c r="AA254" s="164">
        <f t="shared" si="119"/>
        <v>2.2254489647436645E-4</v>
      </c>
      <c r="AB254" s="164">
        <f t="shared" si="120"/>
        <v>2.2276104411709898E-4</v>
      </c>
      <c r="AC254" s="164">
        <f t="shared" si="121"/>
        <v>2.225277845995224E-4</v>
      </c>
      <c r="AD254" s="156"/>
      <c r="AE254" s="2"/>
      <c r="AF254" s="163"/>
      <c r="AG254" s="163"/>
      <c r="AH254" s="163"/>
      <c r="AI254" s="163"/>
      <c r="AJ254" s="163"/>
      <c r="AK254" s="163"/>
      <c r="AL254" s="163"/>
    </row>
    <row r="255" spans="2:38" hidden="1" outlineLevel="1">
      <c r="B255" s="133"/>
      <c r="C255" s="133"/>
      <c r="D255" s="133"/>
      <c r="E255" s="133"/>
      <c r="F255" s="133"/>
      <c r="G255" s="133"/>
      <c r="H255" s="133"/>
      <c r="I255" s="133"/>
      <c r="J255" s="156"/>
      <c r="K255" s="156"/>
      <c r="L255" s="158"/>
      <c r="M255" s="158"/>
      <c r="N255" s="158"/>
      <c r="O255" s="158"/>
      <c r="P255" s="158"/>
      <c r="Q255" s="158"/>
      <c r="R255" s="158"/>
      <c r="S255" s="158"/>
      <c r="T255" s="156"/>
      <c r="U255" s="156"/>
      <c r="V255" s="164">
        <f t="shared" si="114"/>
        <v>2.1310187184577149E-4</v>
      </c>
      <c r="W255" s="164">
        <f t="shared" si="115"/>
        <v>2.0773468964497218E-4</v>
      </c>
      <c r="X255" s="164">
        <f t="shared" si="116"/>
        <v>2.0542645809605586E-4</v>
      </c>
      <c r="Y255" s="164">
        <f t="shared" si="117"/>
        <v>2.0603691849357467E-4</v>
      </c>
      <c r="Z255" s="164">
        <f t="shared" si="118"/>
        <v>2.0504976214497398E-4</v>
      </c>
      <c r="AA255" s="164">
        <f t="shared" si="119"/>
        <v>2.0740911864834056E-4</v>
      </c>
      <c r="AB255" s="164">
        <f t="shared" si="120"/>
        <v>2.1102829048124812E-4</v>
      </c>
      <c r="AC255" s="164">
        <f t="shared" si="121"/>
        <v>2.1337835894946476E-4</v>
      </c>
      <c r="AD255" s="156"/>
      <c r="AE255" s="2"/>
      <c r="AF255" s="163"/>
      <c r="AG255" s="163"/>
      <c r="AH255" s="163"/>
      <c r="AI255" s="163"/>
      <c r="AJ255" s="163"/>
      <c r="AK255" s="163"/>
      <c r="AL255" s="163"/>
    </row>
    <row r="256" spans="2:38" hidden="1" outlineLevel="1">
      <c r="B256" s="133"/>
      <c r="C256" s="133"/>
      <c r="D256" s="133"/>
      <c r="E256" s="133"/>
      <c r="F256" s="133"/>
      <c r="G256" s="133"/>
      <c r="H256" s="133"/>
      <c r="I256" s="133"/>
      <c r="J256" s="156"/>
      <c r="K256" s="156"/>
      <c r="L256" s="158"/>
      <c r="M256" s="158"/>
      <c r="N256" s="158"/>
      <c r="O256" s="158"/>
      <c r="P256" s="158"/>
      <c r="Q256" s="158"/>
      <c r="R256" s="158"/>
      <c r="S256" s="158"/>
      <c r="T256" s="156"/>
      <c r="U256" s="156"/>
      <c r="V256" s="164">
        <f t="shared" si="114"/>
        <v>3.2113031771148211E-4</v>
      </c>
      <c r="W256" s="164">
        <f t="shared" si="115"/>
        <v>3.2104925225010986E-4</v>
      </c>
      <c r="X256" s="164">
        <f t="shared" si="116"/>
        <v>3.2421887522838502E-4</v>
      </c>
      <c r="Y256" s="164">
        <f t="shared" si="117"/>
        <v>3.2562494622157581E-4</v>
      </c>
      <c r="Z256" s="164">
        <f t="shared" si="118"/>
        <v>3.2707455069267658E-4</v>
      </c>
      <c r="AA256" s="164">
        <f t="shared" si="119"/>
        <v>3.2926170975406793E-4</v>
      </c>
      <c r="AB256" s="164">
        <f t="shared" si="120"/>
        <v>3.314301308422774E-4</v>
      </c>
      <c r="AC256" s="164">
        <f t="shared" si="121"/>
        <v>3.336006659253784E-4</v>
      </c>
      <c r="AD256" s="156"/>
      <c r="AE256" s="2"/>
      <c r="AF256" s="163"/>
      <c r="AG256" s="163"/>
      <c r="AH256" s="163"/>
      <c r="AI256" s="163"/>
      <c r="AJ256" s="163"/>
      <c r="AK256" s="163"/>
      <c r="AL256" s="163"/>
    </row>
    <row r="257" spans="2:38" hidden="1" outlineLevel="1">
      <c r="B257" s="133"/>
      <c r="C257" s="133"/>
      <c r="D257" s="133"/>
      <c r="E257" s="133"/>
      <c r="F257" s="133"/>
      <c r="G257" s="133"/>
      <c r="H257" s="133"/>
      <c r="I257" s="133"/>
      <c r="J257" s="156"/>
      <c r="K257" s="156"/>
      <c r="L257" s="158"/>
      <c r="M257" s="158"/>
      <c r="N257" s="158"/>
      <c r="O257" s="158"/>
      <c r="P257" s="158"/>
      <c r="Q257" s="158"/>
      <c r="R257" s="158"/>
      <c r="S257" s="158"/>
      <c r="T257" s="156"/>
      <c r="U257" s="156"/>
      <c r="V257" s="164">
        <f t="shared" si="114"/>
        <v>2.4288356995598312E-4</v>
      </c>
      <c r="W257" s="164">
        <f t="shared" si="115"/>
        <v>2.3368200680558821E-4</v>
      </c>
      <c r="X257" s="164">
        <f t="shared" si="116"/>
        <v>2.3682302418843133E-4</v>
      </c>
      <c r="Y257" s="164">
        <f t="shared" si="117"/>
        <v>2.3807260406412764E-4</v>
      </c>
      <c r="Z257" s="164">
        <f t="shared" si="118"/>
        <v>2.3846211441729497E-4</v>
      </c>
      <c r="AA257" s="164">
        <f t="shared" si="119"/>
        <v>2.3935178338526294E-4</v>
      </c>
      <c r="AB257" s="164">
        <f t="shared" si="120"/>
        <v>2.4022913866257099E-4</v>
      </c>
      <c r="AC257" s="164">
        <f t="shared" si="121"/>
        <v>2.414092193700484E-4</v>
      </c>
      <c r="AD257" s="156"/>
      <c r="AE257" s="2"/>
      <c r="AF257" s="163"/>
      <c r="AG257" s="163"/>
      <c r="AH257" s="163"/>
      <c r="AI257" s="163"/>
      <c r="AJ257" s="163"/>
      <c r="AK257" s="163"/>
      <c r="AL257" s="163"/>
    </row>
    <row r="258" spans="2:38" hidden="1" outlineLevel="1">
      <c r="B258" s="133"/>
      <c r="C258" s="133"/>
      <c r="D258" s="133"/>
      <c r="E258" s="133"/>
      <c r="F258" s="133"/>
      <c r="G258" s="133"/>
      <c r="H258" s="133"/>
      <c r="I258" s="133"/>
      <c r="J258" s="156"/>
      <c r="K258" s="156"/>
      <c r="L258" s="158"/>
      <c r="M258" s="158"/>
      <c r="N258" s="158"/>
      <c r="O258" s="158"/>
      <c r="P258" s="158"/>
      <c r="Q258" s="158"/>
      <c r="R258" s="158"/>
      <c r="S258" s="158"/>
      <c r="T258" s="156"/>
      <c r="U258" s="156"/>
      <c r="V258" s="164">
        <f t="shared" si="114"/>
        <v>1.3017066860334395E-4</v>
      </c>
      <c r="W258" s="164">
        <f t="shared" si="115"/>
        <v>1.3002286512982724E-4</v>
      </c>
      <c r="X258" s="164">
        <f t="shared" si="116"/>
        <v>1.2948273557905691E-4</v>
      </c>
      <c r="Y258" s="164">
        <f t="shared" si="117"/>
        <v>1.2887837654346147E-4</v>
      </c>
      <c r="Z258" s="164">
        <f t="shared" si="118"/>
        <v>1.2794952261483355E-4</v>
      </c>
      <c r="AA258" s="164">
        <f t="shared" si="119"/>
        <v>1.2701493445707934E-4</v>
      </c>
      <c r="AB258" s="164">
        <f t="shared" si="120"/>
        <v>1.2556263921116297E-4</v>
      </c>
      <c r="AC258" s="164">
        <f t="shared" si="121"/>
        <v>1.2507398571310496E-4</v>
      </c>
      <c r="AD258" s="156"/>
      <c r="AE258" s="2"/>
      <c r="AF258" s="163"/>
      <c r="AG258" s="163"/>
      <c r="AH258" s="163"/>
      <c r="AI258" s="163"/>
      <c r="AJ258" s="163"/>
      <c r="AK258" s="163"/>
      <c r="AL258" s="163"/>
    </row>
    <row r="259" spans="2:38" hidden="1" outlineLevel="1">
      <c r="B259" s="133"/>
      <c r="C259" s="133"/>
      <c r="D259" s="133"/>
      <c r="E259" s="133"/>
      <c r="F259" s="133"/>
      <c r="G259" s="133"/>
      <c r="H259" s="133"/>
      <c r="I259" s="133"/>
      <c r="J259" s="156"/>
      <c r="K259" s="156"/>
      <c r="L259" s="158"/>
      <c r="M259" s="158"/>
      <c r="N259" s="158"/>
      <c r="O259" s="158"/>
      <c r="P259" s="158"/>
      <c r="Q259" s="158"/>
      <c r="R259" s="158"/>
      <c r="S259" s="158"/>
      <c r="T259" s="156"/>
      <c r="U259" s="156"/>
      <c r="V259" s="164">
        <f t="shared" ref="V259:AC259" si="122">L108/SUM(L$44:L$188)</f>
        <v>3.537267743947988E-3</v>
      </c>
      <c r="W259" s="164">
        <f t="shared" si="122"/>
        <v>3.5722324772392961E-3</v>
      </c>
      <c r="X259" s="164">
        <f t="shared" si="122"/>
        <v>3.5145670762594711E-3</v>
      </c>
      <c r="Y259" s="164">
        <f t="shared" si="122"/>
        <v>3.5610630778852041E-3</v>
      </c>
      <c r="Z259" s="164">
        <f t="shared" si="122"/>
        <v>3.5440702405891713E-3</v>
      </c>
      <c r="AA259" s="164">
        <f t="shared" si="122"/>
        <v>3.5652101145058849E-3</v>
      </c>
      <c r="AB259" s="164">
        <f t="shared" si="122"/>
        <v>3.5915027325976309E-3</v>
      </c>
      <c r="AC259" s="164">
        <f t="shared" si="122"/>
        <v>3.6282629998773885E-3</v>
      </c>
      <c r="AD259" s="156"/>
      <c r="AE259" s="2"/>
      <c r="AF259" s="163"/>
      <c r="AG259" s="163"/>
      <c r="AH259" s="163"/>
      <c r="AI259" s="163"/>
      <c r="AJ259" s="163"/>
      <c r="AK259" s="163"/>
      <c r="AL259" s="163"/>
    </row>
    <row r="260" spans="2:38" hidden="1" outlineLevel="1">
      <c r="B260" s="133"/>
      <c r="C260" s="133"/>
      <c r="D260" s="133"/>
      <c r="E260" s="133"/>
      <c r="F260" s="133"/>
      <c r="G260" s="133"/>
      <c r="H260" s="133"/>
      <c r="I260" s="133"/>
      <c r="J260" s="156"/>
      <c r="K260" s="156"/>
      <c r="L260" s="158"/>
      <c r="M260" s="158"/>
      <c r="N260" s="158"/>
      <c r="O260" s="158"/>
      <c r="P260" s="158"/>
      <c r="Q260" s="158"/>
      <c r="R260" s="158"/>
      <c r="S260" s="158"/>
      <c r="T260" s="156"/>
      <c r="U260" s="156"/>
      <c r="V260" s="164">
        <f t="shared" ref="V260:V275" si="123">L109/SUM(L$44:L$188)</f>
        <v>4.2153290580777407E-4</v>
      </c>
      <c r="W260" s="164">
        <f t="shared" ref="W260:W295" si="124">M109/SUM(M$44:M$188)</f>
        <v>4.3402548474181921E-4</v>
      </c>
      <c r="X260" s="164">
        <f t="shared" ref="X260:X295" si="125">N109/SUM(N$44:N$188)</f>
        <v>4.381032372794479E-4</v>
      </c>
      <c r="Y260" s="164">
        <f t="shared" ref="Y260:Y295" si="126">O109/SUM(O$44:O$188)</f>
        <v>4.4358745953358963E-4</v>
      </c>
      <c r="Z260" s="164">
        <f t="shared" ref="Z260:Z295" si="127">P109/SUM(P$44:P$188)</f>
        <v>4.5110048281523556E-4</v>
      </c>
      <c r="AA260" s="164">
        <f t="shared" ref="AA260:AA295" si="128">Q109/SUM(Q$44:Q$188)</f>
        <v>4.6220535606001951E-4</v>
      </c>
      <c r="AB260" s="164">
        <f t="shared" ref="AB260:AB295" si="129">R109/SUM(R$44:R$188)</f>
        <v>4.7576114399670004E-4</v>
      </c>
      <c r="AC260" s="164">
        <f t="shared" ref="AC260:AC295" si="130">S109/SUM(S$44:S$188)</f>
        <v>4.9213022371797385E-4</v>
      </c>
      <c r="AD260" s="156"/>
      <c r="AE260" s="2"/>
      <c r="AF260" s="163"/>
      <c r="AG260" s="163"/>
      <c r="AH260" s="163"/>
      <c r="AI260" s="163"/>
      <c r="AJ260" s="163"/>
      <c r="AK260" s="163"/>
      <c r="AL260" s="163"/>
    </row>
    <row r="261" spans="2:38" hidden="1" outlineLevel="1">
      <c r="B261" s="133"/>
      <c r="C261" s="133"/>
      <c r="D261" s="133"/>
      <c r="E261" s="133"/>
      <c r="F261" s="133"/>
      <c r="G261" s="133"/>
      <c r="H261" s="133"/>
      <c r="I261" s="133"/>
      <c r="J261" s="156"/>
      <c r="K261" s="156"/>
      <c r="L261" s="158"/>
      <c r="M261" s="158"/>
      <c r="N261" s="158"/>
      <c r="O261" s="158"/>
      <c r="P261" s="158"/>
      <c r="Q261" s="158"/>
      <c r="R261" s="158"/>
      <c r="S261" s="158"/>
      <c r="T261" s="156"/>
      <c r="U261" s="156"/>
      <c r="V261" s="164">
        <f t="shared" si="123"/>
        <v>3.2710844549857992E-4</v>
      </c>
      <c r="W261" s="164">
        <f t="shared" si="124"/>
        <v>3.3490777420399953E-4</v>
      </c>
      <c r="X261" s="164">
        <f t="shared" si="125"/>
        <v>3.2903950948123188E-4</v>
      </c>
      <c r="Y261" s="164">
        <f t="shared" si="126"/>
        <v>3.2057042694266634E-4</v>
      </c>
      <c r="Z261" s="164">
        <f t="shared" si="127"/>
        <v>3.1746231610558557E-4</v>
      </c>
      <c r="AA261" s="164">
        <f t="shared" si="128"/>
        <v>3.1751072612542331E-4</v>
      </c>
      <c r="AB261" s="164">
        <f t="shared" si="129"/>
        <v>3.1772175889660981E-4</v>
      </c>
      <c r="AC261" s="164">
        <f t="shared" si="130"/>
        <v>3.1840574295122215E-4</v>
      </c>
      <c r="AD261" s="156"/>
      <c r="AE261" s="2"/>
      <c r="AF261" s="163"/>
      <c r="AG261" s="163"/>
      <c r="AH261" s="163"/>
      <c r="AI261" s="163"/>
      <c r="AJ261" s="163"/>
      <c r="AK261" s="163"/>
      <c r="AL261" s="163"/>
    </row>
    <row r="262" spans="2:38" hidden="1" outlineLevel="1">
      <c r="B262" s="133"/>
      <c r="C262" s="133"/>
      <c r="D262" s="133"/>
      <c r="E262" s="133"/>
      <c r="F262" s="133"/>
      <c r="G262" s="133"/>
      <c r="H262" s="133"/>
      <c r="I262" s="133"/>
      <c r="J262" s="156"/>
      <c r="K262" s="156"/>
      <c r="L262" s="158"/>
      <c r="M262" s="158"/>
      <c r="N262" s="158"/>
      <c r="O262" s="158"/>
      <c r="P262" s="158"/>
      <c r="Q262" s="158"/>
      <c r="R262" s="158"/>
      <c r="S262" s="158"/>
      <c r="T262" s="156"/>
      <c r="U262" s="156"/>
      <c r="V262" s="164">
        <f t="shared" si="123"/>
        <v>1.110725248760246E-2</v>
      </c>
      <c r="W262" s="164">
        <f t="shared" si="124"/>
        <v>1.097138193094937E-2</v>
      </c>
      <c r="X262" s="164">
        <f t="shared" si="125"/>
        <v>1.0899653864723077E-2</v>
      </c>
      <c r="Y262" s="164">
        <f t="shared" si="126"/>
        <v>1.0858614274826215E-2</v>
      </c>
      <c r="Z262" s="164">
        <f t="shared" si="127"/>
        <v>1.0759586883021012E-2</v>
      </c>
      <c r="AA262" s="164">
        <f t="shared" si="128"/>
        <v>1.0598078020187467E-2</v>
      </c>
      <c r="AB262" s="164">
        <f t="shared" si="129"/>
        <v>1.0439429220888608E-2</v>
      </c>
      <c r="AC262" s="164">
        <f t="shared" si="130"/>
        <v>1.0278109494863262E-2</v>
      </c>
      <c r="AD262" s="156"/>
      <c r="AE262" s="2"/>
      <c r="AF262" s="163"/>
      <c r="AG262" s="163"/>
      <c r="AH262" s="163"/>
      <c r="AI262" s="163"/>
      <c r="AJ262" s="163"/>
      <c r="AK262" s="163"/>
      <c r="AL262" s="163"/>
    </row>
    <row r="263" spans="2:38" hidden="1" outlineLevel="1">
      <c r="B263" s="133"/>
      <c r="C263" s="133"/>
      <c r="D263" s="133"/>
      <c r="E263" s="133"/>
      <c r="F263" s="133"/>
      <c r="G263" s="133"/>
      <c r="H263" s="133"/>
      <c r="I263" s="133"/>
      <c r="J263" s="156"/>
      <c r="K263" s="156"/>
      <c r="L263" s="158"/>
      <c r="M263" s="158"/>
      <c r="N263" s="158"/>
      <c r="O263" s="158"/>
      <c r="P263" s="158"/>
      <c r="Q263" s="158"/>
      <c r="R263" s="158"/>
      <c r="S263" s="158"/>
      <c r="T263" s="156"/>
      <c r="U263" s="156"/>
      <c r="V263" s="164">
        <f t="shared" si="123"/>
        <v>2.48439552045131E-4</v>
      </c>
      <c r="W263" s="164">
        <f t="shared" si="124"/>
        <v>2.4949243326002576E-4</v>
      </c>
      <c r="X263" s="164">
        <f t="shared" si="125"/>
        <v>2.546943392553324E-4</v>
      </c>
      <c r="Y263" s="164">
        <f t="shared" si="126"/>
        <v>2.565465160764798E-4</v>
      </c>
      <c r="Z263" s="164">
        <f t="shared" si="127"/>
        <v>2.5953033385145701E-4</v>
      </c>
      <c r="AA263" s="164">
        <f t="shared" si="128"/>
        <v>2.6395008335428251E-4</v>
      </c>
      <c r="AB263" s="164">
        <f t="shared" si="129"/>
        <v>2.7231277682658573E-4</v>
      </c>
      <c r="AC263" s="164">
        <f t="shared" si="130"/>
        <v>2.7941085262848183E-4</v>
      </c>
      <c r="AD263" s="156"/>
      <c r="AE263" s="2"/>
      <c r="AF263" s="163"/>
      <c r="AG263" s="163"/>
      <c r="AH263" s="163"/>
      <c r="AI263" s="163"/>
      <c r="AJ263" s="163"/>
      <c r="AK263" s="163"/>
      <c r="AL263" s="163"/>
    </row>
    <row r="264" spans="2:38" hidden="1" outlineLevel="1">
      <c r="B264" s="133"/>
      <c r="C264" s="133"/>
      <c r="D264" s="133"/>
      <c r="E264" s="133"/>
      <c r="F264" s="133"/>
      <c r="G264" s="133"/>
      <c r="H264" s="133"/>
      <c r="I264" s="133"/>
      <c r="J264" s="156"/>
      <c r="K264" s="156"/>
      <c r="L264" s="158"/>
      <c r="M264" s="158"/>
      <c r="N264" s="158"/>
      <c r="O264" s="158"/>
      <c r="P264" s="158"/>
      <c r="Q264" s="158"/>
      <c r="R264" s="158"/>
      <c r="S264" s="158"/>
      <c r="T264" s="156"/>
      <c r="U264" s="156"/>
      <c r="V264" s="164">
        <f t="shared" si="123"/>
        <v>1.4357719891404509E-2</v>
      </c>
      <c r="W264" s="164">
        <f t="shared" si="124"/>
        <v>1.4236670919129182E-2</v>
      </c>
      <c r="X264" s="164">
        <f t="shared" si="125"/>
        <v>1.3613920722871327E-2</v>
      </c>
      <c r="Y264" s="164">
        <f t="shared" si="126"/>
        <v>1.3270248819508711E-2</v>
      </c>
      <c r="Z264" s="164">
        <f t="shared" si="127"/>
        <v>1.3060159997049995E-2</v>
      </c>
      <c r="AA264" s="164">
        <f t="shared" si="128"/>
        <v>1.2837736734155985E-2</v>
      </c>
      <c r="AB264" s="164">
        <f t="shared" si="129"/>
        <v>1.2629341639209011E-2</v>
      </c>
      <c r="AC264" s="164">
        <f t="shared" si="130"/>
        <v>1.2424022281200887E-2</v>
      </c>
      <c r="AD264" s="156"/>
      <c r="AE264" s="2"/>
      <c r="AF264" s="163"/>
      <c r="AG264" s="163"/>
      <c r="AH264" s="163"/>
      <c r="AI264" s="163"/>
      <c r="AJ264" s="163"/>
      <c r="AK264" s="163"/>
      <c r="AL264" s="163"/>
    </row>
    <row r="265" spans="2:38" hidden="1" outlineLevel="1">
      <c r="B265" s="133"/>
      <c r="C265" s="133"/>
      <c r="D265" s="133"/>
      <c r="E265" s="133"/>
      <c r="F265" s="133"/>
      <c r="G265" s="133"/>
      <c r="H265" s="133"/>
      <c r="I265" s="133"/>
      <c r="J265" s="156"/>
      <c r="K265" s="156"/>
      <c r="L265" s="158"/>
      <c r="M265" s="158"/>
      <c r="N265" s="158"/>
      <c r="O265" s="158"/>
      <c r="P265" s="158"/>
      <c r="Q265" s="158"/>
      <c r="R265" s="158"/>
      <c r="S265" s="158"/>
      <c r="T265" s="156"/>
      <c r="U265" s="156"/>
      <c r="V265" s="164">
        <f t="shared" si="123"/>
        <v>4.7212230154597083E-3</v>
      </c>
      <c r="W265" s="164">
        <f t="shared" si="124"/>
        <v>4.6338863477839399E-3</v>
      </c>
      <c r="X265" s="164">
        <f t="shared" si="125"/>
        <v>4.5525770155330908E-3</v>
      </c>
      <c r="Y265" s="164">
        <f t="shared" si="126"/>
        <v>4.4605776684314112E-3</v>
      </c>
      <c r="Z265" s="164">
        <f t="shared" si="127"/>
        <v>4.3783110213319633E-3</v>
      </c>
      <c r="AA265" s="164">
        <f t="shared" si="128"/>
        <v>4.3131538360649656E-3</v>
      </c>
      <c r="AB265" s="164">
        <f t="shared" si="129"/>
        <v>4.2478515176079942E-3</v>
      </c>
      <c r="AC265" s="164">
        <f t="shared" si="130"/>
        <v>4.1841908888796894E-3</v>
      </c>
      <c r="AD265" s="156"/>
      <c r="AE265" s="2"/>
      <c r="AF265" s="163"/>
      <c r="AG265" s="163"/>
      <c r="AH265" s="163"/>
      <c r="AI265" s="163"/>
      <c r="AJ265" s="163"/>
      <c r="AK265" s="163"/>
      <c r="AL265" s="163"/>
    </row>
    <row r="266" spans="2:38" hidden="1" outlineLevel="1">
      <c r="B266" s="133"/>
      <c r="C266" s="133"/>
      <c r="D266" s="133"/>
      <c r="E266" s="133"/>
      <c r="F266" s="133"/>
      <c r="G266" s="133"/>
      <c r="H266" s="133"/>
      <c r="I266" s="133"/>
      <c r="J266" s="156"/>
      <c r="K266" s="156"/>
      <c r="L266" s="158"/>
      <c r="M266" s="158"/>
      <c r="N266" s="158"/>
      <c r="O266" s="158"/>
      <c r="P266" s="158"/>
      <c r="Q266" s="158"/>
      <c r="R266" s="158"/>
      <c r="S266" s="158"/>
      <c r="T266" s="156"/>
      <c r="U266" s="156"/>
      <c r="V266" s="164">
        <f t="shared" si="123"/>
        <v>2.2888739742846801E-3</v>
      </c>
      <c r="W266" s="164">
        <f t="shared" si="124"/>
        <v>2.3032733360397999E-3</v>
      </c>
      <c r="X266" s="164">
        <f t="shared" si="125"/>
        <v>2.3065985578485642E-3</v>
      </c>
      <c r="Y266" s="164">
        <f t="shared" si="126"/>
        <v>2.2292328430987504E-3</v>
      </c>
      <c r="Z266" s="164">
        <f t="shared" si="127"/>
        <v>2.2338495909010464E-3</v>
      </c>
      <c r="AA266" s="164">
        <f t="shared" si="128"/>
        <v>2.2226070148986931E-3</v>
      </c>
      <c r="AB266" s="164">
        <f t="shared" si="129"/>
        <v>2.1962827794010371E-3</v>
      </c>
      <c r="AC266" s="164">
        <f t="shared" si="130"/>
        <v>2.1621582696682603E-3</v>
      </c>
      <c r="AD266" s="156"/>
      <c r="AE266" s="2"/>
      <c r="AF266" s="163"/>
      <c r="AG266" s="163"/>
      <c r="AH266" s="163"/>
      <c r="AI266" s="163"/>
      <c r="AJ266" s="163"/>
      <c r="AK266" s="163"/>
      <c r="AL266" s="163"/>
    </row>
    <row r="267" spans="2:38" hidden="1" outlineLevel="1">
      <c r="B267" s="133"/>
      <c r="C267" s="133"/>
      <c r="D267" s="133"/>
      <c r="E267" s="133"/>
      <c r="F267" s="133"/>
      <c r="G267" s="133"/>
      <c r="H267" s="133"/>
      <c r="I267" s="133"/>
      <c r="J267" s="156"/>
      <c r="K267" s="156"/>
      <c r="L267" s="158"/>
      <c r="M267" s="158"/>
      <c r="N267" s="158"/>
      <c r="O267" s="158"/>
      <c r="P267" s="158"/>
      <c r="Q267" s="158"/>
      <c r="R267" s="158"/>
      <c r="S267" s="158"/>
      <c r="T267" s="156"/>
      <c r="U267" s="156"/>
      <c r="V267" s="164">
        <f t="shared" si="123"/>
        <v>1.3115522131178855E-2</v>
      </c>
      <c r="W267" s="164">
        <f t="shared" si="124"/>
        <v>1.3161561920227429E-2</v>
      </c>
      <c r="X267" s="164">
        <f t="shared" si="125"/>
        <v>1.3129734220325028E-2</v>
      </c>
      <c r="Y267" s="164">
        <f t="shared" si="126"/>
        <v>1.3179006440976283E-2</v>
      </c>
      <c r="Z267" s="164">
        <f t="shared" si="127"/>
        <v>1.3155945071531883E-2</v>
      </c>
      <c r="AA267" s="164">
        <f t="shared" si="128"/>
        <v>1.3104369107251591E-2</v>
      </c>
      <c r="AB267" s="164">
        <f t="shared" si="129"/>
        <v>1.3024566098024914E-2</v>
      </c>
      <c r="AC267" s="164">
        <f t="shared" si="130"/>
        <v>1.2934881130910262E-2</v>
      </c>
      <c r="AD267" s="156"/>
      <c r="AE267" s="2"/>
      <c r="AF267" s="163"/>
      <c r="AG267" s="163"/>
      <c r="AH267" s="163"/>
      <c r="AI267" s="163"/>
      <c r="AJ267" s="163"/>
      <c r="AK267" s="163"/>
      <c r="AL267" s="163"/>
    </row>
    <row r="268" spans="2:38" hidden="1" outlineLevel="1">
      <c r="B268" s="133"/>
      <c r="C268" s="133"/>
      <c r="D268" s="133"/>
      <c r="E268" s="133"/>
      <c r="F268" s="133"/>
      <c r="G268" s="133"/>
      <c r="H268" s="133"/>
      <c r="I268" s="133"/>
      <c r="J268" s="156"/>
      <c r="K268" s="156"/>
      <c r="L268" s="158"/>
      <c r="M268" s="158"/>
      <c r="N268" s="158"/>
      <c r="O268" s="158"/>
      <c r="P268" s="158"/>
      <c r="Q268" s="158"/>
      <c r="R268" s="158"/>
      <c r="S268" s="158"/>
      <c r="T268" s="156"/>
      <c r="U268" s="156"/>
      <c r="V268" s="164">
        <f t="shared" si="123"/>
        <v>3.8551026016948285E-3</v>
      </c>
      <c r="W268" s="164">
        <f t="shared" si="124"/>
        <v>3.7831813029618371E-3</v>
      </c>
      <c r="X268" s="164">
        <f t="shared" si="125"/>
        <v>3.7285857529201867E-3</v>
      </c>
      <c r="Y268" s="164">
        <f t="shared" si="126"/>
        <v>3.6938450620407817E-3</v>
      </c>
      <c r="Z268" s="164">
        <f t="shared" si="127"/>
        <v>3.6398103455525239E-3</v>
      </c>
      <c r="AA268" s="164">
        <f t="shared" si="128"/>
        <v>3.5794517957514703E-3</v>
      </c>
      <c r="AB268" s="164">
        <f t="shared" si="129"/>
        <v>3.5128912673003795E-3</v>
      </c>
      <c r="AC268" s="164">
        <f t="shared" si="130"/>
        <v>3.4383885412669546E-3</v>
      </c>
      <c r="AD268" s="156"/>
      <c r="AE268" s="2"/>
      <c r="AF268" s="163"/>
      <c r="AG268" s="163"/>
      <c r="AH268" s="163"/>
      <c r="AI268" s="163"/>
      <c r="AJ268" s="163"/>
      <c r="AK268" s="163"/>
      <c r="AL268" s="163"/>
    </row>
    <row r="269" spans="2:38" hidden="1" outlineLevel="1">
      <c r="B269" s="133"/>
      <c r="C269" s="133"/>
      <c r="D269" s="133"/>
      <c r="E269" s="133"/>
      <c r="F269" s="133"/>
      <c r="G269" s="133"/>
      <c r="H269" s="133"/>
      <c r="I269" s="133"/>
      <c r="J269" s="156"/>
      <c r="K269" s="156"/>
      <c r="L269" s="158"/>
      <c r="M269" s="158"/>
      <c r="N269" s="158"/>
      <c r="O269" s="158"/>
      <c r="P269" s="158"/>
      <c r="Q269" s="158"/>
      <c r="R269" s="158"/>
      <c r="S269" s="158"/>
      <c r="T269" s="156"/>
      <c r="U269" s="156"/>
      <c r="V269" s="164">
        <f t="shared" si="123"/>
        <v>4.1167239935985265E-3</v>
      </c>
      <c r="W269" s="164">
        <f t="shared" si="124"/>
        <v>4.1177117089623971E-3</v>
      </c>
      <c r="X269" s="164">
        <f t="shared" si="125"/>
        <v>4.0915820098975072E-3</v>
      </c>
      <c r="Y269" s="164">
        <f t="shared" si="126"/>
        <v>4.054649937046316E-3</v>
      </c>
      <c r="Z269" s="164">
        <f t="shared" si="127"/>
        <v>4.0378467964951635E-3</v>
      </c>
      <c r="AA269" s="164">
        <f t="shared" si="128"/>
        <v>4.0091503547083377E-3</v>
      </c>
      <c r="AB269" s="164">
        <f t="shared" si="129"/>
        <v>3.9845701387691418E-3</v>
      </c>
      <c r="AC269" s="164">
        <f t="shared" si="130"/>
        <v>3.9716625287641028E-3</v>
      </c>
      <c r="AD269" s="156"/>
      <c r="AE269" s="2"/>
      <c r="AF269" s="163"/>
      <c r="AG269" s="163"/>
      <c r="AH269" s="163"/>
      <c r="AI269" s="163"/>
      <c r="AJ269" s="163"/>
      <c r="AK269" s="163"/>
      <c r="AL269" s="163"/>
    </row>
    <row r="270" spans="2:38" hidden="1" outlineLevel="1">
      <c r="B270" s="133"/>
      <c r="C270" s="133"/>
      <c r="D270" s="133"/>
      <c r="E270" s="133"/>
      <c r="F270" s="133"/>
      <c r="G270" s="133"/>
      <c r="H270" s="133"/>
      <c r="I270" s="133"/>
      <c r="J270" s="156"/>
      <c r="K270" s="156"/>
      <c r="L270" s="158"/>
      <c r="M270" s="158"/>
      <c r="N270" s="158"/>
      <c r="O270" s="158"/>
      <c r="P270" s="158"/>
      <c r="Q270" s="158"/>
      <c r="R270" s="158"/>
      <c r="S270" s="158"/>
      <c r="T270" s="156"/>
      <c r="U270" s="156"/>
      <c r="V270" s="164">
        <f t="shared" si="123"/>
        <v>5.3920533823116727E-3</v>
      </c>
      <c r="W270" s="164">
        <f t="shared" si="124"/>
        <v>5.4135160433927609E-3</v>
      </c>
      <c r="X270" s="164">
        <f t="shared" si="125"/>
        <v>5.515330110227294E-3</v>
      </c>
      <c r="Y270" s="164">
        <f t="shared" si="126"/>
        <v>5.6244222601408694E-3</v>
      </c>
      <c r="Z270" s="164">
        <f t="shared" si="127"/>
        <v>5.6714657387356383E-3</v>
      </c>
      <c r="AA270" s="164">
        <f t="shared" si="128"/>
        <v>5.6918081870763419E-3</v>
      </c>
      <c r="AB270" s="164">
        <f t="shared" si="129"/>
        <v>5.6846904912190447E-3</v>
      </c>
      <c r="AC270" s="164">
        <f t="shared" si="130"/>
        <v>5.6792815343789261E-3</v>
      </c>
      <c r="AD270" s="156"/>
      <c r="AE270" s="2"/>
      <c r="AF270" s="163"/>
      <c r="AG270" s="163"/>
      <c r="AH270" s="163"/>
      <c r="AI270" s="163"/>
      <c r="AJ270" s="163"/>
      <c r="AK270" s="163"/>
      <c r="AL270" s="163"/>
    </row>
    <row r="271" spans="2:38" hidden="1" outlineLevel="1">
      <c r="B271" s="133"/>
      <c r="C271" s="133"/>
      <c r="D271" s="133"/>
      <c r="E271" s="133"/>
      <c r="F271" s="133"/>
      <c r="G271" s="133"/>
      <c r="H271" s="133"/>
      <c r="I271" s="133"/>
      <c r="J271" s="156"/>
      <c r="K271" s="156"/>
      <c r="L271" s="158"/>
      <c r="M271" s="158"/>
      <c r="N271" s="158"/>
      <c r="O271" s="158"/>
      <c r="P271" s="158"/>
      <c r="Q271" s="158"/>
      <c r="R271" s="158"/>
      <c r="S271" s="158"/>
      <c r="T271" s="156"/>
      <c r="U271" s="156"/>
      <c r="V271" s="164">
        <f t="shared" si="123"/>
        <v>2.6281974098174901E-4</v>
      </c>
      <c r="W271" s="164">
        <f t="shared" si="124"/>
        <v>2.763896772775751E-4</v>
      </c>
      <c r="X271" s="164">
        <f t="shared" si="125"/>
        <v>2.8457977388502792E-4</v>
      </c>
      <c r="Y271" s="164">
        <f t="shared" si="126"/>
        <v>2.9202307157868469E-4</v>
      </c>
      <c r="Z271" s="164">
        <f t="shared" si="127"/>
        <v>3.0130701657149229E-4</v>
      </c>
      <c r="AA271" s="164">
        <f t="shared" si="128"/>
        <v>3.1248675486390137E-4</v>
      </c>
      <c r="AB271" s="164">
        <f t="shared" si="129"/>
        <v>3.2480777763028941E-4</v>
      </c>
      <c r="AC271" s="164">
        <f t="shared" si="130"/>
        <v>3.3764054802347274E-4</v>
      </c>
      <c r="AD271" s="156"/>
      <c r="AE271" s="2"/>
      <c r="AF271" s="163"/>
      <c r="AG271" s="163"/>
      <c r="AH271" s="163"/>
      <c r="AI271" s="163"/>
      <c r="AJ271" s="163"/>
      <c r="AK271" s="163"/>
      <c r="AL271" s="163"/>
    </row>
    <row r="272" spans="2:38" hidden="1" outlineLevel="1">
      <c r="B272" s="133"/>
      <c r="C272" s="133"/>
      <c r="D272" s="133"/>
      <c r="E272" s="133"/>
      <c r="F272" s="133"/>
      <c r="G272" s="133"/>
      <c r="H272" s="133"/>
      <c r="I272" s="133"/>
      <c r="J272" s="156"/>
      <c r="K272" s="156"/>
      <c r="L272" s="158"/>
      <c r="M272" s="158"/>
      <c r="N272" s="158"/>
      <c r="O272" s="158"/>
      <c r="P272" s="158"/>
      <c r="Q272" s="158"/>
      <c r="R272" s="158"/>
      <c r="S272" s="158"/>
      <c r="T272" s="156"/>
      <c r="U272" s="156"/>
      <c r="V272" s="164">
        <f t="shared" si="123"/>
        <v>2.6513473351889395E-5</v>
      </c>
      <c r="W272" s="164">
        <f t="shared" si="124"/>
        <v>2.5739114013890941E-5</v>
      </c>
      <c r="X272" s="164">
        <f t="shared" si="125"/>
        <v>2.5264619413236123E-5</v>
      </c>
      <c r="Y272" s="164">
        <f t="shared" si="126"/>
        <v>2.4714938164245096E-5</v>
      </c>
      <c r="Z272" s="164">
        <f t="shared" si="127"/>
        <v>2.4182358592786829E-5</v>
      </c>
      <c r="AA272" s="164">
        <f t="shared" si="128"/>
        <v>2.3682915374759202E-5</v>
      </c>
      <c r="AB272" s="164">
        <f t="shared" si="129"/>
        <v>2.3193355769839129E-5</v>
      </c>
      <c r="AC272" s="164">
        <f t="shared" si="130"/>
        <v>2.2720755346019903E-5</v>
      </c>
      <c r="AD272" s="156"/>
      <c r="AE272" s="2"/>
      <c r="AF272" s="163"/>
      <c r="AG272" s="163"/>
      <c r="AH272" s="163"/>
      <c r="AI272" s="163"/>
      <c r="AJ272" s="163"/>
      <c r="AK272" s="163"/>
      <c r="AL272" s="163"/>
    </row>
    <row r="273" spans="2:38" hidden="1" outlineLevel="1">
      <c r="B273" s="133"/>
      <c r="C273" s="133"/>
      <c r="D273" s="133"/>
      <c r="E273" s="133"/>
      <c r="F273" s="133"/>
      <c r="G273" s="133"/>
      <c r="H273" s="133"/>
      <c r="I273" s="133"/>
      <c r="J273" s="156"/>
      <c r="K273" s="156"/>
      <c r="L273" s="158"/>
      <c r="M273" s="158"/>
      <c r="N273" s="158"/>
      <c r="O273" s="158"/>
      <c r="P273" s="158"/>
      <c r="Q273" s="158"/>
      <c r="R273" s="158"/>
      <c r="S273" s="158"/>
      <c r="T273" s="156"/>
      <c r="U273" s="156"/>
      <c r="V273" s="164">
        <f t="shared" si="123"/>
        <v>7.8437394199734407E-6</v>
      </c>
      <c r="W273" s="164">
        <f t="shared" si="124"/>
        <v>7.8856941822133007E-6</v>
      </c>
      <c r="X273" s="164">
        <f t="shared" si="125"/>
        <v>7.9677840759489108E-6</v>
      </c>
      <c r="Y273" s="164">
        <f t="shared" si="126"/>
        <v>8.0919768737470746E-6</v>
      </c>
      <c r="Z273" s="164">
        <f t="shared" si="127"/>
        <v>8.240664271740003E-6</v>
      </c>
      <c r="AA273" s="164">
        <f t="shared" si="128"/>
        <v>8.4087654589032663E-6</v>
      </c>
      <c r="AB273" s="164">
        <f t="shared" si="129"/>
        <v>8.5778121512964344E-6</v>
      </c>
      <c r="AC273" s="164">
        <f t="shared" si="130"/>
        <v>8.7578531535520192E-6</v>
      </c>
      <c r="AD273" s="156"/>
      <c r="AE273" s="2"/>
      <c r="AF273" s="163"/>
      <c r="AG273" s="163"/>
      <c r="AH273" s="163"/>
      <c r="AI273" s="163"/>
      <c r="AJ273" s="163"/>
      <c r="AK273" s="163"/>
      <c r="AL273" s="163"/>
    </row>
    <row r="274" spans="2:38" hidden="1" outlineLevel="1">
      <c r="B274" s="133"/>
      <c r="C274" s="133"/>
      <c r="D274" s="133"/>
      <c r="E274" s="133"/>
      <c r="F274" s="133"/>
      <c r="G274" s="133"/>
      <c r="H274" s="133"/>
      <c r="I274" s="133"/>
      <c r="J274" s="156"/>
      <c r="K274" s="156"/>
      <c r="L274" s="158"/>
      <c r="M274" s="158"/>
      <c r="N274" s="158"/>
      <c r="O274" s="158"/>
      <c r="P274" s="158"/>
      <c r="Q274" s="158"/>
      <c r="R274" s="158"/>
      <c r="S274" s="158"/>
      <c r="T274" s="156"/>
      <c r="U274" s="156"/>
      <c r="V274" s="164">
        <f t="shared" si="123"/>
        <v>2.205684036582219E-2</v>
      </c>
      <c r="W274" s="164">
        <f t="shared" si="124"/>
        <v>2.2180401728492106E-2</v>
      </c>
      <c r="X274" s="164">
        <f t="shared" si="125"/>
        <v>2.1934260511146317E-2</v>
      </c>
      <c r="Y274" s="164">
        <f t="shared" si="126"/>
        <v>2.1229692875543531E-2</v>
      </c>
      <c r="Z274" s="164">
        <f t="shared" si="127"/>
        <v>2.0737243777736347E-2</v>
      </c>
      <c r="AA274" s="164">
        <f t="shared" si="128"/>
        <v>2.0379441390170318E-2</v>
      </c>
      <c r="AB274" s="164">
        <f t="shared" si="129"/>
        <v>2.00685525441947E-2</v>
      </c>
      <c r="AC274" s="164">
        <f t="shared" si="130"/>
        <v>1.9796377335531763E-2</v>
      </c>
      <c r="AD274" s="156"/>
      <c r="AE274" s="2"/>
      <c r="AF274" s="163"/>
      <c r="AG274" s="163"/>
      <c r="AH274" s="163"/>
      <c r="AI274" s="163"/>
      <c r="AJ274" s="163"/>
      <c r="AK274" s="163"/>
      <c r="AL274" s="163"/>
    </row>
    <row r="275" spans="2:38" hidden="1" outlineLevel="1">
      <c r="B275" s="133"/>
      <c r="C275" s="133"/>
      <c r="D275" s="133"/>
      <c r="E275" s="133"/>
      <c r="F275" s="133"/>
      <c r="G275" s="133"/>
      <c r="H275" s="133"/>
      <c r="I275" s="133"/>
      <c r="J275" s="156"/>
      <c r="K275" s="156"/>
      <c r="L275" s="158"/>
      <c r="M275" s="158"/>
      <c r="N275" s="158"/>
      <c r="O275" s="158"/>
      <c r="P275" s="158"/>
      <c r="Q275" s="158"/>
      <c r="R275" s="158"/>
      <c r="S275" s="158"/>
      <c r="T275" s="156"/>
      <c r="U275" s="156"/>
      <c r="V275" s="164">
        <f t="shared" si="123"/>
        <v>4.6395173965016516E-4</v>
      </c>
      <c r="W275" s="164">
        <f t="shared" si="124"/>
        <v>4.7711052341724535E-4</v>
      </c>
      <c r="X275" s="164">
        <f t="shared" si="125"/>
        <v>4.9501419658054384E-4</v>
      </c>
      <c r="Y275" s="164">
        <f t="shared" si="126"/>
        <v>5.1102851019396841E-4</v>
      </c>
      <c r="Z275" s="164">
        <f t="shared" si="127"/>
        <v>5.2833563090098424E-4</v>
      </c>
      <c r="AA275" s="164">
        <f t="shared" si="128"/>
        <v>5.4697422709129248E-4</v>
      </c>
      <c r="AB275" s="164">
        <f t="shared" si="129"/>
        <v>5.6615576135607307E-4</v>
      </c>
      <c r="AC275" s="164">
        <f t="shared" si="130"/>
        <v>5.864896448271275E-4</v>
      </c>
      <c r="AD275" s="156"/>
      <c r="AE275" s="2"/>
      <c r="AF275" s="163"/>
      <c r="AG275" s="163"/>
      <c r="AH275" s="163"/>
      <c r="AI275" s="163"/>
      <c r="AJ275" s="163"/>
      <c r="AK275" s="163"/>
      <c r="AL275" s="163"/>
    </row>
    <row r="276" spans="2:38" hidden="1" outlineLevel="1">
      <c r="B276" s="133"/>
      <c r="C276" s="133"/>
      <c r="D276" s="133"/>
      <c r="E276" s="133"/>
      <c r="F276" s="133"/>
      <c r="G276" s="133"/>
      <c r="H276" s="133"/>
      <c r="I276" s="133"/>
      <c r="J276" s="156"/>
      <c r="K276" s="156"/>
      <c r="L276" s="158"/>
      <c r="M276" s="158"/>
      <c r="N276" s="158"/>
      <c r="O276" s="158"/>
      <c r="P276" s="158"/>
      <c r="Q276" s="158"/>
      <c r="R276" s="158"/>
      <c r="S276" s="158"/>
      <c r="T276" s="156"/>
      <c r="U276" s="156"/>
      <c r="V276" s="164">
        <f>L125/SUM(L$44:L$188)</f>
        <v>1.3066498759804022E-3</v>
      </c>
      <c r="W276" s="164">
        <f t="shared" si="124"/>
        <v>1.2717048201969332E-3</v>
      </c>
      <c r="X276" s="164">
        <f t="shared" si="125"/>
        <v>1.2704119672819795E-3</v>
      </c>
      <c r="Y276" s="164">
        <f t="shared" si="126"/>
        <v>1.2648400567378088E-3</v>
      </c>
      <c r="Z276" s="164">
        <f t="shared" si="127"/>
        <v>1.2644866493369126E-3</v>
      </c>
      <c r="AA276" s="164">
        <f t="shared" si="128"/>
        <v>1.2655298455718515E-3</v>
      </c>
      <c r="AB276" s="164">
        <f t="shared" si="129"/>
        <v>1.2725804227091391E-3</v>
      </c>
      <c r="AC276" s="164">
        <f t="shared" si="130"/>
        <v>1.2800600416254929E-3</v>
      </c>
      <c r="AD276" s="156"/>
      <c r="AE276" s="2"/>
      <c r="AF276" s="163"/>
      <c r="AG276" s="163"/>
      <c r="AH276" s="163"/>
      <c r="AI276" s="163"/>
      <c r="AJ276" s="163"/>
      <c r="AK276" s="163"/>
      <c r="AL276" s="163"/>
    </row>
    <row r="277" spans="2:38" hidden="1" outlineLevel="1">
      <c r="B277" s="133"/>
      <c r="C277" s="133"/>
      <c r="D277" s="133"/>
      <c r="E277" s="133"/>
      <c r="F277" s="133"/>
      <c r="G277" s="133"/>
      <c r="H277" s="133"/>
      <c r="I277" s="133"/>
      <c r="J277" s="156"/>
      <c r="K277" s="156"/>
      <c r="L277" s="158"/>
      <c r="M277" s="158"/>
      <c r="N277" s="158"/>
      <c r="O277" s="158"/>
      <c r="P277" s="158"/>
      <c r="Q277" s="158"/>
      <c r="R277" s="158"/>
      <c r="S277" s="158"/>
      <c r="T277" s="156"/>
      <c r="U277" s="156"/>
      <c r="V277" s="164">
        <f t="shared" ref="V277:V295" si="131">L126/SUM(L$44:L$188)</f>
        <v>2.1086994668790058E-3</v>
      </c>
      <c r="W277" s="164">
        <f t="shared" si="124"/>
        <v>2.1149145517369325E-3</v>
      </c>
      <c r="X277" s="164">
        <f t="shared" si="125"/>
        <v>2.1231771711346745E-3</v>
      </c>
      <c r="Y277" s="164">
        <f t="shared" si="126"/>
        <v>2.1198131792722172E-3</v>
      </c>
      <c r="Z277" s="164">
        <f t="shared" si="127"/>
        <v>2.1233145143393166E-3</v>
      </c>
      <c r="AA277" s="164">
        <f t="shared" si="128"/>
        <v>2.1332718649030285E-3</v>
      </c>
      <c r="AB277" s="164">
        <f t="shared" si="129"/>
        <v>2.1348571774621413E-3</v>
      </c>
      <c r="AC277" s="164">
        <f t="shared" si="130"/>
        <v>2.1349965091789457E-3</v>
      </c>
      <c r="AD277" s="156"/>
      <c r="AE277" s="2"/>
      <c r="AF277" s="163"/>
      <c r="AG277" s="163"/>
      <c r="AH277" s="163"/>
      <c r="AI277" s="163"/>
      <c r="AJ277" s="163"/>
      <c r="AK277" s="163"/>
      <c r="AL277" s="163"/>
    </row>
    <row r="278" spans="2:38" hidden="1" outlineLevel="1">
      <c r="B278" s="133"/>
      <c r="C278" s="133"/>
      <c r="D278" s="133"/>
      <c r="E278" s="133"/>
      <c r="F278" s="133"/>
      <c r="G278" s="133"/>
      <c r="H278" s="133"/>
      <c r="I278" s="133"/>
      <c r="J278" s="156"/>
      <c r="K278" s="156"/>
      <c r="L278" s="158"/>
      <c r="M278" s="158"/>
      <c r="N278" s="158"/>
      <c r="O278" s="158"/>
      <c r="P278" s="158"/>
      <c r="Q278" s="158"/>
      <c r="R278" s="158"/>
      <c r="S278" s="158"/>
      <c r="T278" s="156"/>
      <c r="U278" s="156"/>
      <c r="V278" s="164">
        <f t="shared" si="131"/>
        <v>8.3862647298549374E-4</v>
      </c>
      <c r="W278" s="164">
        <f t="shared" si="124"/>
        <v>8.2836224463916561E-4</v>
      </c>
      <c r="X278" s="164">
        <f t="shared" si="125"/>
        <v>8.3048538129549621E-4</v>
      </c>
      <c r="Y278" s="164">
        <f t="shared" si="126"/>
        <v>8.3481437076241981E-4</v>
      </c>
      <c r="Z278" s="164">
        <f t="shared" si="127"/>
        <v>8.2670838638799614E-4</v>
      </c>
      <c r="AA278" s="164">
        <f t="shared" si="128"/>
        <v>8.1604407776928703E-4</v>
      </c>
      <c r="AB278" s="164">
        <f t="shared" si="129"/>
        <v>8.0296788671748137E-4</v>
      </c>
      <c r="AC278" s="164">
        <f t="shared" si="130"/>
        <v>7.9054666825002003E-4</v>
      </c>
      <c r="AD278" s="156"/>
      <c r="AE278" s="2"/>
      <c r="AF278" s="163"/>
      <c r="AG278" s="163"/>
      <c r="AH278" s="163"/>
      <c r="AI278" s="163"/>
      <c r="AJ278" s="163"/>
      <c r="AK278" s="163"/>
      <c r="AL278" s="163"/>
    </row>
    <row r="279" spans="2:38" hidden="1" outlineLevel="1">
      <c r="B279" s="133"/>
      <c r="C279" s="133"/>
      <c r="D279" s="133"/>
      <c r="E279" s="133"/>
      <c r="F279" s="133"/>
      <c r="G279" s="133"/>
      <c r="H279" s="133"/>
      <c r="I279" s="133"/>
      <c r="J279" s="156"/>
      <c r="K279" s="156"/>
      <c r="L279" s="158"/>
      <c r="M279" s="158"/>
      <c r="N279" s="158"/>
      <c r="O279" s="158"/>
      <c r="P279" s="158"/>
      <c r="Q279" s="158"/>
      <c r="R279" s="158"/>
      <c r="S279" s="158"/>
      <c r="T279" s="156"/>
      <c r="U279" s="156"/>
      <c r="V279" s="164">
        <f t="shared" si="131"/>
        <v>2.0858082759675904E-4</v>
      </c>
      <c r="W279" s="164">
        <f t="shared" si="124"/>
        <v>2.0873666728858675E-4</v>
      </c>
      <c r="X279" s="164">
        <f t="shared" si="125"/>
        <v>2.0937288406470766E-4</v>
      </c>
      <c r="Y279" s="164">
        <f t="shared" si="126"/>
        <v>2.0729461577893713E-4</v>
      </c>
      <c r="Z279" s="164">
        <f t="shared" si="127"/>
        <v>2.0728699569214486E-4</v>
      </c>
      <c r="AA279" s="164">
        <f t="shared" si="128"/>
        <v>2.0745169467598057E-4</v>
      </c>
      <c r="AB279" s="164">
        <f t="shared" si="129"/>
        <v>2.076112771800854E-4</v>
      </c>
      <c r="AC279" s="164">
        <f t="shared" si="130"/>
        <v>2.0843117472532091E-4</v>
      </c>
      <c r="AD279" s="156"/>
      <c r="AE279" s="2"/>
      <c r="AF279" s="163"/>
      <c r="AG279" s="163"/>
      <c r="AH279" s="163"/>
      <c r="AI279" s="163"/>
      <c r="AJ279" s="163"/>
      <c r="AK279" s="163"/>
      <c r="AL279" s="163"/>
    </row>
    <row r="280" spans="2:38" hidden="1" outlineLevel="1">
      <c r="B280" s="133"/>
      <c r="C280" s="133"/>
      <c r="D280" s="133"/>
      <c r="E280" s="133"/>
      <c r="F280" s="133"/>
      <c r="G280" s="133"/>
      <c r="H280" s="133"/>
      <c r="I280" s="133"/>
      <c r="J280" s="156"/>
      <c r="K280" s="156"/>
      <c r="L280" s="158"/>
      <c r="M280" s="158"/>
      <c r="N280" s="158"/>
      <c r="O280" s="158"/>
      <c r="P280" s="158"/>
      <c r="Q280" s="158"/>
      <c r="R280" s="158"/>
      <c r="S280" s="158"/>
      <c r="T280" s="156"/>
      <c r="U280" s="156"/>
      <c r="V280" s="164">
        <f t="shared" si="131"/>
        <v>9.6799234124210088E-3</v>
      </c>
      <c r="W280" s="164">
        <f t="shared" si="124"/>
        <v>9.4716816523917786E-3</v>
      </c>
      <c r="X280" s="164">
        <f t="shared" si="125"/>
        <v>9.2319641870335575E-3</v>
      </c>
      <c r="Y280" s="164">
        <f t="shared" si="126"/>
        <v>8.9858199614404194E-3</v>
      </c>
      <c r="Z280" s="164">
        <f t="shared" si="127"/>
        <v>8.77070874434536E-3</v>
      </c>
      <c r="AA280" s="164">
        <f t="shared" si="128"/>
        <v>8.6152166169297054E-3</v>
      </c>
      <c r="AB280" s="164">
        <f t="shared" si="129"/>
        <v>8.5131812094467133E-3</v>
      </c>
      <c r="AC280" s="164">
        <f t="shared" si="130"/>
        <v>8.4148356466131145E-3</v>
      </c>
      <c r="AD280" s="156"/>
      <c r="AE280" s="2"/>
      <c r="AF280" s="163"/>
      <c r="AG280" s="163"/>
      <c r="AH280" s="163"/>
      <c r="AI280" s="163"/>
      <c r="AJ280" s="163"/>
      <c r="AK280" s="163"/>
      <c r="AL280" s="163"/>
    </row>
    <row r="281" spans="2:38" hidden="1" outlineLevel="1">
      <c r="B281" s="133"/>
      <c r="C281" s="133"/>
      <c r="D281" s="133"/>
      <c r="E281" s="133"/>
      <c r="F281" s="133"/>
      <c r="G281" s="133"/>
      <c r="H281" s="133"/>
      <c r="I281" s="133"/>
      <c r="J281" s="156"/>
      <c r="K281" s="156"/>
      <c r="L281" s="158"/>
      <c r="M281" s="158"/>
      <c r="N281" s="158"/>
      <c r="O281" s="158"/>
      <c r="P281" s="158"/>
      <c r="Q281" s="158"/>
      <c r="R281" s="158"/>
      <c r="S281" s="158"/>
      <c r="T281" s="156"/>
      <c r="U281" s="156"/>
      <c r="V281" s="164">
        <f t="shared" si="131"/>
        <v>3.2021793829978382E-4</v>
      </c>
      <c r="W281" s="164">
        <f t="shared" si="124"/>
        <v>3.0877827928999906E-4</v>
      </c>
      <c r="X281" s="164">
        <f t="shared" si="125"/>
        <v>2.5860329915466159E-4</v>
      </c>
      <c r="Y281" s="164">
        <f t="shared" si="126"/>
        <v>2.3433510741422979E-4</v>
      </c>
      <c r="Z281" s="164">
        <f t="shared" si="127"/>
        <v>2.1861931436324166E-4</v>
      </c>
      <c r="AA281" s="164">
        <f t="shared" si="128"/>
        <v>2.1245437792368252E-4</v>
      </c>
      <c r="AB281" s="164">
        <f t="shared" si="129"/>
        <v>2.1735833282086523E-4</v>
      </c>
      <c r="AC281" s="164">
        <f t="shared" si="130"/>
        <v>2.3606091210070363E-4</v>
      </c>
      <c r="AD281" s="156"/>
      <c r="AE281" s="2"/>
      <c r="AF281" s="163"/>
      <c r="AG281" s="163"/>
      <c r="AH281" s="163"/>
      <c r="AI281" s="163"/>
      <c r="AJ281" s="163"/>
      <c r="AK281" s="163"/>
      <c r="AL281" s="163"/>
    </row>
    <row r="282" spans="2:38" hidden="1" outlineLevel="1">
      <c r="B282" s="133"/>
      <c r="C282" s="133"/>
      <c r="D282" s="133"/>
      <c r="E282" s="133"/>
      <c r="F282" s="133"/>
      <c r="G282" s="133"/>
      <c r="H282" s="133"/>
      <c r="I282" s="133"/>
      <c r="J282" s="156"/>
      <c r="K282" s="156"/>
      <c r="L282" s="158"/>
      <c r="M282" s="158"/>
      <c r="N282" s="158"/>
      <c r="O282" s="158"/>
      <c r="P282" s="158"/>
      <c r="Q282" s="158"/>
      <c r="R282" s="158"/>
      <c r="S282" s="158"/>
      <c r="T282" s="156"/>
      <c r="U282" s="156"/>
      <c r="V282" s="164">
        <f t="shared" si="131"/>
        <v>1.6123242141056519E-5</v>
      </c>
      <c r="W282" s="164">
        <f t="shared" si="124"/>
        <v>1.570632488107501E-5</v>
      </c>
      <c r="X282" s="164">
        <f t="shared" si="125"/>
        <v>1.5386065801832378E-5</v>
      </c>
      <c r="Y282" s="164">
        <f t="shared" si="126"/>
        <v>1.519915304291789E-5</v>
      </c>
      <c r="Z282" s="164">
        <f t="shared" si="127"/>
        <v>1.5087273468860963E-5</v>
      </c>
      <c r="AA282" s="164">
        <f t="shared" si="128"/>
        <v>1.5018693750015835E-5</v>
      </c>
      <c r="AB282" s="164">
        <f t="shared" si="129"/>
        <v>1.4948173231930216E-5</v>
      </c>
      <c r="AC282" s="164">
        <f t="shared" si="130"/>
        <v>1.4898855964603217E-5</v>
      </c>
      <c r="AD282" s="156"/>
      <c r="AE282" s="2"/>
      <c r="AF282" s="163"/>
      <c r="AG282" s="163"/>
      <c r="AH282" s="163"/>
      <c r="AI282" s="163"/>
      <c r="AJ282" s="163"/>
      <c r="AK282" s="163"/>
      <c r="AL282" s="163"/>
    </row>
    <row r="283" spans="2:38" hidden="1" outlineLevel="1">
      <c r="B283" s="133"/>
      <c r="C283" s="133"/>
      <c r="D283" s="133"/>
      <c r="E283" s="133"/>
      <c r="F283" s="133"/>
      <c r="G283" s="133"/>
      <c r="H283" s="133"/>
      <c r="I283" s="133"/>
      <c r="J283" s="156"/>
      <c r="K283" s="156"/>
      <c r="L283" s="158"/>
      <c r="M283" s="158"/>
      <c r="N283" s="158"/>
      <c r="O283" s="158"/>
      <c r="P283" s="158"/>
      <c r="Q283" s="158"/>
      <c r="R283" s="158"/>
      <c r="S283" s="158"/>
      <c r="T283" s="156"/>
      <c r="U283" s="156"/>
      <c r="V283" s="164">
        <f t="shared" si="131"/>
        <v>1.2044769994733523E-4</v>
      </c>
      <c r="W283" s="164">
        <f t="shared" si="124"/>
        <v>1.1319744833510479E-4</v>
      </c>
      <c r="X283" s="164">
        <f t="shared" si="125"/>
        <v>9.847331886968206E-5</v>
      </c>
      <c r="Y283" s="164">
        <f t="shared" si="126"/>
        <v>9.4066264890127279E-5</v>
      </c>
      <c r="Z283" s="164">
        <f t="shared" si="127"/>
        <v>9.1917695887784823E-5</v>
      </c>
      <c r="AA283" s="164">
        <f t="shared" si="128"/>
        <v>9.0548566783405163E-5</v>
      </c>
      <c r="AB283" s="164">
        <f t="shared" si="129"/>
        <v>8.9830154985139643E-5</v>
      </c>
      <c r="AC283" s="164">
        <f t="shared" si="130"/>
        <v>8.9354933592838262E-5</v>
      </c>
      <c r="AD283" s="156"/>
      <c r="AE283" s="2"/>
      <c r="AF283" s="163"/>
      <c r="AG283" s="163"/>
      <c r="AH283" s="163"/>
      <c r="AI283" s="163"/>
      <c r="AJ283" s="163"/>
      <c r="AK283" s="163"/>
      <c r="AL283" s="163"/>
    </row>
    <row r="284" spans="2:38" hidden="1" outlineLevel="1">
      <c r="B284" s="133"/>
      <c r="C284" s="133"/>
      <c r="D284" s="133"/>
      <c r="E284" s="133"/>
      <c r="F284" s="133"/>
      <c r="G284" s="133"/>
      <c r="H284" s="133"/>
      <c r="I284" s="133"/>
      <c r="J284" s="156"/>
      <c r="K284" s="156"/>
      <c r="L284" s="158"/>
      <c r="M284" s="158"/>
      <c r="N284" s="158"/>
      <c r="O284" s="158"/>
      <c r="P284" s="158"/>
      <c r="Q284" s="158"/>
      <c r="R284" s="158"/>
      <c r="S284" s="158"/>
      <c r="T284" s="156"/>
      <c r="U284" s="156"/>
      <c r="V284" s="164">
        <f t="shared" si="131"/>
        <v>1.4622582272860209E-4</v>
      </c>
      <c r="W284" s="164">
        <f t="shared" si="124"/>
        <v>1.4280133326008049E-4</v>
      </c>
      <c r="X284" s="164">
        <f t="shared" si="125"/>
        <v>1.3878680946084678E-4</v>
      </c>
      <c r="Y284" s="164">
        <f t="shared" si="126"/>
        <v>1.3449055405267315E-4</v>
      </c>
      <c r="Z284" s="164">
        <f t="shared" si="127"/>
        <v>1.2872524680958123E-4</v>
      </c>
      <c r="AA284" s="164">
        <f t="shared" si="128"/>
        <v>1.245881008815984E-4</v>
      </c>
      <c r="AB284" s="164">
        <f t="shared" si="129"/>
        <v>1.2205490874271272E-4</v>
      </c>
      <c r="AC284" s="164">
        <f t="shared" si="130"/>
        <v>1.2033691356025673E-4</v>
      </c>
      <c r="AD284" s="156"/>
      <c r="AE284" s="2"/>
      <c r="AF284" s="163"/>
      <c r="AG284" s="163"/>
      <c r="AH284" s="163"/>
      <c r="AI284" s="163"/>
      <c r="AJ284" s="163"/>
      <c r="AK284" s="163"/>
      <c r="AL284" s="163"/>
    </row>
    <row r="285" spans="2:38" hidden="1" outlineLevel="1">
      <c r="B285" s="133"/>
      <c r="C285" s="133"/>
      <c r="D285" s="133"/>
      <c r="E285" s="133"/>
      <c r="F285" s="133"/>
      <c r="G285" s="133"/>
      <c r="H285" s="133"/>
      <c r="I285" s="133"/>
      <c r="J285" s="156"/>
      <c r="K285" s="156"/>
      <c r="L285" s="158"/>
      <c r="M285" s="158"/>
      <c r="N285" s="158"/>
      <c r="O285" s="158"/>
      <c r="P285" s="158"/>
      <c r="Q285" s="158"/>
      <c r="R285" s="158"/>
      <c r="S285" s="158"/>
      <c r="T285" s="156"/>
      <c r="U285" s="156"/>
      <c r="V285" s="164">
        <f t="shared" si="131"/>
        <v>1.7475470134812358E-3</v>
      </c>
      <c r="W285" s="164">
        <f t="shared" si="124"/>
        <v>1.805420574130066E-3</v>
      </c>
      <c r="X285" s="164">
        <f t="shared" si="125"/>
        <v>1.8768377653382916E-3</v>
      </c>
      <c r="Y285" s="164">
        <f t="shared" si="126"/>
        <v>1.9320603316913176E-3</v>
      </c>
      <c r="Z285" s="164">
        <f t="shared" si="127"/>
        <v>1.9935099990848692E-3</v>
      </c>
      <c r="AA285" s="164">
        <f t="shared" si="128"/>
        <v>2.0584977163602496E-3</v>
      </c>
      <c r="AB285" s="164">
        <f t="shared" si="129"/>
        <v>2.1252713967854281E-3</v>
      </c>
      <c r="AC285" s="164">
        <f t="shared" si="130"/>
        <v>2.1917554200748669E-3</v>
      </c>
      <c r="AD285" s="156"/>
      <c r="AE285" s="2"/>
      <c r="AF285" s="163"/>
      <c r="AG285" s="163"/>
      <c r="AH285" s="163"/>
      <c r="AI285" s="163"/>
      <c r="AJ285" s="163"/>
      <c r="AK285" s="163"/>
      <c r="AL285" s="163"/>
    </row>
    <row r="286" spans="2:38" hidden="1" outlineLevel="1">
      <c r="B286" s="133"/>
      <c r="C286" s="133"/>
      <c r="D286" s="133"/>
      <c r="E286" s="133"/>
      <c r="F286" s="133"/>
      <c r="G286" s="133"/>
      <c r="H286" s="133"/>
      <c r="I286" s="133"/>
      <c r="J286" s="156"/>
      <c r="K286" s="156"/>
      <c r="L286" s="158"/>
      <c r="M286" s="158"/>
      <c r="N286" s="158"/>
      <c r="O286" s="158"/>
      <c r="P286" s="158"/>
      <c r="Q286" s="158"/>
      <c r="R286" s="158"/>
      <c r="S286" s="158"/>
      <c r="T286" s="156"/>
      <c r="U286" s="156"/>
      <c r="V286" s="164">
        <f t="shared" si="131"/>
        <v>1.4001619568778981E-4</v>
      </c>
      <c r="W286" s="164">
        <f t="shared" si="124"/>
        <v>1.4242396505664124E-4</v>
      </c>
      <c r="X286" s="164">
        <f t="shared" si="125"/>
        <v>1.4534337159230945E-4</v>
      </c>
      <c r="Y286" s="164">
        <f t="shared" si="126"/>
        <v>1.4751839951803133E-4</v>
      </c>
      <c r="Z286" s="164">
        <f t="shared" si="127"/>
        <v>1.5004079859569179E-4</v>
      </c>
      <c r="AA286" s="164">
        <f t="shared" si="128"/>
        <v>1.5292244727602942E-4</v>
      </c>
      <c r="AB286" s="164">
        <f t="shared" si="129"/>
        <v>1.5614440427230678E-4</v>
      </c>
      <c r="AC286" s="164">
        <f t="shared" si="130"/>
        <v>1.5947506211342596E-4</v>
      </c>
      <c r="AD286" s="156"/>
      <c r="AE286" s="2"/>
      <c r="AF286" s="163"/>
      <c r="AG286" s="163"/>
      <c r="AH286" s="163"/>
      <c r="AI286" s="163"/>
      <c r="AJ286" s="163"/>
      <c r="AK286" s="163"/>
      <c r="AL286" s="163"/>
    </row>
    <row r="287" spans="2:38" hidden="1" outlineLevel="1">
      <c r="B287" s="133"/>
      <c r="C287" s="133"/>
      <c r="D287" s="133"/>
      <c r="E287" s="133"/>
      <c r="F287" s="133"/>
      <c r="G287" s="133"/>
      <c r="H287" s="133"/>
      <c r="I287" s="133"/>
      <c r="J287" s="156"/>
      <c r="K287" s="156"/>
      <c r="L287" s="158"/>
      <c r="M287" s="158"/>
      <c r="N287" s="158"/>
      <c r="O287" s="158"/>
      <c r="P287" s="158"/>
      <c r="Q287" s="158"/>
      <c r="R287" s="158"/>
      <c r="S287" s="158"/>
      <c r="T287" s="156"/>
      <c r="U287" s="156"/>
      <c r="V287" s="164">
        <f t="shared" si="131"/>
        <v>1.7005390473740336E-3</v>
      </c>
      <c r="W287" s="164">
        <f t="shared" si="124"/>
        <v>1.6606933617627783E-3</v>
      </c>
      <c r="X287" s="164">
        <f t="shared" si="125"/>
        <v>1.6302985405055215E-3</v>
      </c>
      <c r="Y287" s="164">
        <f t="shared" si="126"/>
        <v>1.612628951346715E-3</v>
      </c>
      <c r="Z287" s="164">
        <f t="shared" si="127"/>
        <v>1.6049059046551763E-3</v>
      </c>
      <c r="AA287" s="164">
        <f t="shared" si="128"/>
        <v>1.6068725031687743E-3</v>
      </c>
      <c r="AB287" s="164">
        <f t="shared" si="129"/>
        <v>1.6177088458118299E-3</v>
      </c>
      <c r="AC287" s="164">
        <f t="shared" si="130"/>
        <v>1.6318927050101197E-3</v>
      </c>
      <c r="AD287" s="156"/>
      <c r="AE287" s="2"/>
      <c r="AF287" s="163"/>
      <c r="AG287" s="163"/>
      <c r="AH287" s="163"/>
      <c r="AI287" s="163"/>
      <c r="AJ287" s="163"/>
      <c r="AK287" s="163"/>
      <c r="AL287" s="163"/>
    </row>
    <row r="288" spans="2:38" hidden="1" outlineLevel="1">
      <c r="B288" s="133"/>
      <c r="C288" s="133"/>
      <c r="D288" s="133"/>
      <c r="E288" s="133"/>
      <c r="F288" s="133"/>
      <c r="G288" s="133"/>
      <c r="H288" s="133"/>
      <c r="I288" s="133"/>
      <c r="J288" s="156"/>
      <c r="K288" s="156"/>
      <c r="L288" s="158"/>
      <c r="M288" s="158"/>
      <c r="N288" s="158"/>
      <c r="O288" s="158"/>
      <c r="P288" s="158"/>
      <c r="Q288" s="158"/>
      <c r="R288" s="158"/>
      <c r="S288" s="158"/>
      <c r="T288" s="156"/>
      <c r="U288" s="156"/>
      <c r="V288" s="164">
        <f t="shared" si="131"/>
        <v>2.4234158935022804E-2</v>
      </c>
      <c r="W288" s="164">
        <f t="shared" si="124"/>
        <v>2.483343032563674E-2</v>
      </c>
      <c r="X288" s="164">
        <f t="shared" si="125"/>
        <v>2.4905944242920679E-2</v>
      </c>
      <c r="Y288" s="164">
        <f t="shared" si="126"/>
        <v>2.530486938149246E-2</v>
      </c>
      <c r="Z288" s="164">
        <f t="shared" si="127"/>
        <v>2.5293780243406502E-2</v>
      </c>
      <c r="AA288" s="164">
        <f t="shared" si="128"/>
        <v>2.5313896553579133E-2</v>
      </c>
      <c r="AB288" s="164">
        <f t="shared" si="129"/>
        <v>2.5335288886349693E-2</v>
      </c>
      <c r="AC288" s="164">
        <f t="shared" si="130"/>
        <v>2.5383734838718822E-2</v>
      </c>
      <c r="AD288" s="156"/>
      <c r="AE288" s="2"/>
      <c r="AF288" s="163"/>
      <c r="AG288" s="163"/>
      <c r="AH288" s="163"/>
      <c r="AI288" s="163"/>
      <c r="AJ288" s="163"/>
      <c r="AK288" s="163"/>
      <c r="AL288" s="163"/>
    </row>
    <row r="289" spans="2:38" hidden="1" outlineLevel="1">
      <c r="B289" s="133"/>
      <c r="C289" s="133"/>
      <c r="D289" s="133"/>
      <c r="E289" s="133"/>
      <c r="F289" s="133"/>
      <c r="G289" s="133"/>
      <c r="H289" s="133"/>
      <c r="I289" s="133"/>
      <c r="J289" s="156"/>
      <c r="K289" s="156"/>
      <c r="L289" s="158"/>
      <c r="M289" s="158"/>
      <c r="N289" s="158"/>
      <c r="O289" s="158"/>
      <c r="P289" s="158"/>
      <c r="Q289" s="158"/>
      <c r="R289" s="158"/>
      <c r="S289" s="158"/>
      <c r="T289" s="156"/>
      <c r="U289" s="156"/>
      <c r="V289" s="164">
        <f t="shared" si="131"/>
        <v>1.0258685164310404E-3</v>
      </c>
      <c r="W289" s="164">
        <f t="shared" si="124"/>
        <v>1.0471056756672277E-3</v>
      </c>
      <c r="X289" s="164">
        <f t="shared" si="125"/>
        <v>1.0414068628922066E-3</v>
      </c>
      <c r="Y289" s="164">
        <f t="shared" si="126"/>
        <v>1.0513637401506279E-3</v>
      </c>
      <c r="Z289" s="164">
        <f t="shared" si="127"/>
        <v>1.0687793046678128E-3</v>
      </c>
      <c r="AA289" s="164">
        <f t="shared" si="128"/>
        <v>1.0927031053741146E-3</v>
      </c>
      <c r="AB289" s="164">
        <f t="shared" si="129"/>
        <v>1.122362873366283E-3</v>
      </c>
      <c r="AC289" s="164">
        <f t="shared" si="130"/>
        <v>1.1559315602332186E-3</v>
      </c>
      <c r="AD289" s="156"/>
      <c r="AE289" s="2"/>
      <c r="AF289" s="163"/>
      <c r="AG289" s="163"/>
      <c r="AH289" s="163"/>
      <c r="AI289" s="163"/>
      <c r="AJ289" s="163"/>
      <c r="AK289" s="163"/>
      <c r="AL289" s="163"/>
    </row>
    <row r="290" spans="2:38" hidden="1" outlineLevel="1">
      <c r="B290" s="133"/>
      <c r="C290" s="133"/>
      <c r="D290" s="133"/>
      <c r="E290" s="133"/>
      <c r="F290" s="133"/>
      <c r="G290" s="133"/>
      <c r="H290" s="133"/>
      <c r="I290" s="133"/>
      <c r="J290" s="156"/>
      <c r="K290" s="156"/>
      <c r="L290" s="158"/>
      <c r="M290" s="158"/>
      <c r="N290" s="158"/>
      <c r="O290" s="158"/>
      <c r="P290" s="158"/>
      <c r="Q290" s="158"/>
      <c r="R290" s="158"/>
      <c r="S290" s="158"/>
      <c r="T290" s="156"/>
      <c r="U290" s="156"/>
      <c r="V290" s="164">
        <f t="shared" si="131"/>
        <v>5.0850989894894137E-3</v>
      </c>
      <c r="W290" s="164">
        <f t="shared" si="124"/>
        <v>4.4318642319772375E-3</v>
      </c>
      <c r="X290" s="164">
        <f t="shared" si="125"/>
        <v>4.4070712909737167E-3</v>
      </c>
      <c r="Y290" s="164">
        <f t="shared" si="126"/>
        <v>4.346850984655949E-3</v>
      </c>
      <c r="Z290" s="164">
        <f t="shared" si="127"/>
        <v>4.3330267161661128E-3</v>
      </c>
      <c r="AA290" s="164">
        <f t="shared" si="128"/>
        <v>4.338263048365665E-3</v>
      </c>
      <c r="AB290" s="164">
        <f t="shared" si="129"/>
        <v>4.3515613991881221E-3</v>
      </c>
      <c r="AC290" s="164">
        <f t="shared" si="130"/>
        <v>4.3790316328116575E-3</v>
      </c>
      <c r="AD290" s="156"/>
      <c r="AE290" s="2"/>
      <c r="AF290" s="163"/>
      <c r="AG290" s="163"/>
      <c r="AH290" s="163"/>
      <c r="AI290" s="163"/>
      <c r="AJ290" s="163"/>
      <c r="AK290" s="163"/>
      <c r="AL290" s="163"/>
    </row>
    <row r="291" spans="2:38" hidden="1" outlineLevel="1">
      <c r="B291" s="133"/>
      <c r="C291" s="133"/>
      <c r="D291" s="133"/>
      <c r="E291" s="133"/>
      <c r="F291" s="133"/>
      <c r="G291" s="133"/>
      <c r="H291" s="133"/>
      <c r="I291" s="133"/>
      <c r="J291" s="156"/>
      <c r="K291" s="156"/>
      <c r="L291" s="158"/>
      <c r="M291" s="158"/>
      <c r="N291" s="158"/>
      <c r="O291" s="158"/>
      <c r="P291" s="158"/>
      <c r="Q291" s="158"/>
      <c r="R291" s="158"/>
      <c r="S291" s="158"/>
      <c r="T291" s="156"/>
      <c r="U291" s="156"/>
      <c r="V291" s="164">
        <f t="shared" si="131"/>
        <v>8.3444995409642109E-3</v>
      </c>
      <c r="W291" s="164">
        <f t="shared" si="124"/>
        <v>8.3689076603689263E-3</v>
      </c>
      <c r="X291" s="164">
        <f t="shared" si="125"/>
        <v>8.3813720152015742E-3</v>
      </c>
      <c r="Y291" s="164">
        <f t="shared" si="126"/>
        <v>8.2100105774714667E-3</v>
      </c>
      <c r="Z291" s="164">
        <f t="shared" si="127"/>
        <v>8.1961781755281685E-3</v>
      </c>
      <c r="AA291" s="164">
        <f t="shared" si="128"/>
        <v>8.1779714570736472E-3</v>
      </c>
      <c r="AB291" s="164">
        <f t="shared" si="129"/>
        <v>8.1512096322843095E-3</v>
      </c>
      <c r="AC291" s="164">
        <f t="shared" si="130"/>
        <v>8.1241933487190103E-3</v>
      </c>
      <c r="AD291" s="156"/>
      <c r="AE291" s="2"/>
      <c r="AF291" s="163"/>
      <c r="AG291" s="163"/>
      <c r="AH291" s="163"/>
      <c r="AI291" s="163"/>
      <c r="AJ291" s="163"/>
      <c r="AK291" s="163"/>
      <c r="AL291" s="163"/>
    </row>
    <row r="292" spans="2:38" hidden="1" outlineLevel="1">
      <c r="B292" s="133"/>
      <c r="C292" s="133"/>
      <c r="D292" s="133"/>
      <c r="E292" s="133"/>
      <c r="F292" s="133"/>
      <c r="G292" s="133"/>
      <c r="H292" s="133"/>
      <c r="I292" s="133"/>
      <c r="J292" s="156"/>
      <c r="K292" s="156"/>
      <c r="L292" s="158"/>
      <c r="M292" s="158"/>
      <c r="N292" s="158"/>
      <c r="O292" s="158"/>
      <c r="P292" s="158"/>
      <c r="Q292" s="158"/>
      <c r="R292" s="158"/>
      <c r="S292" s="158"/>
      <c r="T292" s="156"/>
      <c r="U292" s="156"/>
      <c r="V292" s="164">
        <f t="shared" si="131"/>
        <v>3.5604993749383959E-2</v>
      </c>
      <c r="W292" s="164">
        <f t="shared" si="124"/>
        <v>3.5146903325631453E-2</v>
      </c>
      <c r="X292" s="164">
        <f t="shared" si="125"/>
        <v>3.4778877943926027E-2</v>
      </c>
      <c r="Y292" s="164">
        <f t="shared" si="126"/>
        <v>3.4174364209105586E-2</v>
      </c>
      <c r="Z292" s="164">
        <f t="shared" si="127"/>
        <v>3.3503303123560257E-2</v>
      </c>
      <c r="AA292" s="164">
        <f t="shared" si="128"/>
        <v>3.290339280061938E-2</v>
      </c>
      <c r="AB292" s="164">
        <f t="shared" si="129"/>
        <v>3.2360930305356896E-2</v>
      </c>
      <c r="AC292" s="164">
        <f t="shared" si="130"/>
        <v>3.1835608009800682E-2</v>
      </c>
      <c r="AD292" s="156"/>
      <c r="AE292" s="2"/>
      <c r="AF292" s="163"/>
      <c r="AG292" s="163"/>
      <c r="AH292" s="163"/>
      <c r="AI292" s="163"/>
      <c r="AJ292" s="163"/>
      <c r="AK292" s="163"/>
      <c r="AL292" s="163"/>
    </row>
    <row r="293" spans="2:38" hidden="1" outlineLevel="1">
      <c r="B293" s="133"/>
      <c r="C293" s="133"/>
      <c r="D293" s="133"/>
      <c r="E293" s="133"/>
      <c r="F293" s="133"/>
      <c r="G293" s="133"/>
      <c r="H293" s="133"/>
      <c r="I293" s="133"/>
      <c r="J293" s="156"/>
      <c r="K293" s="156"/>
      <c r="L293" s="158"/>
      <c r="M293" s="158"/>
      <c r="N293" s="158"/>
      <c r="O293" s="158"/>
      <c r="P293" s="158"/>
      <c r="Q293" s="158"/>
      <c r="R293" s="158"/>
      <c r="S293" s="158"/>
      <c r="T293" s="156"/>
      <c r="U293" s="156"/>
      <c r="V293" s="164">
        <f t="shared" si="131"/>
        <v>1.9686968887943759E-4</v>
      </c>
      <c r="W293" s="164">
        <f t="shared" si="124"/>
        <v>1.979491417488923E-4</v>
      </c>
      <c r="X293" s="164">
        <f t="shared" si="125"/>
        <v>2.0625071162115401E-4</v>
      </c>
      <c r="Y293" s="164">
        <f t="shared" si="126"/>
        <v>2.103439384425046E-4</v>
      </c>
      <c r="Z293" s="164">
        <f t="shared" si="127"/>
        <v>2.0981653110980041E-4</v>
      </c>
      <c r="AA293" s="164">
        <f t="shared" si="128"/>
        <v>2.0912280376085121E-4</v>
      </c>
      <c r="AB293" s="164">
        <f t="shared" si="129"/>
        <v>2.0835717388889376E-4</v>
      </c>
      <c r="AC293" s="164">
        <f t="shared" si="130"/>
        <v>2.0695083967755583E-4</v>
      </c>
      <c r="AD293" s="156"/>
      <c r="AE293" s="156"/>
      <c r="AF293" s="159"/>
      <c r="AG293" s="159"/>
      <c r="AH293" s="159"/>
      <c r="AI293" s="159"/>
      <c r="AJ293" s="159"/>
      <c r="AK293" s="159"/>
      <c r="AL293" s="159"/>
    </row>
    <row r="294" spans="2:38" hidden="1" outlineLevel="1">
      <c r="B294" s="133"/>
      <c r="C294" s="133"/>
      <c r="D294" s="133"/>
      <c r="E294" s="133"/>
      <c r="F294" s="133"/>
      <c r="G294" s="133"/>
      <c r="H294" s="133"/>
      <c r="I294" s="133"/>
      <c r="J294" s="156"/>
      <c r="K294" s="156"/>
      <c r="L294" s="158"/>
      <c r="M294" s="158"/>
      <c r="N294" s="158"/>
      <c r="O294" s="158"/>
      <c r="P294" s="158"/>
      <c r="Q294" s="158"/>
      <c r="R294" s="158"/>
      <c r="S294" s="158"/>
      <c r="T294" s="156"/>
      <c r="U294" s="156"/>
      <c r="V294" s="164">
        <f t="shared" si="131"/>
        <v>8.1396499366332038E-4</v>
      </c>
      <c r="W294" s="164">
        <f t="shared" si="124"/>
        <v>8.0923358053379673E-4</v>
      </c>
      <c r="X294" s="164">
        <f t="shared" si="125"/>
        <v>8.1342583106391907E-4</v>
      </c>
      <c r="Y294" s="164">
        <f t="shared" si="126"/>
        <v>8.1755069576051073E-4</v>
      </c>
      <c r="Z294" s="164">
        <f t="shared" si="127"/>
        <v>8.2508948372069673E-4</v>
      </c>
      <c r="AA294" s="164">
        <f t="shared" si="128"/>
        <v>8.3342574105332368E-4</v>
      </c>
      <c r="AB294" s="164">
        <f t="shared" si="129"/>
        <v>8.4184523274280487E-4</v>
      </c>
      <c r="AC294" s="164">
        <f t="shared" si="130"/>
        <v>8.5068647338406266E-4</v>
      </c>
      <c r="AD294" s="156"/>
    </row>
    <row r="295" spans="2:38" hidden="1" outlineLevel="1">
      <c r="B295" s="133"/>
      <c r="C295" s="133"/>
      <c r="D295" s="133"/>
      <c r="E295" s="133"/>
      <c r="F295" s="133"/>
      <c r="G295" s="133"/>
      <c r="H295" s="133"/>
      <c r="I295" s="133"/>
      <c r="J295" s="156"/>
      <c r="K295" s="156"/>
      <c r="L295" s="158"/>
      <c r="M295" s="158"/>
      <c r="N295" s="158"/>
      <c r="O295" s="158"/>
      <c r="P295" s="158"/>
      <c r="Q295" s="158"/>
      <c r="R295" s="158"/>
      <c r="S295" s="158"/>
      <c r="T295" s="156"/>
      <c r="U295" s="156"/>
      <c r="V295" s="164">
        <f t="shared" si="131"/>
        <v>4.219278162994047E-4</v>
      </c>
      <c r="W295" s="164">
        <f t="shared" si="124"/>
        <v>4.133613224293527E-4</v>
      </c>
      <c r="X295" s="164">
        <f t="shared" si="125"/>
        <v>4.0439626357884273E-4</v>
      </c>
      <c r="Y295" s="164">
        <f t="shared" si="126"/>
        <v>4.0189360801695147E-4</v>
      </c>
      <c r="Z295" s="164">
        <f t="shared" si="127"/>
        <v>3.9148214361600333E-4</v>
      </c>
      <c r="AA295" s="164">
        <f t="shared" si="128"/>
        <v>3.7969301449366745E-4</v>
      </c>
      <c r="AB295" s="164">
        <f t="shared" si="129"/>
        <v>3.6614456685762984E-4</v>
      </c>
      <c r="AC295" s="164">
        <f t="shared" si="130"/>
        <v>3.5157479856985483E-4</v>
      </c>
      <c r="AD295" s="156"/>
    </row>
    <row r="296" spans="2:38" hidden="1" outlineLevel="1">
      <c r="B296" s="133"/>
      <c r="C296" s="133"/>
      <c r="D296" s="133"/>
      <c r="E296" s="133"/>
      <c r="F296" s="133"/>
      <c r="G296" s="133"/>
      <c r="H296" s="133"/>
      <c r="I296" s="133"/>
      <c r="J296" s="156"/>
      <c r="K296" s="156"/>
      <c r="L296" s="158"/>
      <c r="M296" s="158"/>
      <c r="N296" s="158"/>
      <c r="O296" s="158"/>
      <c r="P296" s="158"/>
      <c r="Q296" s="158"/>
      <c r="R296" s="158"/>
      <c r="S296" s="158"/>
      <c r="T296" s="156"/>
      <c r="U296" s="156"/>
      <c r="V296" s="133"/>
      <c r="W296" s="133"/>
      <c r="X296" s="133"/>
      <c r="Y296" s="133"/>
      <c r="Z296" s="133"/>
      <c r="AA296" s="133"/>
      <c r="AB296" s="133"/>
      <c r="AC296" s="133"/>
      <c r="AD296" s="156"/>
      <c r="AE296" s="156"/>
      <c r="AF296" s="159"/>
      <c r="AG296" s="159"/>
      <c r="AH296" s="159"/>
      <c r="AI296" s="159"/>
      <c r="AJ296" s="159"/>
      <c r="AK296" s="159"/>
      <c r="AL296" s="159"/>
    </row>
    <row r="297" spans="2:38" hidden="1" outlineLevel="1">
      <c r="B297" s="133"/>
      <c r="C297" s="133"/>
      <c r="D297" s="133"/>
      <c r="E297" s="133"/>
      <c r="F297" s="133"/>
      <c r="G297" s="133"/>
      <c r="H297" s="133"/>
      <c r="I297" s="133"/>
      <c r="J297" s="156"/>
      <c r="K297" s="156"/>
      <c r="L297" s="158"/>
      <c r="M297" s="158"/>
      <c r="N297" s="158"/>
      <c r="O297" s="158"/>
      <c r="P297" s="158"/>
      <c r="Q297" s="158"/>
      <c r="R297" s="158"/>
      <c r="S297" s="158"/>
      <c r="T297" s="156"/>
      <c r="U297" s="156"/>
      <c r="V297" s="164">
        <f>L149/SUM(L$44:L$188)</f>
        <v>2.7766292842579597E-5</v>
      </c>
      <c r="W297" s="164">
        <f t="shared" ref="W297:AC297" si="132">M149/SUM(M$44:M$188)</f>
        <v>2.7912234357834212E-5</v>
      </c>
      <c r="X297" s="164">
        <f t="shared" si="132"/>
        <v>2.8574122203402987E-5</v>
      </c>
      <c r="Y297" s="164">
        <f t="shared" si="132"/>
        <v>2.8357514264304264E-5</v>
      </c>
      <c r="Z297" s="164">
        <f t="shared" si="132"/>
        <v>2.8218372881401649E-5</v>
      </c>
      <c r="AA297" s="164">
        <f t="shared" si="132"/>
        <v>2.796180615258086E-5</v>
      </c>
      <c r="AB297" s="164">
        <f t="shared" si="132"/>
        <v>2.7578018855401936E-5</v>
      </c>
      <c r="AC297" s="164">
        <f t="shared" si="132"/>
        <v>2.7209513232791386E-5</v>
      </c>
      <c r="AD297" s="156"/>
      <c r="AE297" s="156"/>
      <c r="AF297" s="159"/>
      <c r="AG297" s="159"/>
      <c r="AH297" s="159"/>
      <c r="AI297" s="159"/>
      <c r="AJ297" s="159"/>
      <c r="AK297" s="159"/>
      <c r="AL297" s="159"/>
    </row>
    <row r="298" spans="2:38" hidden="1" outlineLevel="1">
      <c r="B298" s="133"/>
      <c r="C298" s="133"/>
      <c r="D298" s="133"/>
      <c r="E298" s="133"/>
      <c r="F298" s="133"/>
      <c r="G298" s="133"/>
      <c r="H298" s="133"/>
      <c r="I298" s="133"/>
      <c r="J298" s="156"/>
      <c r="K298" s="156"/>
      <c r="L298" s="158"/>
      <c r="M298" s="158"/>
      <c r="N298" s="158"/>
      <c r="O298" s="158"/>
      <c r="P298" s="158"/>
      <c r="Q298" s="158"/>
      <c r="R298" s="158"/>
      <c r="S298" s="158"/>
      <c r="T298" s="156"/>
      <c r="U298" s="156"/>
      <c r="V298" s="164">
        <f t="shared" ref="V298:V312" si="133">L150/SUM(L$44:L$188)</f>
        <v>3.321333410645004E-4</v>
      </c>
      <c r="W298" s="164">
        <f t="shared" ref="W298:W312" si="134">M150/SUM(M$44:M$188)</f>
        <v>3.3126421913631029E-4</v>
      </c>
      <c r="X298" s="164">
        <f t="shared" ref="X298:X312" si="135">N150/SUM(N$44:N$188)</f>
        <v>3.2258285686796295E-4</v>
      </c>
      <c r="Y298" s="164">
        <f t="shared" ref="Y298:Y312" si="136">O150/SUM(O$44:O$188)</f>
        <v>3.2287225027625424E-4</v>
      </c>
      <c r="Z298" s="164">
        <f t="shared" ref="Z298:Z312" si="137">P150/SUM(P$44:P$188)</f>
        <v>3.2091372665323111E-4</v>
      </c>
      <c r="AA298" s="164">
        <f t="shared" ref="AA298:AA312" si="138">Q150/SUM(Q$44:Q$188)</f>
        <v>3.1962888350051415E-4</v>
      </c>
      <c r="AB298" s="164">
        <f t="shared" ref="AB298:AB312" si="139">R150/SUM(R$44:R$188)</f>
        <v>3.1862893056948486E-4</v>
      </c>
      <c r="AC298" s="164">
        <f t="shared" ref="AC298:AC312" si="140">S150/SUM(S$44:S$188)</f>
        <v>3.1865405721729891E-4</v>
      </c>
      <c r="AD298" s="156"/>
      <c r="AE298" s="156"/>
      <c r="AF298" s="159"/>
      <c r="AG298" s="159"/>
      <c r="AH298" s="159"/>
      <c r="AI298" s="159"/>
      <c r="AJ298" s="159"/>
      <c r="AK298" s="159"/>
      <c r="AL298" s="159"/>
    </row>
    <row r="299" spans="2:38" hidden="1" outlineLevel="1">
      <c r="B299" s="133"/>
      <c r="C299" s="133"/>
      <c r="D299" s="133"/>
      <c r="E299" s="133"/>
      <c r="F299" s="133"/>
      <c r="G299" s="133"/>
      <c r="H299" s="133"/>
      <c r="I299" s="133"/>
      <c r="J299" s="156"/>
      <c r="K299" s="156"/>
      <c r="L299" s="158"/>
      <c r="M299" s="158"/>
      <c r="N299" s="158"/>
      <c r="O299" s="158"/>
      <c r="P299" s="158"/>
      <c r="Q299" s="158"/>
      <c r="R299" s="158"/>
      <c r="S299" s="158"/>
      <c r="T299" s="156"/>
      <c r="U299" s="156"/>
      <c r="V299" s="164">
        <f t="shared" si="133"/>
        <v>1.4578188886559665E-2</v>
      </c>
      <c r="W299" s="164">
        <f t="shared" si="134"/>
        <v>1.4495753709835234E-2</v>
      </c>
      <c r="X299" s="164">
        <f t="shared" si="135"/>
        <v>1.4545701866925479E-2</v>
      </c>
      <c r="Y299" s="164">
        <f t="shared" si="136"/>
        <v>1.4581457564842712E-2</v>
      </c>
      <c r="Z299" s="164">
        <f t="shared" si="137"/>
        <v>1.4571248243659234E-2</v>
      </c>
      <c r="AA299" s="164">
        <f t="shared" si="138"/>
        <v>1.4568026497446259E-2</v>
      </c>
      <c r="AB299" s="164">
        <f t="shared" si="139"/>
        <v>1.452391927958231E-2</v>
      </c>
      <c r="AC299" s="164">
        <f t="shared" si="140"/>
        <v>1.4473474525716404E-2</v>
      </c>
      <c r="AD299" s="156"/>
      <c r="AE299" s="156"/>
      <c r="AF299" s="159"/>
      <c r="AG299" s="159"/>
      <c r="AH299" s="159"/>
      <c r="AI299" s="159"/>
      <c r="AJ299" s="159"/>
      <c r="AK299" s="159"/>
      <c r="AL299" s="159"/>
    </row>
    <row r="300" spans="2:38" hidden="1" outlineLevel="1">
      <c r="B300" s="133"/>
      <c r="C300" s="133"/>
      <c r="D300" s="133"/>
      <c r="E300" s="133"/>
      <c r="F300" s="133"/>
      <c r="G300" s="133"/>
      <c r="H300" s="133"/>
      <c r="I300" s="133"/>
      <c r="J300" s="156"/>
      <c r="K300" s="156"/>
      <c r="L300" s="158"/>
      <c r="M300" s="158"/>
      <c r="N300" s="158"/>
      <c r="O300" s="158"/>
      <c r="P300" s="158"/>
      <c r="Q300" s="158"/>
      <c r="R300" s="158"/>
      <c r="S300" s="158"/>
      <c r="T300" s="156"/>
      <c r="U300" s="156"/>
      <c r="V300" s="164">
        <f t="shared" si="133"/>
        <v>6.2191593630240818E-5</v>
      </c>
      <c r="W300" s="164">
        <f t="shared" si="134"/>
        <v>6.0613141090345811E-5</v>
      </c>
      <c r="X300" s="164">
        <f t="shared" si="135"/>
        <v>5.9858290087810545E-5</v>
      </c>
      <c r="Y300" s="164">
        <f t="shared" si="136"/>
        <v>5.8364273082055503E-5</v>
      </c>
      <c r="Z300" s="164">
        <f t="shared" si="137"/>
        <v>5.6672835735117817E-5</v>
      </c>
      <c r="AA300" s="164">
        <f t="shared" si="138"/>
        <v>5.524239586292146E-5</v>
      </c>
      <c r="AB300" s="164">
        <f t="shared" si="139"/>
        <v>5.4097670759116294E-5</v>
      </c>
      <c r="AC300" s="164">
        <f t="shared" si="140"/>
        <v>5.3129702391722874E-5</v>
      </c>
      <c r="AD300" s="156"/>
      <c r="AE300" s="156"/>
      <c r="AF300" s="159"/>
      <c r="AG300" s="159"/>
      <c r="AH300" s="159"/>
      <c r="AI300" s="159"/>
      <c r="AJ300" s="159"/>
      <c r="AK300" s="159"/>
      <c r="AL300" s="159"/>
    </row>
    <row r="301" spans="2:38" hidden="1" outlineLevel="1">
      <c r="B301" s="133"/>
      <c r="C301" s="133"/>
      <c r="D301" s="133"/>
      <c r="E301" s="133"/>
      <c r="F301" s="133"/>
      <c r="G301" s="133"/>
      <c r="H301" s="133"/>
      <c r="I301" s="133"/>
      <c r="J301" s="156"/>
      <c r="K301" s="156"/>
      <c r="L301" s="158"/>
      <c r="M301" s="158"/>
      <c r="N301" s="158"/>
      <c r="O301" s="158"/>
      <c r="P301" s="158"/>
      <c r="Q301" s="158"/>
      <c r="R301" s="158"/>
      <c r="S301" s="158"/>
      <c r="T301" s="156"/>
      <c r="U301" s="156"/>
      <c r="V301" s="164">
        <f t="shared" si="133"/>
        <v>4.0348958162120325E-5</v>
      </c>
      <c r="W301" s="164">
        <f t="shared" si="134"/>
        <v>4.0105131137923095E-5</v>
      </c>
      <c r="X301" s="164">
        <f t="shared" si="135"/>
        <v>3.8677472230742597E-5</v>
      </c>
      <c r="Y301" s="164">
        <f t="shared" si="136"/>
        <v>3.8324171997365177E-5</v>
      </c>
      <c r="Z301" s="164">
        <f t="shared" si="137"/>
        <v>3.7864334607394725E-5</v>
      </c>
      <c r="AA301" s="164">
        <f t="shared" si="138"/>
        <v>3.7211448157374451E-5</v>
      </c>
      <c r="AB301" s="164">
        <f t="shared" si="139"/>
        <v>3.6579177787373395E-5</v>
      </c>
      <c r="AC301" s="164">
        <f t="shared" si="140"/>
        <v>3.5957815837648145E-5</v>
      </c>
      <c r="AD301" s="156"/>
      <c r="AE301" s="156"/>
      <c r="AF301" s="159"/>
      <c r="AG301" s="159"/>
      <c r="AH301" s="159"/>
      <c r="AI301" s="159"/>
      <c r="AJ301" s="159"/>
      <c r="AK301" s="159"/>
      <c r="AL301" s="159"/>
    </row>
    <row r="302" spans="2:38" hidden="1" outlineLevel="1">
      <c r="B302" s="133"/>
      <c r="C302" s="133"/>
      <c r="D302" s="133"/>
      <c r="E302" s="133"/>
      <c r="F302" s="133"/>
      <c r="G302" s="133"/>
      <c r="H302" s="133"/>
      <c r="I302" s="133"/>
      <c r="J302" s="156"/>
      <c r="K302" s="156"/>
      <c r="L302" s="158"/>
      <c r="M302" s="158"/>
      <c r="N302" s="158"/>
      <c r="O302" s="158"/>
      <c r="P302" s="158"/>
      <c r="Q302" s="158"/>
      <c r="R302" s="158"/>
      <c r="S302" s="158"/>
      <c r="T302" s="156"/>
      <c r="U302" s="156"/>
      <c r="V302" s="164">
        <f t="shared" si="133"/>
        <v>2.1850806030016288E-2</v>
      </c>
      <c r="W302" s="164">
        <f t="shared" si="134"/>
        <v>2.1305428004379859E-2</v>
      </c>
      <c r="X302" s="164">
        <f t="shared" si="135"/>
        <v>2.1012220545116055E-2</v>
      </c>
      <c r="Y302" s="164">
        <f t="shared" si="136"/>
        <v>2.092748957499465E-2</v>
      </c>
      <c r="Z302" s="164">
        <f t="shared" si="137"/>
        <v>2.0642358093625177E-2</v>
      </c>
      <c r="AA302" s="164">
        <f t="shared" si="138"/>
        <v>2.029109613281728E-2</v>
      </c>
      <c r="AB302" s="164">
        <f t="shared" si="139"/>
        <v>1.9950620226720939E-2</v>
      </c>
      <c r="AC302" s="164">
        <f t="shared" si="140"/>
        <v>1.9639652831442568E-2</v>
      </c>
      <c r="AD302" s="156"/>
      <c r="AE302" s="156"/>
      <c r="AF302" s="159"/>
      <c r="AG302" s="159"/>
      <c r="AH302" s="159"/>
      <c r="AI302" s="159"/>
      <c r="AJ302" s="159"/>
      <c r="AK302" s="159"/>
      <c r="AL302" s="159"/>
    </row>
    <row r="303" spans="2:38" hidden="1" outlineLevel="1">
      <c r="B303" s="133"/>
      <c r="C303" s="133"/>
      <c r="D303" s="133"/>
      <c r="E303" s="133"/>
      <c r="F303" s="133"/>
      <c r="G303" s="133"/>
      <c r="H303" s="133"/>
      <c r="I303" s="133"/>
      <c r="J303" s="156"/>
      <c r="K303" s="156"/>
      <c r="L303" s="158"/>
      <c r="M303" s="158"/>
      <c r="N303" s="158"/>
      <c r="O303" s="158"/>
      <c r="P303" s="158"/>
      <c r="Q303" s="158"/>
      <c r="R303" s="158"/>
      <c r="S303" s="158"/>
      <c r="T303" s="156"/>
      <c r="U303" s="156"/>
      <c r="V303" s="164">
        <f t="shared" si="133"/>
        <v>1.0703436083505426E-5</v>
      </c>
      <c r="W303" s="164">
        <f t="shared" si="134"/>
        <v>1.007182722282689E-5</v>
      </c>
      <c r="X303" s="164">
        <f t="shared" si="135"/>
        <v>1.0053395268242748E-5</v>
      </c>
      <c r="Y303" s="164">
        <f t="shared" si="136"/>
        <v>1.009717348908909E-5</v>
      </c>
      <c r="Z303" s="164">
        <f t="shared" si="137"/>
        <v>1.002820263354991E-5</v>
      </c>
      <c r="AA303" s="164">
        <f t="shared" si="138"/>
        <v>9.877638412483838E-6</v>
      </c>
      <c r="AB303" s="164">
        <f t="shared" si="139"/>
        <v>9.7470556407798491E-6</v>
      </c>
      <c r="AC303" s="164">
        <f t="shared" si="140"/>
        <v>9.5983014387347625E-6</v>
      </c>
      <c r="AD303" s="156"/>
      <c r="AE303" s="156"/>
      <c r="AF303" s="159"/>
      <c r="AG303" s="159"/>
      <c r="AH303" s="159"/>
      <c r="AI303" s="159"/>
      <c r="AJ303" s="159"/>
      <c r="AK303" s="159"/>
      <c r="AL303" s="159"/>
    </row>
    <row r="304" spans="2:38" hidden="1" outlineLevel="1">
      <c r="B304" s="133"/>
      <c r="C304" s="133"/>
      <c r="D304" s="133"/>
      <c r="E304" s="133"/>
      <c r="F304" s="133"/>
      <c r="G304" s="133"/>
      <c r="H304" s="133"/>
      <c r="I304" s="133"/>
      <c r="J304" s="156"/>
      <c r="K304" s="156"/>
      <c r="L304" s="158"/>
      <c r="M304" s="158"/>
      <c r="N304" s="158"/>
      <c r="O304" s="158"/>
      <c r="P304" s="158"/>
      <c r="Q304" s="158"/>
      <c r="R304" s="158"/>
      <c r="S304" s="158"/>
      <c r="T304" s="156"/>
      <c r="U304" s="156"/>
      <c r="V304" s="164">
        <f t="shared" si="133"/>
        <v>4.48781729730286E-4</v>
      </c>
      <c r="W304" s="164">
        <f t="shared" si="134"/>
        <v>4.5030436827638823E-4</v>
      </c>
      <c r="X304" s="164">
        <f t="shared" si="135"/>
        <v>4.468078540520755E-4</v>
      </c>
      <c r="Y304" s="164">
        <f t="shared" si="136"/>
        <v>4.3605314089014471E-4</v>
      </c>
      <c r="Z304" s="164">
        <f t="shared" si="137"/>
        <v>4.3238192072458465E-4</v>
      </c>
      <c r="AA304" s="164">
        <f t="shared" si="138"/>
        <v>4.3516957850860903E-4</v>
      </c>
      <c r="AB304" s="164">
        <f t="shared" si="139"/>
        <v>4.402604925315225E-4</v>
      </c>
      <c r="AC304" s="164">
        <f t="shared" si="140"/>
        <v>4.4609657900682799E-4</v>
      </c>
      <c r="AD304" s="156"/>
      <c r="AE304" s="156"/>
      <c r="AF304" s="159"/>
      <c r="AG304" s="159"/>
      <c r="AH304" s="159"/>
      <c r="AI304" s="159"/>
      <c r="AJ304" s="159"/>
      <c r="AK304" s="159"/>
      <c r="AL304" s="159"/>
    </row>
    <row r="305" spans="2:38" hidden="1" outlineLevel="1">
      <c r="B305" s="133"/>
      <c r="C305" s="133"/>
      <c r="D305" s="133"/>
      <c r="E305" s="133"/>
      <c r="F305" s="133"/>
      <c r="G305" s="133"/>
      <c r="H305" s="133"/>
      <c r="I305" s="133"/>
      <c r="J305" s="156"/>
      <c r="K305" s="156"/>
      <c r="L305" s="158"/>
      <c r="M305" s="158"/>
      <c r="N305" s="158"/>
      <c r="O305" s="158"/>
      <c r="P305" s="158"/>
      <c r="Q305" s="158"/>
      <c r="R305" s="158"/>
      <c r="S305" s="158"/>
      <c r="T305" s="156"/>
      <c r="U305" s="156"/>
      <c r="V305" s="164">
        <f t="shared" si="133"/>
        <v>4.48781729730286E-4</v>
      </c>
      <c r="W305" s="164">
        <f t="shared" si="134"/>
        <v>4.5030436827638823E-4</v>
      </c>
      <c r="X305" s="164">
        <f t="shared" si="135"/>
        <v>4.468078540520755E-4</v>
      </c>
      <c r="Y305" s="164">
        <f t="shared" si="136"/>
        <v>4.3605314089014471E-4</v>
      </c>
      <c r="Z305" s="164">
        <f t="shared" si="137"/>
        <v>4.3238192072458465E-4</v>
      </c>
      <c r="AA305" s="164">
        <f t="shared" si="138"/>
        <v>4.3516957850860903E-4</v>
      </c>
      <c r="AB305" s="164">
        <f t="shared" si="139"/>
        <v>4.402604925315225E-4</v>
      </c>
      <c r="AC305" s="164">
        <f t="shared" si="140"/>
        <v>4.4609657900682799E-4</v>
      </c>
      <c r="AD305" s="156"/>
      <c r="AE305" s="156"/>
      <c r="AF305" s="159"/>
      <c r="AG305" s="159"/>
      <c r="AH305" s="159"/>
      <c r="AI305" s="159"/>
      <c r="AJ305" s="159"/>
      <c r="AK305" s="159"/>
      <c r="AL305" s="159"/>
    </row>
    <row r="306" spans="2:38" hidden="1" outlineLevel="1">
      <c r="B306" s="133"/>
      <c r="C306" s="133"/>
      <c r="D306" s="133"/>
      <c r="E306" s="133"/>
      <c r="F306" s="133"/>
      <c r="G306" s="133"/>
      <c r="H306" s="133"/>
      <c r="I306" s="133"/>
      <c r="J306" s="156"/>
      <c r="K306" s="156"/>
      <c r="L306" s="158"/>
      <c r="M306" s="158"/>
      <c r="N306" s="158"/>
      <c r="O306" s="158"/>
      <c r="P306" s="158"/>
      <c r="Q306" s="158"/>
      <c r="R306" s="158"/>
      <c r="S306" s="158"/>
      <c r="T306" s="156"/>
      <c r="U306" s="156"/>
      <c r="V306" s="164">
        <f t="shared" si="133"/>
        <v>3.2947790844836358E-4</v>
      </c>
      <c r="W306" s="164">
        <f t="shared" si="134"/>
        <v>3.2123143000349429E-4</v>
      </c>
      <c r="X306" s="164">
        <f t="shared" si="135"/>
        <v>3.1636348936040409E-4</v>
      </c>
      <c r="Y306" s="164">
        <f t="shared" si="136"/>
        <v>3.1088853085912147E-4</v>
      </c>
      <c r="Z306" s="164">
        <f t="shared" si="137"/>
        <v>3.0727672015715932E-4</v>
      </c>
      <c r="AA306" s="164">
        <f t="shared" si="138"/>
        <v>3.0500401800616849E-4</v>
      </c>
      <c r="AB306" s="164">
        <f t="shared" si="139"/>
        <v>3.030961355928129E-4</v>
      </c>
      <c r="AC306" s="164">
        <f t="shared" si="140"/>
        <v>3.0135801353018581E-4</v>
      </c>
      <c r="AD306" s="156"/>
      <c r="AE306" s="156"/>
      <c r="AF306" s="159"/>
      <c r="AG306" s="159"/>
      <c r="AH306" s="159"/>
      <c r="AI306" s="159"/>
      <c r="AJ306" s="159"/>
      <c r="AK306" s="159"/>
      <c r="AL306" s="159"/>
    </row>
    <row r="307" spans="2:38" hidden="1" outlineLevel="1">
      <c r="B307" s="133"/>
      <c r="C307" s="133"/>
      <c r="D307" s="133"/>
      <c r="E307" s="133"/>
      <c r="F307" s="133"/>
      <c r="G307" s="133"/>
      <c r="H307" s="133"/>
      <c r="I307" s="133"/>
      <c r="J307" s="156"/>
      <c r="K307" s="156"/>
      <c r="L307" s="158"/>
      <c r="M307" s="158"/>
      <c r="N307" s="158"/>
      <c r="O307" s="158"/>
      <c r="P307" s="158"/>
      <c r="Q307" s="158"/>
      <c r="R307" s="158"/>
      <c r="S307" s="158"/>
      <c r="T307" s="156"/>
      <c r="U307" s="156"/>
      <c r="V307" s="164">
        <f t="shared" si="133"/>
        <v>3.173459857934081E-3</v>
      </c>
      <c r="W307" s="164">
        <f t="shared" si="134"/>
        <v>3.2136936458819973E-3</v>
      </c>
      <c r="X307" s="164">
        <f t="shared" si="135"/>
        <v>3.2604347280439784E-3</v>
      </c>
      <c r="Y307" s="164">
        <f t="shared" si="136"/>
        <v>3.30054176378423E-3</v>
      </c>
      <c r="Z307" s="164">
        <f t="shared" si="137"/>
        <v>3.3410441067783215E-3</v>
      </c>
      <c r="AA307" s="164">
        <f t="shared" si="138"/>
        <v>3.3890305121314968E-3</v>
      </c>
      <c r="AB307" s="164">
        <f t="shared" si="139"/>
        <v>3.440700561510033E-3</v>
      </c>
      <c r="AC307" s="164">
        <f t="shared" si="140"/>
        <v>3.4975064376906047E-3</v>
      </c>
      <c r="AD307" s="156"/>
      <c r="AE307" s="156"/>
      <c r="AF307" s="159"/>
      <c r="AG307" s="159"/>
      <c r="AH307" s="159"/>
      <c r="AI307" s="159"/>
      <c r="AJ307" s="159"/>
      <c r="AK307" s="159"/>
      <c r="AL307" s="159"/>
    </row>
    <row r="308" spans="2:38" hidden="1" outlineLevel="1">
      <c r="B308" s="133"/>
      <c r="C308" s="133"/>
      <c r="D308" s="133"/>
      <c r="E308" s="133"/>
      <c r="F308" s="133"/>
      <c r="G308" s="133"/>
      <c r="H308" s="133"/>
      <c r="I308" s="133"/>
      <c r="J308" s="156"/>
      <c r="K308" s="156"/>
      <c r="L308" s="158"/>
      <c r="M308" s="158"/>
      <c r="N308" s="158"/>
      <c r="O308" s="158"/>
      <c r="P308" s="158"/>
      <c r="Q308" s="158"/>
      <c r="R308" s="158"/>
      <c r="S308" s="158"/>
      <c r="T308" s="156"/>
      <c r="U308" s="156"/>
      <c r="V308" s="164">
        <f t="shared" si="133"/>
        <v>1.7988853773932145E-5</v>
      </c>
      <c r="W308" s="164">
        <f t="shared" si="134"/>
        <v>1.8217775338446568E-5</v>
      </c>
      <c r="X308" s="164">
        <f t="shared" si="135"/>
        <v>1.827095313967595E-5</v>
      </c>
      <c r="Y308" s="164">
        <f t="shared" si="136"/>
        <v>1.8129825019186993E-5</v>
      </c>
      <c r="Z308" s="164">
        <f t="shared" si="137"/>
        <v>1.8122715970047596E-5</v>
      </c>
      <c r="AA308" s="164">
        <f t="shared" si="138"/>
        <v>1.8084167740097025E-5</v>
      </c>
      <c r="AB308" s="164">
        <f t="shared" si="139"/>
        <v>1.8012397549197097E-5</v>
      </c>
      <c r="AC308" s="164">
        <f t="shared" si="140"/>
        <v>1.7897728254914375E-5</v>
      </c>
      <c r="AD308" s="156"/>
      <c r="AE308" s="156"/>
      <c r="AF308" s="159"/>
      <c r="AG308" s="159"/>
      <c r="AH308" s="159"/>
      <c r="AI308" s="159"/>
      <c r="AJ308" s="159"/>
      <c r="AK308" s="159"/>
      <c r="AL308" s="159"/>
    </row>
    <row r="309" spans="2:38" hidden="1" outlineLevel="1">
      <c r="B309" s="133"/>
      <c r="C309" s="133"/>
      <c r="D309" s="133"/>
      <c r="E309" s="133"/>
      <c r="F309" s="133"/>
      <c r="G309" s="133"/>
      <c r="H309" s="133"/>
      <c r="I309" s="133"/>
      <c r="J309" s="156"/>
      <c r="K309" s="156"/>
      <c r="L309" s="158"/>
      <c r="M309" s="158"/>
      <c r="N309" s="158"/>
      <c r="O309" s="158"/>
      <c r="P309" s="158"/>
      <c r="Q309" s="158"/>
      <c r="R309" s="158"/>
      <c r="S309" s="158"/>
      <c r="T309" s="156"/>
      <c r="U309" s="156"/>
      <c r="V309" s="164">
        <f t="shared" si="133"/>
        <v>2.9781698110211656E-5</v>
      </c>
      <c r="W309" s="164">
        <f t="shared" si="134"/>
        <v>2.9330618294898979E-5</v>
      </c>
      <c r="X309" s="164">
        <f t="shared" si="135"/>
        <v>2.8798918619338852E-5</v>
      </c>
      <c r="Y309" s="164">
        <f t="shared" si="136"/>
        <v>2.8286323851925254E-5</v>
      </c>
      <c r="Z309" s="164">
        <f t="shared" si="137"/>
        <v>2.8072221946159329E-5</v>
      </c>
      <c r="AA309" s="164">
        <f t="shared" si="138"/>
        <v>2.7716993993650766E-5</v>
      </c>
      <c r="AB309" s="164">
        <f t="shared" si="139"/>
        <v>2.7194990815743573E-5</v>
      </c>
      <c r="AC309" s="164">
        <f t="shared" si="140"/>
        <v>2.6684233054552169E-5</v>
      </c>
      <c r="AD309" s="156"/>
      <c r="AE309" s="156"/>
      <c r="AF309" s="159"/>
      <c r="AG309" s="159"/>
      <c r="AH309" s="159"/>
      <c r="AI309" s="159"/>
      <c r="AJ309" s="159"/>
      <c r="AK309" s="159"/>
      <c r="AL309" s="159"/>
    </row>
    <row r="310" spans="2:38" hidden="1" outlineLevel="1">
      <c r="B310" s="133"/>
      <c r="C310" s="133"/>
      <c r="D310" s="133"/>
      <c r="E310" s="133"/>
      <c r="F310" s="133"/>
      <c r="G310" s="133"/>
      <c r="H310" s="133"/>
      <c r="I310" s="133"/>
      <c r="J310" s="156"/>
      <c r="K310" s="156"/>
      <c r="L310" s="158"/>
      <c r="M310" s="158"/>
      <c r="N310" s="158"/>
      <c r="O310" s="158"/>
      <c r="P310" s="158"/>
      <c r="Q310" s="158"/>
      <c r="R310" s="158"/>
      <c r="S310" s="158"/>
      <c r="T310" s="156"/>
      <c r="U310" s="156"/>
      <c r="V310" s="164">
        <f t="shared" si="133"/>
        <v>2.1781356253901939E-3</v>
      </c>
      <c r="W310" s="164">
        <f t="shared" si="134"/>
        <v>2.2066150251726707E-3</v>
      </c>
      <c r="X310" s="164">
        <f t="shared" si="135"/>
        <v>2.2101733841018534E-3</v>
      </c>
      <c r="Y310" s="164">
        <f t="shared" si="136"/>
        <v>2.2163948387330695E-3</v>
      </c>
      <c r="Z310" s="164">
        <f t="shared" si="137"/>
        <v>2.218559954598773E-3</v>
      </c>
      <c r="AA310" s="164">
        <f t="shared" si="138"/>
        <v>2.2222131866430233E-3</v>
      </c>
      <c r="AB310" s="164">
        <f t="shared" si="139"/>
        <v>2.2257960978252392E-3</v>
      </c>
      <c r="AC310" s="164">
        <f t="shared" si="140"/>
        <v>2.2293368291907089E-3</v>
      </c>
      <c r="AD310" s="156"/>
      <c r="AE310" s="156"/>
      <c r="AF310" s="159"/>
      <c r="AG310" s="159"/>
      <c r="AH310" s="159"/>
      <c r="AI310" s="159"/>
      <c r="AJ310" s="159"/>
      <c r="AK310" s="159"/>
      <c r="AL310" s="159"/>
    </row>
    <row r="311" spans="2:38" hidden="1" outlineLevel="1">
      <c r="B311" s="133"/>
      <c r="C311" s="133"/>
      <c r="D311" s="133"/>
      <c r="E311" s="133"/>
      <c r="F311" s="133"/>
      <c r="G311" s="133"/>
      <c r="H311" s="133"/>
      <c r="I311" s="133"/>
      <c r="J311" s="156"/>
      <c r="K311" s="156"/>
      <c r="L311" s="158"/>
      <c r="M311" s="158"/>
      <c r="N311" s="158"/>
      <c r="O311" s="158"/>
      <c r="P311" s="158"/>
      <c r="Q311" s="158"/>
      <c r="R311" s="158"/>
      <c r="S311" s="158"/>
      <c r="T311" s="156"/>
      <c r="U311" s="156"/>
      <c r="V311" s="164">
        <f t="shared" si="133"/>
        <v>6.1392240324767823E-4</v>
      </c>
      <c r="W311" s="164">
        <f t="shared" si="134"/>
        <v>5.8957926073881228E-4</v>
      </c>
      <c r="X311" s="164">
        <f t="shared" si="135"/>
        <v>5.4229637606572029E-4</v>
      </c>
      <c r="Y311" s="164">
        <f t="shared" si="136"/>
        <v>5.07552045056127E-4</v>
      </c>
      <c r="Z311" s="164">
        <f t="shared" si="137"/>
        <v>4.9934153382483486E-4</v>
      </c>
      <c r="AA311" s="164">
        <f t="shared" si="138"/>
        <v>4.934242283270617E-4</v>
      </c>
      <c r="AB311" s="164">
        <f t="shared" si="139"/>
        <v>4.849538169485007E-4</v>
      </c>
      <c r="AC311" s="164">
        <f t="shared" si="140"/>
        <v>4.7546451624474773E-4</v>
      </c>
    </row>
    <row r="312" spans="2:38" hidden="1" outlineLevel="1">
      <c r="B312" s="133"/>
      <c r="C312" s="133"/>
      <c r="D312" s="133"/>
      <c r="E312" s="133"/>
      <c r="F312" s="133"/>
      <c r="G312" s="133"/>
      <c r="H312" s="133"/>
      <c r="I312" s="133"/>
      <c r="J312" s="156"/>
      <c r="K312" s="156"/>
      <c r="L312" s="158"/>
      <c r="M312" s="158"/>
      <c r="N312" s="158"/>
      <c r="O312" s="158"/>
      <c r="P312" s="158"/>
      <c r="Q312" s="158"/>
      <c r="R312" s="158"/>
      <c r="S312" s="158"/>
      <c r="T312" s="156"/>
      <c r="U312" s="156"/>
      <c r="V312" s="164">
        <f t="shared" si="133"/>
        <v>0.2373221408255714</v>
      </c>
      <c r="W312" s="164">
        <f t="shared" si="134"/>
        <v>0.23579917255384913</v>
      </c>
      <c r="X312" s="164">
        <f t="shared" si="135"/>
        <v>0.23259497826537098</v>
      </c>
      <c r="Y312" s="164">
        <f t="shared" si="136"/>
        <v>0.22973300320598891</v>
      </c>
      <c r="Z312" s="164">
        <f t="shared" si="137"/>
        <v>0.22709561891211077</v>
      </c>
      <c r="AA312" s="164">
        <f t="shared" si="138"/>
        <v>0.22378407175882911</v>
      </c>
      <c r="AB312" s="164">
        <f t="shared" si="139"/>
        <v>0.22020413035867434</v>
      </c>
      <c r="AC312" s="164">
        <f t="shared" si="140"/>
        <v>0.21661141069378367</v>
      </c>
    </row>
    <row r="313" spans="2:38" hidden="1" outlineLevel="1">
      <c r="B313" s="133"/>
      <c r="C313" s="133"/>
      <c r="D313" s="133"/>
      <c r="E313" s="133"/>
      <c r="F313" s="133"/>
      <c r="G313" s="133"/>
      <c r="H313" s="133"/>
      <c r="I313" s="133"/>
      <c r="J313" s="156"/>
      <c r="K313" s="156"/>
      <c r="L313" s="158"/>
      <c r="M313" s="158"/>
      <c r="N313" s="158"/>
      <c r="O313" s="158"/>
      <c r="P313" s="158"/>
      <c r="Q313" s="158"/>
      <c r="R313" s="158"/>
      <c r="S313" s="158"/>
      <c r="T313" s="156"/>
      <c r="U313" s="156"/>
      <c r="V313" s="164"/>
      <c r="W313" s="164"/>
      <c r="X313" s="164"/>
      <c r="Y313" s="164"/>
      <c r="Z313" s="164"/>
      <c r="AA313" s="164"/>
      <c r="AB313" s="164"/>
      <c r="AC313" s="164"/>
    </row>
    <row r="314" spans="2:38" hidden="1" outlineLevel="1">
      <c r="B314" s="133"/>
      <c r="C314" s="133"/>
      <c r="D314" s="133"/>
      <c r="E314" s="133"/>
      <c r="F314" s="133"/>
      <c r="G314" s="133"/>
      <c r="H314" s="133"/>
      <c r="I314" s="133"/>
      <c r="J314" s="156"/>
      <c r="K314" s="156"/>
      <c r="L314" s="158"/>
      <c r="M314" s="158"/>
      <c r="N314" s="158"/>
      <c r="O314" s="158"/>
      <c r="P314" s="158"/>
      <c r="Q314" s="158"/>
      <c r="R314" s="158"/>
      <c r="S314" s="158"/>
      <c r="T314" s="156"/>
      <c r="U314" s="156"/>
      <c r="V314" s="164">
        <f>L169/SUM(L$44:L$188)</f>
        <v>1.1590282489279331E-2</v>
      </c>
      <c r="W314" s="164">
        <f t="shared" ref="W314:AC314" si="141">M169/SUM(M$44:M$188)</f>
        <v>1.1491902810458801E-2</v>
      </c>
      <c r="X314" s="164">
        <f t="shared" si="141"/>
        <v>1.0919048799942432E-2</v>
      </c>
      <c r="Y314" s="164">
        <f t="shared" si="141"/>
        <v>1.0814606734907259E-2</v>
      </c>
      <c r="Z314" s="164">
        <f t="shared" si="141"/>
        <v>1.0707961875741571E-2</v>
      </c>
      <c r="AA314" s="164">
        <f t="shared" si="141"/>
        <v>1.0628924352212658E-2</v>
      </c>
      <c r="AB314" s="164">
        <f t="shared" si="141"/>
        <v>1.0599696216429868E-2</v>
      </c>
      <c r="AC314" s="164">
        <f t="shared" si="141"/>
        <v>1.0576373130616185E-2</v>
      </c>
    </row>
    <row r="315" spans="2:38" hidden="1" outlineLevel="1">
      <c r="V315" s="164">
        <f t="shared" ref="V315:V333" si="142">L170/SUM(L$44:L$188)</f>
        <v>9.5832520475904674E-4</v>
      </c>
      <c r="W315" s="164">
        <f t="shared" ref="W315:W333" si="143">M170/SUM(M$44:M$188)</f>
        <v>9.7064307003243329E-4</v>
      </c>
      <c r="X315" s="164">
        <f t="shared" ref="X315:X333" si="144">N170/SUM(N$44:N$188)</f>
        <v>9.836716500660125E-4</v>
      </c>
      <c r="Y315" s="164">
        <f t="shared" ref="Y315:Y333" si="145">O170/SUM(O$44:O$188)</f>
        <v>9.9076883414736354E-4</v>
      </c>
      <c r="Z315" s="164">
        <f t="shared" ref="Z315:Z333" si="146">P170/SUM(P$44:P$188)</f>
        <v>9.9527662662056036E-4</v>
      </c>
      <c r="AA315" s="164">
        <f t="shared" ref="AA315:AA333" si="147">Q170/SUM(Q$44:Q$188)</f>
        <v>9.9898262453152809E-4</v>
      </c>
      <c r="AB315" s="164">
        <f t="shared" ref="AB315:AB333" si="148">R170/SUM(R$44:R$188)</f>
        <v>1.0016586424476286E-3</v>
      </c>
      <c r="AC315" s="164">
        <f t="shared" ref="AC315:AC333" si="149">S170/SUM(S$44:S$188)</f>
        <v>1.0046317678029338E-3</v>
      </c>
    </row>
    <row r="316" spans="2:38" hidden="1" outlineLevel="1">
      <c r="V316" s="164">
        <f t="shared" si="142"/>
        <v>4.5029464544132598E-2</v>
      </c>
      <c r="W316" s="164">
        <f t="shared" si="143"/>
        <v>4.185637985581462E-2</v>
      </c>
      <c r="X316" s="164">
        <f t="shared" si="144"/>
        <v>3.9220855122818678E-2</v>
      </c>
      <c r="Y316" s="164">
        <f t="shared" si="145"/>
        <v>3.8195198700271875E-2</v>
      </c>
      <c r="Z316" s="164">
        <f t="shared" si="146"/>
        <v>3.7442295675933442E-2</v>
      </c>
      <c r="AA316" s="164">
        <f t="shared" si="147"/>
        <v>3.6924805051288041E-2</v>
      </c>
      <c r="AB316" s="164">
        <f t="shared" si="148"/>
        <v>3.6428788883381219E-2</v>
      </c>
      <c r="AC316" s="164">
        <f t="shared" si="149"/>
        <v>3.5950461915152797E-2</v>
      </c>
    </row>
    <row r="317" spans="2:38" hidden="1" outlineLevel="1">
      <c r="V317" s="164">
        <f t="shared" si="142"/>
        <v>5.6123453486257536E-3</v>
      </c>
      <c r="W317" s="164">
        <f t="shared" si="143"/>
        <v>5.5434608323425665E-3</v>
      </c>
      <c r="X317" s="164">
        <f t="shared" si="144"/>
        <v>5.474079967903063E-3</v>
      </c>
      <c r="Y317" s="164">
        <f t="shared" si="145"/>
        <v>5.3641382474144917E-3</v>
      </c>
      <c r="Z317" s="164">
        <f t="shared" si="146"/>
        <v>5.3110462900484452E-3</v>
      </c>
      <c r="AA317" s="164">
        <f t="shared" si="147"/>
        <v>5.2768302896760095E-3</v>
      </c>
      <c r="AB317" s="164">
        <f t="shared" si="148"/>
        <v>5.2499738255773138E-3</v>
      </c>
      <c r="AC317" s="164">
        <f t="shared" si="149"/>
        <v>5.2382467461805854E-3</v>
      </c>
    </row>
    <row r="318" spans="2:38" hidden="1" outlineLevel="1">
      <c r="V318" s="164">
        <f t="shared" si="142"/>
        <v>8.7179623076183276E-3</v>
      </c>
      <c r="W318" s="164">
        <f t="shared" si="143"/>
        <v>8.6780372824690234E-3</v>
      </c>
      <c r="X318" s="164">
        <f t="shared" si="144"/>
        <v>8.600173860045815E-3</v>
      </c>
      <c r="Y318" s="164">
        <f t="shared" si="145"/>
        <v>8.4543716679624063E-3</v>
      </c>
      <c r="Z318" s="164">
        <f t="shared" si="146"/>
        <v>8.3983274037275641E-3</v>
      </c>
      <c r="AA318" s="164">
        <f t="shared" si="147"/>
        <v>8.4092870152418561E-3</v>
      </c>
      <c r="AB318" s="164">
        <f t="shared" si="148"/>
        <v>8.4277357175471367E-3</v>
      </c>
      <c r="AC318" s="164">
        <f t="shared" si="149"/>
        <v>8.4486827911891115E-3</v>
      </c>
    </row>
    <row r="319" spans="2:38" hidden="1" outlineLevel="1">
      <c r="V319" s="164">
        <f t="shared" si="142"/>
        <v>1.6218565363174251E-5</v>
      </c>
      <c r="W319" s="164">
        <f t="shared" si="143"/>
        <v>1.58364518477782E-5</v>
      </c>
      <c r="X319" s="164">
        <f t="shared" si="144"/>
        <v>1.5723260425736171E-5</v>
      </c>
      <c r="Y319" s="164">
        <f t="shared" si="145"/>
        <v>1.5697485929570937E-5</v>
      </c>
      <c r="Z319" s="164">
        <f t="shared" si="146"/>
        <v>1.5773058626536459E-5</v>
      </c>
      <c r="AA319" s="164">
        <f t="shared" si="147"/>
        <v>1.585957029590616E-5</v>
      </c>
      <c r="AB319" s="164">
        <f t="shared" si="148"/>
        <v>1.5946062072092786E-5</v>
      </c>
      <c r="AC319" s="164">
        <f t="shared" si="149"/>
        <v>1.6035371259338974E-5</v>
      </c>
    </row>
    <row r="320" spans="2:38" hidden="1" outlineLevel="1">
      <c r="V320" s="164">
        <f t="shared" si="142"/>
        <v>1.8867053001699659E-3</v>
      </c>
      <c r="W320" s="164">
        <f t="shared" si="143"/>
        <v>1.9507593832408588E-3</v>
      </c>
      <c r="X320" s="164">
        <f t="shared" si="144"/>
        <v>2.0220937161021814E-3</v>
      </c>
      <c r="Y320" s="164">
        <f t="shared" si="145"/>
        <v>2.0476261011199049E-3</v>
      </c>
      <c r="Z320" s="164">
        <f t="shared" si="146"/>
        <v>2.0925216365217233E-3</v>
      </c>
      <c r="AA320" s="164">
        <f t="shared" si="147"/>
        <v>2.1239902908775049E-3</v>
      </c>
      <c r="AB320" s="164">
        <f t="shared" si="148"/>
        <v>2.1557523649940306E-3</v>
      </c>
      <c r="AC320" s="164">
        <f t="shared" si="149"/>
        <v>2.188632390651517E-3</v>
      </c>
    </row>
    <row r="321" spans="1:39" hidden="1" outlineLevel="1">
      <c r="V321" s="164">
        <f t="shared" si="142"/>
        <v>2.4918852021891319E-3</v>
      </c>
      <c r="W321" s="164">
        <f t="shared" si="143"/>
        <v>2.4108102613233161E-3</v>
      </c>
      <c r="X321" s="164">
        <f t="shared" si="144"/>
        <v>2.3088590106976974E-3</v>
      </c>
      <c r="Y321" s="164">
        <f t="shared" si="145"/>
        <v>2.2362450987180827E-3</v>
      </c>
      <c r="Z321" s="164">
        <f t="shared" si="146"/>
        <v>2.1722638352658597E-3</v>
      </c>
      <c r="AA321" s="164">
        <f t="shared" si="147"/>
        <v>2.1209886809288839E-3</v>
      </c>
      <c r="AB321" s="164">
        <f t="shared" si="148"/>
        <v>2.0801849646435375E-3</v>
      </c>
      <c r="AC321" s="164">
        <f t="shared" si="149"/>
        <v>2.0418118055593086E-3</v>
      </c>
    </row>
    <row r="322" spans="1:39" hidden="1" outlineLevel="1">
      <c r="V322" s="164">
        <f t="shared" si="142"/>
        <v>6.9445690833400272E-4</v>
      </c>
      <c r="W322" s="164">
        <f t="shared" si="143"/>
        <v>6.8621154621260102E-4</v>
      </c>
      <c r="X322" s="164">
        <f t="shared" si="144"/>
        <v>6.8276915864608602E-4</v>
      </c>
      <c r="Y322" s="164">
        <f t="shared" si="145"/>
        <v>6.7515800593376794E-4</v>
      </c>
      <c r="Z322" s="164">
        <f t="shared" si="146"/>
        <v>6.6584117620473865E-4</v>
      </c>
      <c r="AA322" s="164">
        <f t="shared" si="147"/>
        <v>6.5737386676185537E-4</v>
      </c>
      <c r="AB322" s="164">
        <f t="shared" si="148"/>
        <v>6.4832535554804538E-4</v>
      </c>
      <c r="AC322" s="164">
        <f t="shared" si="149"/>
        <v>6.3959069557276453E-4</v>
      </c>
    </row>
    <row r="323" spans="1:39" hidden="1" outlineLevel="1">
      <c r="V323" s="164">
        <f t="shared" si="142"/>
        <v>4.48781729730286E-4</v>
      </c>
      <c r="W323" s="164">
        <f t="shared" si="143"/>
        <v>4.5030436827638823E-4</v>
      </c>
      <c r="X323" s="164">
        <f t="shared" si="144"/>
        <v>4.468078540520755E-4</v>
      </c>
      <c r="Y323" s="164">
        <f t="shared" si="145"/>
        <v>4.3605314089014471E-4</v>
      </c>
      <c r="Z323" s="164">
        <f t="shared" si="146"/>
        <v>4.3238192072458465E-4</v>
      </c>
      <c r="AA323" s="164">
        <f t="shared" si="147"/>
        <v>4.3516957850860903E-4</v>
      </c>
      <c r="AB323" s="164">
        <f t="shared" si="148"/>
        <v>4.402604925315225E-4</v>
      </c>
      <c r="AC323" s="164">
        <f t="shared" si="149"/>
        <v>4.4609657900682799E-4</v>
      </c>
    </row>
    <row r="324" spans="1:39" hidden="1" outlineLevel="1">
      <c r="V324" s="164">
        <f t="shared" si="142"/>
        <v>4.48781729730286E-4</v>
      </c>
      <c r="W324" s="164">
        <f t="shared" si="143"/>
        <v>4.5030436827638823E-4</v>
      </c>
      <c r="X324" s="164">
        <f t="shared" si="144"/>
        <v>4.468078540520755E-4</v>
      </c>
      <c r="Y324" s="164">
        <f t="shared" si="145"/>
        <v>4.3605314089014471E-4</v>
      </c>
      <c r="Z324" s="164">
        <f t="shared" si="146"/>
        <v>4.3238192072458465E-4</v>
      </c>
      <c r="AA324" s="164">
        <f t="shared" si="147"/>
        <v>4.3516957850860903E-4</v>
      </c>
      <c r="AB324" s="164">
        <f t="shared" si="148"/>
        <v>4.402604925315225E-4</v>
      </c>
      <c r="AC324" s="164">
        <f t="shared" si="149"/>
        <v>4.4609657900682799E-4</v>
      </c>
    </row>
    <row r="325" spans="1:39" hidden="1" outlineLevel="1">
      <c r="V325" s="164">
        <f t="shared" si="142"/>
        <v>4.48781729730286E-4</v>
      </c>
      <c r="W325" s="164">
        <f t="shared" si="143"/>
        <v>4.5030436827638823E-4</v>
      </c>
      <c r="X325" s="164">
        <f t="shared" si="144"/>
        <v>4.468078540520755E-4</v>
      </c>
      <c r="Y325" s="164">
        <f t="shared" si="145"/>
        <v>4.3605314089014471E-4</v>
      </c>
      <c r="Z325" s="164">
        <f t="shared" si="146"/>
        <v>4.3238192072458465E-4</v>
      </c>
      <c r="AA325" s="164">
        <f t="shared" si="147"/>
        <v>4.3516957850860903E-4</v>
      </c>
      <c r="AB325" s="164">
        <f t="shared" si="148"/>
        <v>4.402604925315225E-4</v>
      </c>
      <c r="AC325" s="164">
        <f t="shared" si="149"/>
        <v>4.4609657900682799E-4</v>
      </c>
    </row>
    <row r="326" spans="1:39" hidden="1" outlineLevel="1">
      <c r="V326" s="164">
        <f t="shared" si="142"/>
        <v>2.9331500149752769E-2</v>
      </c>
      <c r="W326" s="164">
        <f t="shared" si="143"/>
        <v>2.9083116804229512E-2</v>
      </c>
      <c r="X326" s="164">
        <f t="shared" si="144"/>
        <v>2.8914314112852592E-2</v>
      </c>
      <c r="Y326" s="164">
        <f t="shared" si="145"/>
        <v>2.8548423220167301E-2</v>
      </c>
      <c r="Z326" s="164">
        <f t="shared" si="146"/>
        <v>2.8085712801720158E-2</v>
      </c>
      <c r="AA326" s="164">
        <f t="shared" si="147"/>
        <v>2.7793843723540993E-2</v>
      </c>
      <c r="AB326" s="164">
        <f t="shared" si="148"/>
        <v>2.759041686826456E-2</v>
      </c>
      <c r="AC326" s="164">
        <f t="shared" si="149"/>
        <v>2.7412462392565628E-2</v>
      </c>
    </row>
    <row r="327" spans="1:39" hidden="1" outlineLevel="1">
      <c r="V327" s="164">
        <f t="shared" si="142"/>
        <v>4.1280402218242171E-4</v>
      </c>
      <c r="W327" s="164">
        <f t="shared" si="143"/>
        <v>4.1809794401734881E-4</v>
      </c>
      <c r="X327" s="164">
        <f t="shared" si="144"/>
        <v>4.2548966060749121E-4</v>
      </c>
      <c r="Y327" s="164">
        <f t="shared" si="145"/>
        <v>4.2978838460079214E-4</v>
      </c>
      <c r="Z327" s="164">
        <f t="shared" si="146"/>
        <v>4.3298900922482202E-4</v>
      </c>
      <c r="AA327" s="164">
        <f t="shared" si="147"/>
        <v>4.3753254804262997E-4</v>
      </c>
      <c r="AB327" s="164">
        <f t="shared" si="148"/>
        <v>4.4208491556252687E-4</v>
      </c>
      <c r="AC327" s="164">
        <f t="shared" si="149"/>
        <v>4.4682242070766758E-4</v>
      </c>
    </row>
    <row r="328" spans="1:39" hidden="1" outlineLevel="1">
      <c r="V328" s="164">
        <f t="shared" si="142"/>
        <v>1.1128986182245303E-3</v>
      </c>
      <c r="W328" s="164">
        <f t="shared" si="143"/>
        <v>1.1371014858391536E-3</v>
      </c>
      <c r="X328" s="164">
        <f t="shared" si="144"/>
        <v>1.1590628092550822E-3</v>
      </c>
      <c r="Y328" s="164">
        <f t="shared" si="145"/>
        <v>1.1797437838074363E-3</v>
      </c>
      <c r="Z328" s="164">
        <f t="shared" si="146"/>
        <v>1.203350588887087E-3</v>
      </c>
      <c r="AA328" s="164">
        <f t="shared" si="147"/>
        <v>1.2310964832179883E-3</v>
      </c>
      <c r="AB328" s="164">
        <f t="shared" si="148"/>
        <v>1.2570073089914506E-3</v>
      </c>
      <c r="AC328" s="164">
        <f t="shared" si="149"/>
        <v>1.2826291392245175E-3</v>
      </c>
    </row>
    <row r="329" spans="1:39" hidden="1" outlineLevel="1">
      <c r="V329" s="164">
        <f t="shared" si="142"/>
        <v>7.9913542382243296E-4</v>
      </c>
      <c r="W329" s="164">
        <f t="shared" si="143"/>
        <v>7.9478948722974262E-4</v>
      </c>
      <c r="X329" s="164">
        <f t="shared" si="144"/>
        <v>8.0412175718212926E-4</v>
      </c>
      <c r="Y329" s="164">
        <f t="shared" si="145"/>
        <v>8.0735860172158303E-4</v>
      </c>
      <c r="Z329" s="164">
        <f t="shared" si="146"/>
        <v>8.1099153965962986E-4</v>
      </c>
      <c r="AA329" s="164">
        <f t="shared" si="147"/>
        <v>8.146284248502565E-4</v>
      </c>
      <c r="AB329" s="164">
        <f t="shared" si="148"/>
        <v>8.1781526309686987E-4</v>
      </c>
      <c r="AC329" s="164">
        <f t="shared" si="149"/>
        <v>8.2121348011049498E-4</v>
      </c>
    </row>
    <row r="330" spans="1:39" hidden="1" outlineLevel="1">
      <c r="V330" s="164">
        <f t="shared" si="142"/>
        <v>5.0336653023553175E-3</v>
      </c>
      <c r="W330" s="164">
        <f t="shared" si="143"/>
        <v>5.022458483056335E-3</v>
      </c>
      <c r="X330" s="164">
        <f t="shared" si="144"/>
        <v>5.076939633083039E-3</v>
      </c>
      <c r="Y330" s="164">
        <f t="shared" si="145"/>
        <v>5.0383709203681579E-3</v>
      </c>
      <c r="Z330" s="164">
        <f t="shared" si="146"/>
        <v>5.0495485397610345E-3</v>
      </c>
      <c r="AA330" s="164">
        <f t="shared" si="147"/>
        <v>5.0777980044658423E-3</v>
      </c>
      <c r="AB330" s="164">
        <f t="shared" si="148"/>
        <v>5.0998167543459825E-3</v>
      </c>
      <c r="AC330" s="164">
        <f t="shared" si="149"/>
        <v>5.1191609544994068E-3</v>
      </c>
    </row>
    <row r="331" spans="1:39" hidden="1" outlineLevel="1">
      <c r="V331" s="164">
        <f t="shared" si="142"/>
        <v>1.7781593853841875E-3</v>
      </c>
      <c r="W331" s="164">
        <f t="shared" si="143"/>
        <v>1.6984952455900552E-3</v>
      </c>
      <c r="X331" s="164">
        <f t="shared" si="144"/>
        <v>1.6078688536710322E-3</v>
      </c>
      <c r="Y331" s="164">
        <f t="shared" si="145"/>
        <v>1.5106724157512481E-3</v>
      </c>
      <c r="Z331" s="164">
        <f t="shared" si="146"/>
        <v>1.4226894155469061E-3</v>
      </c>
      <c r="AA331" s="164">
        <f t="shared" si="147"/>
        <v>1.3564509525971068E-3</v>
      </c>
      <c r="AB331" s="164">
        <f t="shared" si="148"/>
        <v>1.295824176905249E-3</v>
      </c>
      <c r="AC331" s="164">
        <f t="shared" si="149"/>
        <v>1.2407595337445042E-3</v>
      </c>
    </row>
    <row r="332" spans="1:39" hidden="1" outlineLevel="1">
      <c r="V332" s="164">
        <f t="shared" si="142"/>
        <v>9.7263730567986634E-4</v>
      </c>
      <c r="W332" s="164">
        <f t="shared" si="143"/>
        <v>9.4299108960800549E-4</v>
      </c>
      <c r="X332" s="164">
        <f t="shared" si="144"/>
        <v>9.2988286320847013E-4</v>
      </c>
      <c r="Y332" s="164">
        <f t="shared" si="145"/>
        <v>9.3030444390012723E-4</v>
      </c>
      <c r="Z332" s="164">
        <f t="shared" si="146"/>
        <v>9.2643953612142811E-4</v>
      </c>
      <c r="AA332" s="164">
        <f t="shared" si="147"/>
        <v>9.2362305560869879E-4</v>
      </c>
      <c r="AB332" s="164">
        <f t="shared" si="148"/>
        <v>9.207389292271729E-4</v>
      </c>
      <c r="AC332" s="164">
        <f t="shared" si="149"/>
        <v>9.1723469669262368E-4</v>
      </c>
      <c r="AE332" s="166" t="s">
        <v>403</v>
      </c>
      <c r="AF332" s="167">
        <f t="shared" ref="AF332:AM332" si="150">SUMPRODUCT(V297:V312,B149:B164)+SUMPRODUCT(V314:V333,B169:B188)+SUMPRODUCT(B44:B144,V195:V295)</f>
        <v>5.4140120830508717E-2</v>
      </c>
      <c r="AG332" s="167">
        <f t="shared" si="150"/>
        <v>4.7725868364674365E-2</v>
      </c>
      <c r="AH332" s="167">
        <f t="shared" si="150"/>
        <v>4.2790936605117576E-2</v>
      </c>
      <c r="AI332" s="167">
        <f t="shared" si="150"/>
        <v>5.3217485170245118E-2</v>
      </c>
      <c r="AJ332" s="167">
        <f t="shared" si="150"/>
        <v>5.5854339247827116E-2</v>
      </c>
      <c r="AK332" s="167">
        <f t="shared" si="150"/>
        <v>5.6620297460112122E-2</v>
      </c>
      <c r="AL332" s="167">
        <f t="shared" si="150"/>
        <v>5.6368090168532475E-2</v>
      </c>
      <c r="AM332" s="167">
        <f t="shared" si="150"/>
        <v>5.5762900179805043E-2</v>
      </c>
    </row>
    <row r="333" spans="1:39" hidden="1" outlineLevel="1">
      <c r="V333" s="164">
        <f t="shared" si="142"/>
        <v>1.4182461338739477E-3</v>
      </c>
      <c r="W333" s="164">
        <f t="shared" si="143"/>
        <v>9.8503511254980605E-4</v>
      </c>
      <c r="X333" s="164">
        <f t="shared" si="144"/>
        <v>8.6380520561310081E-4</v>
      </c>
      <c r="Y333" s="164">
        <f t="shared" si="145"/>
        <v>8.1814394919700248E-4</v>
      </c>
      <c r="Z333" s="164">
        <f t="shared" si="146"/>
        <v>8.5775983893717194E-4</v>
      </c>
      <c r="AA333" s="164">
        <f t="shared" si="147"/>
        <v>9.4111115896183557E-4</v>
      </c>
      <c r="AB333" s="164">
        <f t="shared" si="148"/>
        <v>9.7711460885373095E-4</v>
      </c>
      <c r="AC333" s="164">
        <f t="shared" si="149"/>
        <v>9.9722054201541329E-4</v>
      </c>
      <c r="AE333" s="955" t="s">
        <v>404</v>
      </c>
      <c r="AF333" s="956">
        <f t="shared" ref="AF333:AM333" si="151">AF332^1/4</f>
        <v>1.3535030207627179E-2</v>
      </c>
      <c r="AG333" s="956">
        <f t="shared" si="151"/>
        <v>1.1931467091168591E-2</v>
      </c>
      <c r="AH333" s="956">
        <f t="shared" si="151"/>
        <v>1.0697734151279394E-2</v>
      </c>
      <c r="AI333" s="956">
        <f t="shared" si="151"/>
        <v>1.330437129256128E-2</v>
      </c>
      <c r="AJ333" s="956">
        <f t="shared" si="151"/>
        <v>1.3963584811956779E-2</v>
      </c>
      <c r="AK333" s="956">
        <f t="shared" si="151"/>
        <v>1.4155074365028031E-2</v>
      </c>
      <c r="AL333" s="956">
        <f t="shared" si="151"/>
        <v>1.4092022542133119E-2</v>
      </c>
      <c r="AM333" s="956">
        <f t="shared" si="151"/>
        <v>1.3940725044951261E-2</v>
      </c>
    </row>
    <row r="334" spans="1:39" s="152" customFormat="1" collapsed="1">
      <c r="V334" s="957"/>
    </row>
    <row r="335" spans="1:39">
      <c r="A335" s="2" t="s">
        <v>576</v>
      </c>
      <c r="V335" s="165"/>
    </row>
    <row r="336" spans="1:39">
      <c r="B336" s="1426" t="s">
        <v>446</v>
      </c>
      <c r="C336" s="1427"/>
      <c r="D336" s="1427"/>
      <c r="E336" s="1427"/>
      <c r="G336" s="1403" t="s">
        <v>857</v>
      </c>
      <c r="H336" s="1403"/>
      <c r="I336" s="1403"/>
    </row>
    <row r="337" spans="1:9" ht="15.75" customHeight="1">
      <c r="A337" s="2"/>
      <c r="B337" s="1400"/>
      <c r="C337" s="1428" t="s">
        <v>908</v>
      </c>
      <c r="D337" s="1358" t="s">
        <v>450</v>
      </c>
      <c r="E337" s="1428" t="s">
        <v>447</v>
      </c>
      <c r="G337" s="1415" t="s">
        <v>856</v>
      </c>
      <c r="H337" s="1415" t="s">
        <v>742</v>
      </c>
      <c r="I337" s="1415" t="s">
        <v>445</v>
      </c>
    </row>
    <row r="338" spans="1:9">
      <c r="A338" s="2"/>
      <c r="B338" s="1420" t="s">
        <v>440</v>
      </c>
      <c r="C338" s="1421">
        <v>73</v>
      </c>
      <c r="D338" s="1424">
        <v>5.6000000000000001E-2</v>
      </c>
      <c r="E338" s="1424">
        <f>C338/SUM($C$338:$C$342)</f>
        <v>0.50240880935994492</v>
      </c>
      <c r="G338" s="1416" t="s">
        <v>438</v>
      </c>
      <c r="H338" s="1417">
        <f>SUMPRODUCT(D343:D344,E343:E344)</f>
        <v>8.19254498714653E-2</v>
      </c>
      <c r="I338" s="1418">
        <f>SUM(C343:C344)</f>
        <v>77.8</v>
      </c>
    </row>
    <row r="339" spans="1:9">
      <c r="A339" s="2"/>
      <c r="B339" s="1420" t="s">
        <v>441</v>
      </c>
      <c r="C339" s="1421">
        <v>48.1</v>
      </c>
      <c r="D339" s="1424">
        <v>3.5000000000000003E-2</v>
      </c>
      <c r="E339" s="1424">
        <f>C339/SUM($C$338:$C$342)</f>
        <v>0.33103922918100481</v>
      </c>
      <c r="G339" s="1419" t="s">
        <v>448</v>
      </c>
      <c r="H339" s="1420">
        <f>SUMPRODUCT(D338:D342,E338:E342)</f>
        <v>5.1648313833448034E-2</v>
      </c>
      <c r="I339" s="1421">
        <f>C338+C339+C340+C341+C342</f>
        <v>145.30000000000001</v>
      </c>
    </row>
    <row r="340" spans="1:9">
      <c r="A340" s="2"/>
      <c r="B340" s="1420" t="s">
        <v>442</v>
      </c>
      <c r="C340" s="1421">
        <v>4.7</v>
      </c>
      <c r="D340" s="1424">
        <v>5.5E-2</v>
      </c>
      <c r="E340" s="1424">
        <f>C340/SUM($C$338:$C$342)</f>
        <v>3.2346868547832072E-2</v>
      </c>
      <c r="G340" s="1422" t="s">
        <v>172</v>
      </c>
      <c r="H340" s="1423">
        <f>(1+20%)^0.1-1</f>
        <v>1.8399376147024249E-2</v>
      </c>
      <c r="I340" s="1422"/>
    </row>
    <row r="341" spans="1:9">
      <c r="A341" s="2"/>
      <c r="B341" s="1420" t="s">
        <v>408</v>
      </c>
      <c r="C341" s="1421">
        <v>7.5</v>
      </c>
      <c r="D341" s="1424">
        <v>6.7000000000000004E-2</v>
      </c>
      <c r="E341" s="1424">
        <f>C341/SUM($C$338:$C$342)</f>
        <v>5.1617343427391597E-2</v>
      </c>
      <c r="F341" s="869"/>
      <c r="G341" s="163"/>
      <c r="H341" s="163"/>
      <c r="I341" s="159"/>
    </row>
    <row r="342" spans="1:9">
      <c r="A342" s="2"/>
      <c r="B342" s="1420" t="s">
        <v>443</v>
      </c>
      <c r="C342" s="1421">
        <v>12</v>
      </c>
      <c r="D342" s="1424">
        <v>8.1000000000000003E-2</v>
      </c>
      <c r="E342" s="1424">
        <f>C342/SUM($C$338:$C$342)</f>
        <v>8.2587749483826564E-2</v>
      </c>
      <c r="F342" s="869"/>
      <c r="G342" s="163"/>
      <c r="H342" s="163"/>
      <c r="I342" s="159"/>
    </row>
    <row r="343" spans="1:9">
      <c r="A343" s="2"/>
      <c r="B343" s="1420" t="s">
        <v>438</v>
      </c>
      <c r="C343" s="1421">
        <v>61.6</v>
      </c>
      <c r="D343" s="1424">
        <v>9.9000000000000005E-2</v>
      </c>
      <c r="E343" s="1424">
        <f>C343/SUM($C$343:$C$344)</f>
        <v>0.79177377892030854</v>
      </c>
      <c r="F343" s="869"/>
      <c r="G343" s="163"/>
      <c r="H343" s="163"/>
      <c r="I343" s="159"/>
    </row>
    <row r="344" spans="1:9">
      <c r="A344" s="2"/>
      <c r="B344" s="1420" t="s">
        <v>291</v>
      </c>
      <c r="C344" s="1421">
        <v>16.2</v>
      </c>
      <c r="D344" s="1424">
        <v>1.7000000000000001E-2</v>
      </c>
      <c r="E344" s="1424">
        <f>C344/SUM($C$343:$C$344)</f>
        <v>0.20822622107969152</v>
      </c>
      <c r="F344" s="869"/>
      <c r="G344" s="163"/>
      <c r="H344" s="163"/>
      <c r="I344" s="159"/>
    </row>
    <row r="345" spans="1:9">
      <c r="A345" s="2"/>
      <c r="B345" s="1423" t="s">
        <v>444</v>
      </c>
      <c r="C345" s="1431">
        <f>SUM(C338:C344)</f>
        <v>223.1</v>
      </c>
      <c r="D345" s="1425">
        <v>0.06</v>
      </c>
      <c r="E345" s="1425"/>
      <c r="F345" s="163"/>
      <c r="G345" s="163"/>
      <c r="H345" s="163"/>
      <c r="I345" s="159"/>
    </row>
    <row r="346" spans="1:9">
      <c r="A346" s="2"/>
      <c r="B346" s="163"/>
      <c r="C346" s="869"/>
      <c r="D346" s="883"/>
      <c r="F346" s="163"/>
      <c r="G346" s="163"/>
      <c r="H346" s="163"/>
      <c r="I346" s="159"/>
    </row>
    <row r="347" spans="1:9">
      <c r="A347" s="2"/>
      <c r="B347" s="1429"/>
      <c r="C347" s="1429"/>
      <c r="D347" s="1429" t="s">
        <v>718</v>
      </c>
      <c r="E347" s="163"/>
      <c r="F347" s="163"/>
      <c r="G347" s="163"/>
      <c r="H347" s="163"/>
      <c r="I347" s="159"/>
    </row>
    <row r="348" spans="1:9">
      <c r="A348" s="2"/>
      <c r="B348" s="1430" t="s">
        <v>738</v>
      </c>
      <c r="C348" s="1430"/>
      <c r="D348" s="1430">
        <v>0.06</v>
      </c>
      <c r="E348" s="163"/>
      <c r="F348" s="163"/>
      <c r="G348" s="163"/>
      <c r="H348" s="163"/>
      <c r="I348" s="159"/>
    </row>
    <row r="349" spans="1:9">
      <c r="A349" s="2"/>
      <c r="B349" s="163"/>
      <c r="C349" s="163"/>
      <c r="D349" s="163"/>
      <c r="E349" s="163"/>
      <c r="F349" s="163"/>
      <c r="G349" s="163"/>
      <c r="H349" s="163"/>
      <c r="I349" s="159"/>
    </row>
    <row r="350" spans="1:9">
      <c r="A350" s="2"/>
      <c r="D350" s="163"/>
      <c r="E350" s="163"/>
      <c r="F350" s="163"/>
      <c r="G350" s="163"/>
      <c r="H350" s="163"/>
      <c r="I350" s="159"/>
    </row>
    <row r="351" spans="1:9">
      <c r="A351" s="2"/>
      <c r="D351" s="163"/>
      <c r="E351" s="163"/>
      <c r="F351" s="163"/>
      <c r="G351" s="163"/>
      <c r="H351" s="163"/>
      <c r="I351" s="159"/>
    </row>
    <row r="352" spans="1:9">
      <c r="A352" s="2"/>
      <c r="D352" s="163"/>
      <c r="E352" s="163"/>
      <c r="F352" s="163"/>
      <c r="G352" s="163"/>
      <c r="H352" s="163"/>
      <c r="I352" s="159"/>
    </row>
    <row r="353" spans="1:9">
      <c r="A353" s="2"/>
      <c r="D353" s="163"/>
      <c r="E353" s="163"/>
      <c r="F353" s="163"/>
      <c r="G353" s="163"/>
      <c r="H353" s="163"/>
      <c r="I353" s="159"/>
    </row>
    <row r="354" spans="1:9">
      <c r="A354" s="2"/>
      <c r="B354" s="163"/>
      <c r="C354" s="163"/>
      <c r="D354" s="163"/>
      <c r="E354" s="163"/>
      <c r="F354" s="163"/>
      <c r="G354" s="163"/>
      <c r="H354" s="163"/>
    </row>
    <row r="355" spans="1:9">
      <c r="A355" s="2"/>
      <c r="B355" s="163"/>
      <c r="C355" s="163"/>
      <c r="D355" s="163"/>
      <c r="E355" s="163"/>
      <c r="F355" s="163"/>
      <c r="G355" s="163"/>
      <c r="H355" s="163"/>
    </row>
    <row r="356" spans="1:9">
      <c r="A356" s="2"/>
      <c r="B356" s="163"/>
      <c r="C356" s="163"/>
      <c r="D356" s="163"/>
      <c r="E356" s="163"/>
      <c r="F356" s="163"/>
      <c r="G356" s="163"/>
      <c r="H356" s="163"/>
    </row>
    <row r="357" spans="1:9">
      <c r="A357" s="2"/>
      <c r="B357" s="163"/>
      <c r="C357" s="163"/>
      <c r="D357" s="163"/>
      <c r="E357" s="163"/>
      <c r="F357" s="163"/>
      <c r="G357" s="163"/>
      <c r="H357" s="163"/>
    </row>
    <row r="358" spans="1:9">
      <c r="A358" s="2"/>
      <c r="B358" s="163"/>
      <c r="C358" s="163"/>
      <c r="D358" s="163"/>
      <c r="E358" s="163"/>
      <c r="F358" s="163"/>
      <c r="G358" s="163"/>
      <c r="H358" s="163"/>
    </row>
    <row r="359" spans="1:9">
      <c r="A359" s="2"/>
      <c r="B359" s="163"/>
      <c r="C359" s="163"/>
      <c r="D359" s="163"/>
      <c r="E359" s="163"/>
      <c r="F359" s="163"/>
      <c r="G359" s="163"/>
      <c r="H359" s="163"/>
    </row>
    <row r="360" spans="1:9">
      <c r="A360" s="2"/>
      <c r="B360" s="163"/>
      <c r="C360" s="163"/>
      <c r="D360" s="163"/>
      <c r="E360" s="163"/>
      <c r="F360" s="163"/>
      <c r="G360" s="163"/>
      <c r="H360" s="163"/>
    </row>
    <row r="361" spans="1:9">
      <c r="A361" s="2"/>
      <c r="B361" s="163"/>
      <c r="C361" s="163"/>
      <c r="D361" s="163"/>
      <c r="E361" s="163"/>
      <c r="F361" s="163"/>
      <c r="G361" s="163"/>
      <c r="H361" s="163"/>
    </row>
    <row r="362" spans="1:9">
      <c r="A362" s="2"/>
      <c r="B362" s="163"/>
      <c r="C362" s="163"/>
      <c r="D362" s="163"/>
      <c r="E362" s="163"/>
      <c r="F362" s="163"/>
      <c r="G362" s="163"/>
      <c r="H362" s="163"/>
    </row>
    <row r="363" spans="1:9">
      <c r="A363" s="2"/>
      <c r="B363" s="163"/>
      <c r="C363" s="163"/>
      <c r="D363" s="163"/>
      <c r="E363" s="163"/>
      <c r="F363" s="163"/>
      <c r="G363" s="163"/>
      <c r="H363" s="163"/>
    </row>
    <row r="364" spans="1:9">
      <c r="A364" s="2"/>
      <c r="B364" s="163"/>
      <c r="C364" s="163"/>
      <c r="D364" s="163"/>
      <c r="E364" s="163"/>
      <c r="F364" s="163"/>
      <c r="G364" s="163"/>
      <c r="H364" s="163"/>
    </row>
    <row r="365" spans="1:9">
      <c r="A365" s="2"/>
      <c r="B365" s="163"/>
      <c r="C365" s="163"/>
      <c r="D365" s="163"/>
      <c r="E365" s="163"/>
      <c r="F365" s="163"/>
      <c r="G365" s="163"/>
      <c r="H365" s="163"/>
    </row>
    <row r="366" spans="1:9">
      <c r="A366" s="2"/>
      <c r="B366" s="163"/>
      <c r="C366" s="163"/>
      <c r="D366" s="163"/>
      <c r="E366" s="163"/>
      <c r="F366" s="163"/>
      <c r="G366" s="163"/>
    </row>
    <row r="367" spans="1:9">
      <c r="A367" s="2"/>
      <c r="B367" s="163"/>
      <c r="C367" s="163"/>
      <c r="D367" s="163"/>
      <c r="E367" s="163"/>
      <c r="F367" s="163"/>
      <c r="G367" s="163"/>
      <c r="H367" s="163"/>
    </row>
    <row r="368" spans="1:9">
      <c r="A368" s="2"/>
      <c r="B368" s="163"/>
      <c r="C368" s="163"/>
      <c r="D368" s="163"/>
      <c r="E368" s="163"/>
      <c r="F368" s="163"/>
      <c r="G368" s="163"/>
      <c r="H368" s="163"/>
    </row>
    <row r="369" spans="1:8">
      <c r="A369" s="2"/>
      <c r="B369" s="163"/>
      <c r="C369" s="163"/>
      <c r="D369" s="163"/>
      <c r="E369" s="163"/>
      <c r="F369" s="163"/>
      <c r="G369" s="163"/>
      <c r="H369" s="163"/>
    </row>
    <row r="370" spans="1:8">
      <c r="A370" s="2"/>
      <c r="B370" s="163"/>
      <c r="C370" s="163"/>
      <c r="D370" s="163"/>
      <c r="E370" s="163"/>
      <c r="F370" s="163"/>
      <c r="G370" s="163"/>
      <c r="H370" s="163"/>
    </row>
    <row r="371" spans="1:8">
      <c r="A371" s="2"/>
      <c r="B371" s="163"/>
      <c r="C371" s="163"/>
      <c r="D371" s="163"/>
      <c r="E371" s="163"/>
      <c r="F371" s="163"/>
      <c r="G371" s="163"/>
      <c r="H371" s="163"/>
    </row>
    <row r="372" spans="1:8">
      <c r="A372" s="2"/>
      <c r="B372" s="163"/>
      <c r="C372" s="163"/>
      <c r="D372" s="163"/>
      <c r="E372" s="163"/>
      <c r="F372" s="163"/>
      <c r="G372" s="163"/>
      <c r="H372" s="163"/>
    </row>
    <row r="373" spans="1:8">
      <c r="A373" s="2"/>
      <c r="B373" s="163"/>
      <c r="C373" s="163"/>
      <c r="D373" s="163"/>
      <c r="E373" s="163"/>
      <c r="F373" s="163"/>
      <c r="G373" s="163"/>
      <c r="H373" s="163"/>
    </row>
    <row r="374" spans="1:8">
      <c r="A374" s="2"/>
      <c r="B374" s="163"/>
      <c r="C374" s="163"/>
      <c r="D374" s="163"/>
      <c r="E374" s="163"/>
      <c r="F374" s="163"/>
      <c r="G374" s="163"/>
      <c r="H374" s="163"/>
    </row>
    <row r="375" spans="1:8">
      <c r="A375" s="2"/>
      <c r="B375" s="163"/>
      <c r="C375" s="163"/>
      <c r="D375" s="163"/>
      <c r="E375" s="163"/>
      <c r="F375" s="163"/>
      <c r="G375" s="163"/>
      <c r="H375" s="163"/>
    </row>
    <row r="376" spans="1:8">
      <c r="A376" s="2"/>
      <c r="B376" s="163"/>
      <c r="C376" s="163"/>
      <c r="D376" s="163"/>
      <c r="E376" s="163"/>
      <c r="F376" s="163"/>
      <c r="G376" s="163"/>
      <c r="H376" s="163"/>
    </row>
    <row r="377" spans="1:8">
      <c r="A377" s="2"/>
      <c r="B377" s="163"/>
      <c r="C377" s="163"/>
      <c r="D377" s="163"/>
      <c r="E377" s="163"/>
      <c r="F377" s="163"/>
      <c r="G377" s="163"/>
      <c r="H377" s="163"/>
    </row>
    <row r="378" spans="1:8">
      <c r="A378" s="2"/>
      <c r="B378" s="163"/>
      <c r="C378" s="163"/>
      <c r="D378" s="163"/>
      <c r="E378" s="163"/>
      <c r="F378" s="163"/>
      <c r="G378" s="163"/>
      <c r="H378" s="163"/>
    </row>
    <row r="379" spans="1:8">
      <c r="A379" s="2"/>
      <c r="B379" s="163"/>
      <c r="C379" s="163"/>
      <c r="D379" s="163"/>
      <c r="E379" s="163"/>
      <c r="F379" s="163"/>
      <c r="G379" s="163"/>
      <c r="H379" s="163"/>
    </row>
    <row r="380" spans="1:8">
      <c r="A380" s="2"/>
      <c r="B380" s="163"/>
      <c r="C380" s="163"/>
      <c r="D380" s="163"/>
      <c r="E380" s="163"/>
      <c r="F380" s="163"/>
      <c r="G380" s="163"/>
      <c r="H380" s="163"/>
    </row>
    <row r="381" spans="1:8">
      <c r="A381" s="2"/>
      <c r="B381" s="163"/>
      <c r="C381" s="163"/>
      <c r="D381" s="163"/>
      <c r="E381" s="163"/>
      <c r="F381" s="163"/>
      <c r="G381" s="163"/>
      <c r="H381" s="163"/>
    </row>
    <row r="382" spans="1:8">
      <c r="A382" s="2"/>
      <c r="B382" s="163"/>
      <c r="C382" s="163"/>
      <c r="D382" s="163"/>
      <c r="E382" s="163"/>
      <c r="F382" s="163"/>
      <c r="G382" s="163"/>
      <c r="H382" s="163"/>
    </row>
    <row r="383" spans="1:8">
      <c r="A383" s="2"/>
      <c r="B383" s="163"/>
      <c r="C383" s="163"/>
      <c r="D383" s="163"/>
      <c r="E383" s="163"/>
      <c r="F383" s="163"/>
      <c r="G383" s="163"/>
      <c r="H383" s="163"/>
    </row>
    <row r="384" spans="1:8">
      <c r="A384" s="2"/>
      <c r="B384" s="163"/>
      <c r="C384" s="163"/>
      <c r="D384" s="163"/>
      <c r="E384" s="163"/>
      <c r="F384" s="163"/>
      <c r="G384" s="163"/>
      <c r="H384" s="163"/>
    </row>
    <row r="385" spans="1:8">
      <c r="A385" s="2"/>
      <c r="B385" s="163"/>
      <c r="C385" s="163"/>
      <c r="D385" s="163"/>
      <c r="E385" s="163"/>
      <c r="F385" s="163"/>
      <c r="G385" s="163"/>
      <c r="H385" s="163"/>
    </row>
    <row r="386" spans="1:8">
      <c r="A386" s="2"/>
      <c r="B386" s="163"/>
      <c r="C386" s="163"/>
      <c r="D386" s="163"/>
      <c r="E386" s="163"/>
      <c r="F386" s="163"/>
      <c r="G386" s="163"/>
      <c r="H386" s="163"/>
    </row>
    <row r="387" spans="1:8">
      <c r="A387" s="2"/>
      <c r="B387" s="163"/>
      <c r="C387" s="163"/>
      <c r="D387" s="163"/>
      <c r="E387" s="163"/>
      <c r="F387" s="163"/>
      <c r="G387" s="163"/>
      <c r="H387" s="163"/>
    </row>
    <row r="388" spans="1:8">
      <c r="A388" s="2"/>
      <c r="B388" s="163"/>
      <c r="C388" s="163"/>
      <c r="D388" s="163"/>
      <c r="E388" s="163"/>
      <c r="F388" s="163"/>
      <c r="G388" s="163"/>
      <c r="H388" s="163"/>
    </row>
    <row r="389" spans="1:8">
      <c r="A389" s="2"/>
      <c r="B389" s="163"/>
      <c r="C389" s="163"/>
      <c r="D389" s="163"/>
      <c r="E389" s="163"/>
      <c r="F389" s="163"/>
      <c r="G389" s="163"/>
      <c r="H389" s="163"/>
    </row>
    <row r="390" spans="1:8">
      <c r="A390" s="2"/>
      <c r="B390" s="163"/>
      <c r="C390" s="163"/>
      <c r="D390" s="163"/>
      <c r="E390" s="163"/>
      <c r="F390" s="163"/>
      <c r="G390" s="163"/>
      <c r="H390" s="163"/>
    </row>
    <row r="391" spans="1:8">
      <c r="A391" s="2"/>
      <c r="B391" s="163"/>
      <c r="C391" s="163"/>
      <c r="D391" s="163"/>
      <c r="E391" s="163"/>
      <c r="F391" s="163"/>
      <c r="G391" s="163"/>
      <c r="H391" s="163"/>
    </row>
    <row r="392" spans="1:8">
      <c r="A392" s="2"/>
      <c r="B392" s="163"/>
      <c r="C392" s="163"/>
      <c r="D392" s="163"/>
      <c r="E392" s="163"/>
      <c r="F392" s="163"/>
      <c r="G392" s="163"/>
      <c r="H392" s="163"/>
    </row>
    <row r="393" spans="1:8">
      <c r="A393" s="2"/>
      <c r="B393" s="163"/>
      <c r="C393" s="163"/>
      <c r="D393" s="163"/>
      <c r="E393" s="163"/>
      <c r="F393" s="163"/>
      <c r="G393" s="163"/>
      <c r="H393" s="163"/>
    </row>
    <row r="394" spans="1:8">
      <c r="A394" s="2"/>
      <c r="B394" s="163"/>
      <c r="C394" s="163"/>
      <c r="D394" s="163"/>
      <c r="E394" s="163"/>
      <c r="F394" s="163"/>
      <c r="G394" s="163"/>
      <c r="H394" s="163"/>
    </row>
    <row r="395" spans="1:8">
      <c r="A395" s="2"/>
      <c r="B395" s="163"/>
      <c r="C395" s="163"/>
      <c r="D395" s="163"/>
      <c r="E395" s="163"/>
      <c r="F395" s="163"/>
      <c r="G395" s="163"/>
      <c r="H395" s="163"/>
    </row>
    <row r="396" spans="1:8">
      <c r="B396" s="163"/>
      <c r="C396" s="163"/>
      <c r="D396" s="163"/>
    </row>
  </sheetData>
  <sortState ref="K342:AJ430">
    <sortCondition ref="K342:K430"/>
  </sortState>
  <conditionalFormatting sqref="A22">
    <cfRule type="duplicateValues" dxfId="7" priority="3"/>
  </conditionalFormatting>
  <conditionalFormatting sqref="A159:A160">
    <cfRule type="duplicateValues" dxfId="6" priority="2"/>
  </conditionalFormatting>
  <conditionalFormatting sqref="A161">
    <cfRule type="duplicateValues" dxfId="5" priority="1"/>
  </conditionalFormatting>
  <conditionalFormatting sqref="A195 A162:A188 A23:A36 A1:A21 A39:A158">
    <cfRule type="duplicateValues" dxfId="4" priority="999"/>
  </conditionalFormatting>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X347"/>
  <sheetViews>
    <sheetView topLeftCell="A180" zoomScale="85" zoomScaleNormal="85" workbookViewId="0">
      <selection activeCell="D197" sqref="D197"/>
    </sheetView>
  </sheetViews>
  <sheetFormatPr defaultColWidth="11" defaultRowHeight="15.75"/>
  <cols>
    <col min="1" max="1" width="32.125" customWidth="1"/>
  </cols>
  <sheetData>
    <row r="1" spans="1:24">
      <c r="A1" s="139" t="s">
        <v>205</v>
      </c>
      <c r="B1" s="139" t="s">
        <v>206</v>
      </c>
      <c r="C1" s="139">
        <v>2013</v>
      </c>
      <c r="D1" s="139">
        <v>2014</v>
      </c>
      <c r="E1" s="139">
        <v>2015</v>
      </c>
      <c r="F1" s="139">
        <v>2016</v>
      </c>
      <c r="G1" s="139">
        <v>2017</v>
      </c>
      <c r="H1" s="139">
        <v>2018</v>
      </c>
      <c r="I1" s="139">
        <v>2019</v>
      </c>
      <c r="J1" s="139">
        <v>2020</v>
      </c>
      <c r="K1" s="139">
        <v>2021</v>
      </c>
      <c r="L1">
        <v>2022</v>
      </c>
      <c r="M1" s="139" t="s">
        <v>207</v>
      </c>
      <c r="N1" t="s">
        <v>400</v>
      </c>
      <c r="O1" s="156">
        <v>2013</v>
      </c>
      <c r="P1" s="156">
        <v>2014</v>
      </c>
      <c r="Q1" s="156">
        <v>2015</v>
      </c>
      <c r="R1" s="156">
        <v>2016</v>
      </c>
      <c r="S1" s="156">
        <v>2017</v>
      </c>
      <c r="T1" s="156">
        <v>2018</v>
      </c>
      <c r="U1" s="156">
        <v>2019</v>
      </c>
      <c r="V1" s="156">
        <v>2020</v>
      </c>
      <c r="W1" s="156">
        <v>2021</v>
      </c>
      <c r="X1" s="851">
        <v>2021</v>
      </c>
    </row>
    <row r="2" spans="1:24">
      <c r="A2" s="139" t="s">
        <v>208</v>
      </c>
      <c r="B2" s="139" t="s">
        <v>209</v>
      </c>
      <c r="C2" s="851">
        <v>60.054000000000002</v>
      </c>
      <c r="D2" s="851">
        <v>62.78</v>
      </c>
      <c r="E2" s="851">
        <v>64.292000000000002</v>
      </c>
      <c r="F2" s="851">
        <v>66.653999999999996</v>
      </c>
      <c r="G2" s="851">
        <v>69.510000000000005</v>
      </c>
      <c r="H2" s="851">
        <v>72.984999999999999</v>
      </c>
      <c r="I2" s="851">
        <v>77.152000000000001</v>
      </c>
      <c r="J2" s="851">
        <v>81.948999999999998</v>
      </c>
      <c r="K2" s="851">
        <v>87.415000000000006</v>
      </c>
      <c r="L2" s="851">
        <v>93.552000000000007</v>
      </c>
      <c r="M2" s="851">
        <v>2015</v>
      </c>
      <c r="N2" s="851"/>
      <c r="P2" s="146">
        <f>D2/C2-1</f>
        <v>4.5392480101242194E-2</v>
      </c>
      <c r="Q2" s="146">
        <f t="shared" ref="Q2:X2" si="0">E2/D2-1</f>
        <v>2.408410321758514E-2</v>
      </c>
      <c r="R2" s="146">
        <f t="shared" si="0"/>
        <v>3.6738630000622052E-2</v>
      </c>
      <c r="S2" s="146">
        <f t="shared" si="0"/>
        <v>4.2848141146818008E-2</v>
      </c>
      <c r="T2" s="146">
        <f t="shared" si="0"/>
        <v>4.9992806790389865E-2</v>
      </c>
      <c r="U2" s="146">
        <f t="shared" si="0"/>
        <v>5.7093923408919611E-2</v>
      </c>
      <c r="V2" s="146">
        <f t="shared" si="0"/>
        <v>6.2175964330153377E-2</v>
      </c>
      <c r="W2" s="146">
        <f t="shared" si="0"/>
        <v>6.6700020744609567E-2</v>
      </c>
      <c r="X2" s="146">
        <f t="shared" si="0"/>
        <v>7.0205342332551712E-2</v>
      </c>
    </row>
    <row r="3" spans="1:24">
      <c r="A3" s="139" t="s">
        <v>210</v>
      </c>
      <c r="B3" s="139" t="s">
        <v>209</v>
      </c>
      <c r="C3" s="851">
        <v>30.334</v>
      </c>
      <c r="D3" s="851">
        <v>31.425999999999998</v>
      </c>
      <c r="E3" s="851">
        <v>32.475000000000001</v>
      </c>
      <c r="F3" s="851">
        <v>33.997</v>
      </c>
      <c r="G3" s="851">
        <v>35.869999999999997</v>
      </c>
      <c r="H3" s="851">
        <v>37.923000000000002</v>
      </c>
      <c r="I3" s="851">
        <v>40.192999999999998</v>
      </c>
      <c r="J3" s="851">
        <v>42.631</v>
      </c>
      <c r="K3" s="851">
        <v>45.213999999999999</v>
      </c>
      <c r="L3" s="851">
        <v>47.905999999999999</v>
      </c>
      <c r="M3" s="851">
        <v>2016</v>
      </c>
      <c r="N3" s="851"/>
      <c r="P3" s="146">
        <f t="shared" ref="P3:P66" si="1">D3/C3-1</f>
        <v>3.5999208808597638E-2</v>
      </c>
      <c r="Q3" s="146">
        <f t="shared" ref="Q3:Q66" si="2">E3/D3-1</f>
        <v>3.3380003818494375E-2</v>
      </c>
      <c r="R3" s="146">
        <f t="shared" ref="R3:R66" si="3">F3/E3-1</f>
        <v>4.6866820631254802E-2</v>
      </c>
      <c r="S3" s="146">
        <f t="shared" ref="S3:S66" si="4">G3/F3-1</f>
        <v>5.509309644968674E-2</v>
      </c>
      <c r="T3" s="146">
        <f t="shared" ref="T3:T66" si="5">H3/G3-1</f>
        <v>5.7234457764148372E-2</v>
      </c>
      <c r="U3" s="146">
        <f t="shared" ref="U3:U66" si="6">I3/H3-1</f>
        <v>5.9858133586477846E-2</v>
      </c>
      <c r="V3" s="146">
        <f t="shared" ref="V3:V66" si="7">J3/I3-1</f>
        <v>6.0657328390515852E-2</v>
      </c>
      <c r="W3" s="146">
        <f t="shared" ref="W3:X66" si="8">K3/J3-1</f>
        <v>6.0589711712134342E-2</v>
      </c>
      <c r="X3" s="146">
        <f t="shared" si="8"/>
        <v>5.9539080815676604E-2</v>
      </c>
    </row>
    <row r="4" spans="1:24">
      <c r="A4" s="139" t="s">
        <v>211</v>
      </c>
      <c r="B4" s="139" t="s">
        <v>209</v>
      </c>
      <c r="C4" s="851">
        <v>526.09100000000001</v>
      </c>
      <c r="D4" s="851">
        <v>555.88300000000004</v>
      </c>
      <c r="E4" s="851">
        <v>582.70100000000002</v>
      </c>
      <c r="F4" s="851">
        <v>609.61</v>
      </c>
      <c r="G4" s="851">
        <v>629.26499999999999</v>
      </c>
      <c r="H4" s="851">
        <v>646.37199999999996</v>
      </c>
      <c r="I4" s="851">
        <v>669.70699999999999</v>
      </c>
      <c r="J4" s="851">
        <v>696.16200000000003</v>
      </c>
      <c r="K4" s="851">
        <v>726.96299999999997</v>
      </c>
      <c r="L4" s="851">
        <v>759.10199999999998</v>
      </c>
      <c r="M4" s="851">
        <v>2016</v>
      </c>
      <c r="N4" s="851"/>
      <c r="P4" s="146">
        <f t="shared" si="1"/>
        <v>5.6628986240023105E-2</v>
      </c>
      <c r="Q4" s="146">
        <f t="shared" si="2"/>
        <v>4.8243965007024769E-2</v>
      </c>
      <c r="R4" s="146">
        <f t="shared" si="3"/>
        <v>4.6179773159819471E-2</v>
      </c>
      <c r="S4" s="146">
        <f t="shared" si="4"/>
        <v>3.2241925165269469E-2</v>
      </c>
      <c r="T4" s="146">
        <f t="shared" si="5"/>
        <v>2.7185684886335659E-2</v>
      </c>
      <c r="U4" s="146">
        <f t="shared" si="6"/>
        <v>3.6101501921494084E-2</v>
      </c>
      <c r="V4" s="146">
        <f t="shared" si="7"/>
        <v>3.9502349534946024E-2</v>
      </c>
      <c r="W4" s="146">
        <f t="shared" si="8"/>
        <v>4.4244012169581071E-2</v>
      </c>
      <c r="X4" s="146">
        <f t="shared" si="8"/>
        <v>4.4209952913697226E-2</v>
      </c>
    </row>
    <row r="5" spans="1:24">
      <c r="A5" s="139" t="s">
        <v>212</v>
      </c>
      <c r="B5" s="139" t="s">
        <v>209</v>
      </c>
      <c r="C5" s="851">
        <v>166.40700000000001</v>
      </c>
      <c r="D5" s="851">
        <v>177.53200000000001</v>
      </c>
      <c r="E5" s="851">
        <v>184.85300000000001</v>
      </c>
      <c r="F5" s="851">
        <v>185.96600000000001</v>
      </c>
      <c r="G5" s="851">
        <v>191.999</v>
      </c>
      <c r="H5" s="851">
        <v>198.76499999999999</v>
      </c>
      <c r="I5" s="851">
        <v>205.84399999999999</v>
      </c>
      <c r="J5" s="851">
        <v>213.35900000000001</v>
      </c>
      <c r="K5" s="851">
        <v>220.75200000000001</v>
      </c>
      <c r="L5" s="851">
        <v>228.22200000000001</v>
      </c>
      <c r="M5" s="851">
        <v>2015</v>
      </c>
      <c r="N5" s="851"/>
      <c r="P5" s="146">
        <f t="shared" si="1"/>
        <v>6.6854158779378281E-2</v>
      </c>
      <c r="Q5" s="146">
        <f t="shared" si="2"/>
        <v>4.1237636031814073E-2</v>
      </c>
      <c r="R5" s="146">
        <f t="shared" si="3"/>
        <v>6.0210004706442444E-3</v>
      </c>
      <c r="S5" s="146">
        <f t="shared" si="4"/>
        <v>3.2441414021918025E-2</v>
      </c>
      <c r="T5" s="146">
        <f t="shared" si="5"/>
        <v>3.5239766873785827E-2</v>
      </c>
      <c r="U5" s="146">
        <f t="shared" si="6"/>
        <v>3.5614922144240779E-2</v>
      </c>
      <c r="V5" s="146">
        <f t="shared" si="7"/>
        <v>3.6508229533044556E-2</v>
      </c>
      <c r="W5" s="146">
        <f t="shared" si="8"/>
        <v>3.4650518609479874E-2</v>
      </c>
      <c r="X5" s="146">
        <f t="shared" si="8"/>
        <v>3.3838878016960283E-2</v>
      </c>
    </row>
    <row r="6" spans="1:24">
      <c r="A6" s="139" t="s">
        <v>213</v>
      </c>
      <c r="B6" s="139" t="s">
        <v>209</v>
      </c>
      <c r="C6" s="851">
        <v>1.9059999999999999</v>
      </c>
      <c r="D6" s="851">
        <v>2.0390000000000001</v>
      </c>
      <c r="E6" s="851">
        <v>2.145</v>
      </c>
      <c r="F6" s="851">
        <v>2.2879999999999998</v>
      </c>
      <c r="G6" s="851">
        <v>2.39</v>
      </c>
      <c r="H6" s="851">
        <v>2.5099999999999998</v>
      </c>
      <c r="I6" s="851">
        <v>2.6269999999999998</v>
      </c>
      <c r="J6" s="851">
        <v>2.7360000000000002</v>
      </c>
      <c r="K6" s="851">
        <v>2.8490000000000002</v>
      </c>
      <c r="L6" s="851">
        <v>2.9620000000000002</v>
      </c>
      <c r="M6" s="851">
        <v>2016</v>
      </c>
      <c r="N6" s="851"/>
      <c r="P6" s="146">
        <f t="shared" si="1"/>
        <v>6.9779643231899335E-2</v>
      </c>
      <c r="Q6" s="146">
        <f t="shared" si="2"/>
        <v>5.1986267778322715E-2</v>
      </c>
      <c r="R6" s="146">
        <f t="shared" si="3"/>
        <v>6.6666666666666652E-2</v>
      </c>
      <c r="S6" s="146">
        <f t="shared" si="4"/>
        <v>4.4580419580419806E-2</v>
      </c>
      <c r="T6" s="146">
        <f t="shared" si="5"/>
        <v>5.0209205020920411E-2</v>
      </c>
      <c r="U6" s="146">
        <f t="shared" si="6"/>
        <v>4.661354581673316E-2</v>
      </c>
      <c r="V6" s="146">
        <f t="shared" si="7"/>
        <v>4.1492196421774041E-2</v>
      </c>
      <c r="W6" s="146">
        <f t="shared" si="8"/>
        <v>4.1301169590643338E-2</v>
      </c>
      <c r="X6" s="146">
        <f t="shared" si="8"/>
        <v>3.9663039663039745E-2</v>
      </c>
    </row>
    <row r="7" spans="1:24">
      <c r="A7" s="139" t="s">
        <v>214</v>
      </c>
      <c r="B7" s="139" t="s">
        <v>209</v>
      </c>
      <c r="C7" s="851">
        <v>857.66800000000001</v>
      </c>
      <c r="D7" s="851">
        <v>851.125</v>
      </c>
      <c r="E7" s="851">
        <v>883.13</v>
      </c>
      <c r="F7" s="851">
        <v>874.31500000000005</v>
      </c>
      <c r="G7" s="851">
        <v>911.46600000000001</v>
      </c>
      <c r="H7" s="851">
        <v>952.46400000000006</v>
      </c>
      <c r="I7" s="851">
        <v>998.58299999999997</v>
      </c>
      <c r="J7" s="1168">
        <v>1051.5899999999999</v>
      </c>
      <c r="K7" s="1168">
        <v>1107.4100000000001</v>
      </c>
      <c r="L7" s="1168">
        <v>1165.04</v>
      </c>
      <c r="M7" s="851">
        <v>2016</v>
      </c>
      <c r="N7" s="851"/>
      <c r="P7" s="146">
        <f t="shared" si="1"/>
        <v>-7.6288260725595469E-3</v>
      </c>
      <c r="Q7" s="146">
        <f t="shared" si="2"/>
        <v>3.7603172271992946E-2</v>
      </c>
      <c r="R7" s="146">
        <f t="shared" si="3"/>
        <v>-9.9815429212006812E-3</v>
      </c>
      <c r="S7" s="146">
        <f t="shared" si="4"/>
        <v>4.2491550528127586E-2</v>
      </c>
      <c r="T7" s="146">
        <f t="shared" si="5"/>
        <v>4.4980284508692625E-2</v>
      </c>
      <c r="U7" s="146">
        <f t="shared" si="6"/>
        <v>4.8420727712543465E-2</v>
      </c>
      <c r="V7" s="146">
        <f t="shared" si="7"/>
        <v>5.3082217502200546E-2</v>
      </c>
      <c r="W7" s="146">
        <f t="shared" si="8"/>
        <v>5.3081524168164584E-2</v>
      </c>
      <c r="X7" s="146">
        <f t="shared" si="8"/>
        <v>5.20403463938377E-2</v>
      </c>
    </row>
    <row r="8" spans="1:24">
      <c r="A8" s="139" t="s">
        <v>215</v>
      </c>
      <c r="B8" s="139" t="s">
        <v>209</v>
      </c>
      <c r="C8" s="851">
        <v>23.126000000000001</v>
      </c>
      <c r="D8" s="851">
        <v>24.39</v>
      </c>
      <c r="E8" s="851">
        <v>25.457000000000001</v>
      </c>
      <c r="F8" s="851">
        <v>25.83</v>
      </c>
      <c r="G8" s="851">
        <v>27.212</v>
      </c>
      <c r="H8" s="851">
        <v>28.545000000000002</v>
      </c>
      <c r="I8" s="851">
        <v>30.029</v>
      </c>
      <c r="J8" s="851">
        <v>31.611000000000001</v>
      </c>
      <c r="K8" s="851">
        <v>33.365000000000002</v>
      </c>
      <c r="L8" s="851">
        <v>35.366999999999997</v>
      </c>
      <c r="M8" s="851">
        <v>2016</v>
      </c>
      <c r="N8" s="851"/>
      <c r="P8" s="146">
        <f t="shared" si="1"/>
        <v>5.465709590936596E-2</v>
      </c>
      <c r="Q8" s="146">
        <f t="shared" si="2"/>
        <v>4.3747437474374706E-2</v>
      </c>
      <c r="R8" s="146">
        <f t="shared" si="3"/>
        <v>1.4652158541854865E-2</v>
      </c>
      <c r="S8" s="146">
        <f t="shared" si="4"/>
        <v>5.3503677893921964E-2</v>
      </c>
      <c r="T8" s="146">
        <f t="shared" si="5"/>
        <v>4.8985741584595122E-2</v>
      </c>
      <c r="U8" s="146">
        <f t="shared" si="6"/>
        <v>5.1988088982308556E-2</v>
      </c>
      <c r="V8" s="146">
        <f t="shared" si="7"/>
        <v>5.268240700656035E-2</v>
      </c>
      <c r="W8" s="146">
        <f t="shared" si="8"/>
        <v>5.5487014014109048E-2</v>
      </c>
      <c r="X8" s="146">
        <f t="shared" si="8"/>
        <v>6.000299715270474E-2</v>
      </c>
    </row>
    <row r="9" spans="1:24">
      <c r="A9" s="139" t="s">
        <v>216</v>
      </c>
      <c r="B9" s="139" t="s">
        <v>209</v>
      </c>
      <c r="C9" s="1168">
        <v>1056.17</v>
      </c>
      <c r="D9" s="1168">
        <v>1105.0999999999999</v>
      </c>
      <c r="E9" s="1168">
        <v>1144.05</v>
      </c>
      <c r="F9" s="1168">
        <v>1187.8800000000001</v>
      </c>
      <c r="G9" s="1168">
        <v>1235.3</v>
      </c>
      <c r="H9" s="1168">
        <v>1296.08</v>
      </c>
      <c r="I9" s="1168">
        <v>1362.79</v>
      </c>
      <c r="J9" s="1168">
        <v>1430.48</v>
      </c>
      <c r="K9" s="1168">
        <v>1500.35</v>
      </c>
      <c r="L9" s="1168">
        <v>1569.88</v>
      </c>
      <c r="M9" s="851">
        <v>2016</v>
      </c>
      <c r="N9" s="851"/>
      <c r="P9" s="146">
        <f t="shared" si="1"/>
        <v>4.632776920382109E-2</v>
      </c>
      <c r="Q9" s="146">
        <f t="shared" si="2"/>
        <v>3.524567912406118E-2</v>
      </c>
      <c r="R9" s="146">
        <f t="shared" si="3"/>
        <v>3.8311262619640907E-2</v>
      </c>
      <c r="S9" s="146">
        <f t="shared" si="4"/>
        <v>3.9919857224635313E-2</v>
      </c>
      <c r="T9" s="146">
        <f t="shared" si="5"/>
        <v>4.9202622844653154E-2</v>
      </c>
      <c r="U9" s="146">
        <f t="shared" si="6"/>
        <v>5.1470588235294157E-2</v>
      </c>
      <c r="V9" s="146">
        <f t="shared" si="7"/>
        <v>4.967016194718199E-2</v>
      </c>
      <c r="W9" s="146">
        <f t="shared" si="8"/>
        <v>4.8843744757004481E-2</v>
      </c>
      <c r="X9" s="146">
        <f t="shared" si="8"/>
        <v>4.6342520078648475E-2</v>
      </c>
    </row>
    <row r="10" spans="1:24">
      <c r="A10" s="139" t="s">
        <v>217</v>
      </c>
      <c r="B10" s="139" t="s">
        <v>209</v>
      </c>
      <c r="C10" s="851">
        <v>388.15100000000001</v>
      </c>
      <c r="D10" s="851">
        <v>397.66500000000002</v>
      </c>
      <c r="E10" s="851">
        <v>405.84899999999999</v>
      </c>
      <c r="F10" s="851">
        <v>417.113</v>
      </c>
      <c r="G10" s="851">
        <v>434.09699999999998</v>
      </c>
      <c r="H10" s="851">
        <v>450.709</v>
      </c>
      <c r="I10" s="851">
        <v>467.23200000000003</v>
      </c>
      <c r="J10" s="851">
        <v>484.21600000000001</v>
      </c>
      <c r="K10" s="851">
        <v>501.291</v>
      </c>
      <c r="L10" s="851">
        <v>518.14099999999996</v>
      </c>
      <c r="M10" s="851">
        <v>2016</v>
      </c>
      <c r="N10" s="851"/>
      <c r="P10" s="146">
        <f t="shared" si="1"/>
        <v>2.4511079451038364E-2</v>
      </c>
      <c r="Q10" s="146">
        <f t="shared" si="2"/>
        <v>2.0580136547093675E-2</v>
      </c>
      <c r="R10" s="146">
        <f t="shared" si="3"/>
        <v>2.7754164726289776E-2</v>
      </c>
      <c r="S10" s="146">
        <f t="shared" si="4"/>
        <v>4.0717982896721017E-2</v>
      </c>
      <c r="T10" s="146">
        <f t="shared" si="5"/>
        <v>3.826794472203221E-2</v>
      </c>
      <c r="U10" s="146">
        <f t="shared" si="6"/>
        <v>3.6660017882935714E-2</v>
      </c>
      <c r="V10" s="146">
        <f t="shared" si="7"/>
        <v>3.6350249982877836E-2</v>
      </c>
      <c r="W10" s="146">
        <f t="shared" si="8"/>
        <v>3.526318832917541E-2</v>
      </c>
      <c r="X10" s="146">
        <f t="shared" si="8"/>
        <v>3.3613210689998452E-2</v>
      </c>
    </row>
    <row r="11" spans="1:24">
      <c r="A11" s="139" t="s">
        <v>218</v>
      </c>
      <c r="B11" s="139" t="s">
        <v>209</v>
      </c>
      <c r="C11" s="851">
        <v>158.786</v>
      </c>
      <c r="D11" s="851">
        <v>165.93</v>
      </c>
      <c r="E11" s="851">
        <v>168.816</v>
      </c>
      <c r="F11" s="851">
        <v>165.67</v>
      </c>
      <c r="G11" s="851">
        <v>166.804</v>
      </c>
      <c r="H11" s="851">
        <v>172.23</v>
      </c>
      <c r="I11" s="851">
        <v>181.13200000000001</v>
      </c>
      <c r="J11" s="851">
        <v>189.768</v>
      </c>
      <c r="K11" s="851">
        <v>199.446</v>
      </c>
      <c r="L11" s="851">
        <v>209.59700000000001</v>
      </c>
      <c r="M11" s="851">
        <v>2016</v>
      </c>
      <c r="N11" s="851"/>
      <c r="P11" s="146">
        <f t="shared" si="1"/>
        <v>4.4991372035318111E-2</v>
      </c>
      <c r="Q11" s="146">
        <f t="shared" si="2"/>
        <v>1.7392876514192634E-2</v>
      </c>
      <c r="R11" s="146">
        <f t="shared" si="3"/>
        <v>-1.8635674343664199E-2</v>
      </c>
      <c r="S11" s="146">
        <f t="shared" si="4"/>
        <v>6.8449326975312808E-3</v>
      </c>
      <c r="T11" s="146">
        <f t="shared" si="5"/>
        <v>3.2529195942543332E-2</v>
      </c>
      <c r="U11" s="146">
        <f t="shared" si="6"/>
        <v>5.1686698020089406E-2</v>
      </c>
      <c r="V11" s="146">
        <f t="shared" si="7"/>
        <v>4.7677936532473542E-2</v>
      </c>
      <c r="W11" s="146">
        <f t="shared" si="8"/>
        <v>5.099911470848606E-2</v>
      </c>
      <c r="X11" s="146">
        <f t="shared" si="8"/>
        <v>5.0895981869779394E-2</v>
      </c>
    </row>
    <row r="12" spans="1:24">
      <c r="A12" s="139" t="s">
        <v>219</v>
      </c>
      <c r="B12" s="139" t="s">
        <v>209</v>
      </c>
      <c r="C12" s="851">
        <v>8.8680000000000003</v>
      </c>
      <c r="D12" s="851">
        <v>8.98</v>
      </c>
      <c r="E12" s="851">
        <v>8.9260000000000002</v>
      </c>
      <c r="F12" s="851">
        <v>9.0169999999999995</v>
      </c>
      <c r="G12" s="851">
        <v>9.3390000000000004</v>
      </c>
      <c r="H12" s="851">
        <v>9.7579999999999991</v>
      </c>
      <c r="I12" s="851">
        <v>10.186</v>
      </c>
      <c r="J12" s="851">
        <v>10.567</v>
      </c>
      <c r="K12" s="851">
        <v>10.948</v>
      </c>
      <c r="L12" s="851">
        <v>11.326000000000001</v>
      </c>
      <c r="M12" s="851">
        <v>2015</v>
      </c>
      <c r="N12" s="851"/>
      <c r="P12" s="146">
        <f t="shared" si="1"/>
        <v>1.2629679747406364E-2</v>
      </c>
      <c r="Q12" s="146">
        <f t="shared" si="2"/>
        <v>-6.013363028953278E-3</v>
      </c>
      <c r="R12" s="146">
        <f t="shared" si="3"/>
        <v>1.0194936141608713E-2</v>
      </c>
      <c r="S12" s="146">
        <f t="shared" si="4"/>
        <v>3.5710324941776728E-2</v>
      </c>
      <c r="T12" s="146">
        <f t="shared" si="5"/>
        <v>4.4865617303779803E-2</v>
      </c>
      <c r="U12" s="146">
        <f t="shared" si="6"/>
        <v>4.3861447017831567E-2</v>
      </c>
      <c r="V12" s="146">
        <f t="shared" si="7"/>
        <v>3.7404280384842004E-2</v>
      </c>
      <c r="W12" s="146">
        <f t="shared" si="8"/>
        <v>3.6055644932336595E-2</v>
      </c>
      <c r="X12" s="146">
        <f t="shared" si="8"/>
        <v>3.4526854219948833E-2</v>
      </c>
    </row>
    <row r="13" spans="1:24">
      <c r="A13" s="139" t="s">
        <v>220</v>
      </c>
      <c r="B13" s="139" t="s">
        <v>209</v>
      </c>
      <c r="C13" s="851">
        <v>58.097000000000001</v>
      </c>
      <c r="D13" s="851">
        <v>61.713000000000001</v>
      </c>
      <c r="E13" s="851">
        <v>64.168000000000006</v>
      </c>
      <c r="F13" s="851">
        <v>66.918999999999997</v>
      </c>
      <c r="G13" s="851">
        <v>69.772999999999996</v>
      </c>
      <c r="H13" s="851">
        <v>72.366</v>
      </c>
      <c r="I13" s="851">
        <v>75.176000000000002</v>
      </c>
      <c r="J13" s="851">
        <v>78.391000000000005</v>
      </c>
      <c r="K13" s="851">
        <v>81.796999999999997</v>
      </c>
      <c r="L13" s="851">
        <v>85.230999999999995</v>
      </c>
      <c r="M13" s="851">
        <v>2016</v>
      </c>
      <c r="N13" s="851"/>
      <c r="P13" s="146">
        <f t="shared" si="1"/>
        <v>6.2240735321961616E-2</v>
      </c>
      <c r="Q13" s="146">
        <f t="shared" si="2"/>
        <v>3.978092136178768E-2</v>
      </c>
      <c r="R13" s="146">
        <f t="shared" si="3"/>
        <v>4.2871836429372756E-2</v>
      </c>
      <c r="S13" s="146">
        <f t="shared" si="4"/>
        <v>4.26485751430834E-2</v>
      </c>
      <c r="T13" s="146">
        <f t="shared" si="5"/>
        <v>3.7163372651312088E-2</v>
      </c>
      <c r="U13" s="146">
        <f t="shared" si="6"/>
        <v>3.8830389962136946E-2</v>
      </c>
      <c r="V13" s="146">
        <f t="shared" si="7"/>
        <v>4.2766308396296804E-2</v>
      </c>
      <c r="W13" s="146">
        <f t="shared" si="8"/>
        <v>4.3448865303414852E-2</v>
      </c>
      <c r="X13" s="146">
        <f t="shared" si="8"/>
        <v>4.1981979779209588E-2</v>
      </c>
    </row>
    <row r="14" spans="1:24">
      <c r="A14" s="139" t="s">
        <v>221</v>
      </c>
      <c r="B14" s="139" t="s">
        <v>209</v>
      </c>
      <c r="C14" s="851">
        <v>496.49299999999999</v>
      </c>
      <c r="D14" s="851">
        <v>537.31500000000005</v>
      </c>
      <c r="E14" s="851">
        <v>580.13800000000003</v>
      </c>
      <c r="F14" s="851">
        <v>629.74300000000005</v>
      </c>
      <c r="G14" s="851">
        <v>686.49900000000002</v>
      </c>
      <c r="H14" s="851">
        <v>748.81100000000004</v>
      </c>
      <c r="I14" s="851">
        <v>818.32600000000002</v>
      </c>
      <c r="J14" s="851">
        <v>894.02700000000004</v>
      </c>
      <c r="K14" s="851">
        <v>976.476</v>
      </c>
      <c r="L14" s="1168">
        <v>1064.93</v>
      </c>
      <c r="M14" s="851">
        <v>2016</v>
      </c>
      <c r="N14" s="851"/>
      <c r="P14" s="146">
        <f t="shared" si="1"/>
        <v>8.2220695961473966E-2</v>
      </c>
      <c r="Q14" s="146">
        <f t="shared" si="2"/>
        <v>7.9698128658235889E-2</v>
      </c>
      <c r="R14" s="146">
        <f t="shared" si="3"/>
        <v>8.5505517652696428E-2</v>
      </c>
      <c r="S14" s="146">
        <f t="shared" si="4"/>
        <v>9.0125654433633962E-2</v>
      </c>
      <c r="T14" s="146">
        <f t="shared" si="5"/>
        <v>9.076779427209658E-2</v>
      </c>
      <c r="U14" s="146">
        <f t="shared" si="6"/>
        <v>9.2833839246485361E-2</v>
      </c>
      <c r="V14" s="146">
        <f t="shared" si="7"/>
        <v>9.2507142630198658E-2</v>
      </c>
      <c r="W14" s="146">
        <f t="shared" si="8"/>
        <v>9.2222046985158013E-2</v>
      </c>
      <c r="X14" s="146">
        <f t="shared" si="8"/>
        <v>9.0584919649842943E-2</v>
      </c>
    </row>
    <row r="15" spans="1:24">
      <c r="A15" s="139" t="s">
        <v>222</v>
      </c>
      <c r="B15" s="139" t="s">
        <v>209</v>
      </c>
      <c r="C15" s="851">
        <v>4.4829999999999997</v>
      </c>
      <c r="D15" s="851">
        <v>4.5670000000000002</v>
      </c>
      <c r="E15" s="851">
        <v>4.6580000000000004</v>
      </c>
      <c r="F15" s="851">
        <v>4.7930000000000001</v>
      </c>
      <c r="G15" s="851">
        <v>4.9189999999999996</v>
      </c>
      <c r="H15" s="851">
        <v>5.0410000000000004</v>
      </c>
      <c r="I15" s="851">
        <v>5.19</v>
      </c>
      <c r="J15" s="851">
        <v>5.367</v>
      </c>
      <c r="K15" s="851">
        <v>5.5629999999999997</v>
      </c>
      <c r="L15" s="851">
        <v>5.7610000000000001</v>
      </c>
      <c r="M15" s="851">
        <v>2015</v>
      </c>
      <c r="N15" s="851"/>
      <c r="P15" s="146">
        <f t="shared" si="1"/>
        <v>1.8737452598706295E-2</v>
      </c>
      <c r="Q15" s="146">
        <f t="shared" si="2"/>
        <v>1.9925552879351827E-2</v>
      </c>
      <c r="R15" s="146">
        <f t="shared" si="3"/>
        <v>2.8982395878059286E-2</v>
      </c>
      <c r="S15" s="146">
        <f t="shared" si="4"/>
        <v>2.6288337158355768E-2</v>
      </c>
      <c r="T15" s="146">
        <f t="shared" si="5"/>
        <v>2.4801788981500428E-2</v>
      </c>
      <c r="U15" s="146">
        <f t="shared" si="6"/>
        <v>2.9557627454870117E-2</v>
      </c>
      <c r="V15" s="146">
        <f t="shared" si="7"/>
        <v>3.4104046242774411E-2</v>
      </c>
      <c r="W15" s="146">
        <f t="shared" si="8"/>
        <v>3.6519470840320478E-2</v>
      </c>
      <c r="X15" s="146">
        <f t="shared" si="8"/>
        <v>3.5592306309545352E-2</v>
      </c>
    </row>
    <row r="16" spans="1:24">
      <c r="A16" s="139" t="s">
        <v>223</v>
      </c>
      <c r="B16" s="139" t="s">
        <v>209</v>
      </c>
      <c r="C16" s="851">
        <v>172.96</v>
      </c>
      <c r="D16" s="851">
        <v>179.09800000000001</v>
      </c>
      <c r="E16" s="851">
        <v>174.107</v>
      </c>
      <c r="F16" s="851">
        <v>171.65799999999999</v>
      </c>
      <c r="G16" s="851">
        <v>175.93199999999999</v>
      </c>
      <c r="H16" s="851">
        <v>180.52600000000001</v>
      </c>
      <c r="I16" s="851">
        <v>186.066</v>
      </c>
      <c r="J16" s="851">
        <v>192.928</v>
      </c>
      <c r="K16" s="851">
        <v>200.62299999999999</v>
      </c>
      <c r="L16" s="851">
        <v>208.64699999999999</v>
      </c>
      <c r="M16" s="851">
        <v>2016</v>
      </c>
      <c r="N16" s="851"/>
      <c r="P16" s="146">
        <f t="shared" si="1"/>
        <v>3.5487974098057373E-2</v>
      </c>
      <c r="Q16" s="146">
        <f t="shared" si="2"/>
        <v>-2.7867424538520869E-2</v>
      </c>
      <c r="R16" s="146">
        <f t="shared" si="3"/>
        <v>-1.4066062823436254E-2</v>
      </c>
      <c r="S16" s="146">
        <f t="shared" si="4"/>
        <v>2.4898344382434878E-2</v>
      </c>
      <c r="T16" s="146">
        <f t="shared" si="5"/>
        <v>2.6112361594252453E-2</v>
      </c>
      <c r="U16" s="146">
        <f t="shared" si="6"/>
        <v>3.0688100329038459E-2</v>
      </c>
      <c r="V16" s="146">
        <f t="shared" si="7"/>
        <v>3.6879386884223875E-2</v>
      </c>
      <c r="W16" s="146">
        <f t="shared" si="8"/>
        <v>3.9885345828495566E-2</v>
      </c>
      <c r="X16" s="146">
        <f t="shared" si="8"/>
        <v>3.9995414284503816E-2</v>
      </c>
    </row>
    <row r="17" spans="1:24">
      <c r="A17" s="139" t="s">
        <v>224</v>
      </c>
      <c r="B17" s="139" t="s">
        <v>209</v>
      </c>
      <c r="C17" s="851">
        <v>467.97699999999998</v>
      </c>
      <c r="D17" s="851">
        <v>484.22</v>
      </c>
      <c r="E17" s="851">
        <v>496.69600000000003</v>
      </c>
      <c r="F17" s="851">
        <v>509.03300000000002</v>
      </c>
      <c r="G17" s="851">
        <v>526.43399999999997</v>
      </c>
      <c r="H17" s="851">
        <v>545.43799999999999</v>
      </c>
      <c r="I17" s="851">
        <v>565.46500000000003</v>
      </c>
      <c r="J17" s="851">
        <v>586.13499999999999</v>
      </c>
      <c r="K17" s="851">
        <v>607.27599999999995</v>
      </c>
      <c r="L17" s="851">
        <v>628.23500000000001</v>
      </c>
      <c r="M17" s="851">
        <v>2016</v>
      </c>
      <c r="N17" s="851"/>
      <c r="P17" s="146">
        <f t="shared" si="1"/>
        <v>3.4708970740015221E-2</v>
      </c>
      <c r="Q17" s="146">
        <f t="shared" si="2"/>
        <v>2.576514807318997E-2</v>
      </c>
      <c r="R17" s="146">
        <f t="shared" si="3"/>
        <v>2.4838130365455013E-2</v>
      </c>
      <c r="S17" s="146">
        <f t="shared" si="4"/>
        <v>3.4184424192537533E-2</v>
      </c>
      <c r="T17" s="146">
        <f t="shared" si="5"/>
        <v>3.6099492054084692E-2</v>
      </c>
      <c r="U17" s="146">
        <f t="shared" si="6"/>
        <v>3.6717280424172882E-2</v>
      </c>
      <c r="V17" s="146">
        <f t="shared" si="7"/>
        <v>3.6553986542049444E-2</v>
      </c>
      <c r="W17" s="146">
        <f t="shared" si="8"/>
        <v>3.6068482516826261E-2</v>
      </c>
      <c r="X17" s="146">
        <f t="shared" si="8"/>
        <v>3.4513137354349688E-2</v>
      </c>
    </row>
    <row r="18" spans="1:24">
      <c r="A18" s="139" t="s">
        <v>225</v>
      </c>
      <c r="B18" s="139" t="s">
        <v>209</v>
      </c>
      <c r="C18" s="851">
        <v>2.7970000000000002</v>
      </c>
      <c r="D18" s="851">
        <v>2.9630000000000001</v>
      </c>
      <c r="E18" s="851">
        <v>3.0819999999999999</v>
      </c>
      <c r="F18" s="851">
        <v>3.097</v>
      </c>
      <c r="G18" s="851">
        <v>3.23</v>
      </c>
      <c r="H18" s="851">
        <v>3.3679999999999999</v>
      </c>
      <c r="I18" s="851">
        <v>3.496</v>
      </c>
      <c r="J18" s="851">
        <v>3.629</v>
      </c>
      <c r="K18" s="851">
        <v>3.7650000000000001</v>
      </c>
      <c r="L18" s="851">
        <v>3.9009999999999998</v>
      </c>
      <c r="M18" s="851">
        <v>2015</v>
      </c>
      <c r="N18" s="851"/>
      <c r="P18" s="146">
        <f t="shared" si="1"/>
        <v>5.9349302824454719E-2</v>
      </c>
      <c r="Q18" s="146">
        <f t="shared" si="2"/>
        <v>4.0161997975025177E-2</v>
      </c>
      <c r="R18" s="146">
        <f t="shared" si="3"/>
        <v>4.8669695003245028E-3</v>
      </c>
      <c r="S18" s="146">
        <f t="shared" si="4"/>
        <v>4.2944785276073594E-2</v>
      </c>
      <c r="T18" s="146">
        <f t="shared" si="5"/>
        <v>4.2724458204334237E-2</v>
      </c>
      <c r="U18" s="146">
        <f t="shared" si="6"/>
        <v>3.8004750593824355E-2</v>
      </c>
      <c r="V18" s="146">
        <f t="shared" si="7"/>
        <v>3.8043478260869623E-2</v>
      </c>
      <c r="W18" s="146">
        <f t="shared" si="8"/>
        <v>3.7475888674566082E-2</v>
      </c>
      <c r="X18" s="146">
        <f t="shared" si="8"/>
        <v>3.612217795484729E-2</v>
      </c>
    </row>
    <row r="19" spans="1:24">
      <c r="A19" s="139" t="s">
        <v>226</v>
      </c>
      <c r="B19" s="139" t="s">
        <v>209</v>
      </c>
      <c r="C19" s="851">
        <v>20.030999999999999</v>
      </c>
      <c r="D19" s="851">
        <v>21.684999999999999</v>
      </c>
      <c r="E19" s="851">
        <v>22.38</v>
      </c>
      <c r="F19" s="851">
        <v>23.577999999999999</v>
      </c>
      <c r="G19" s="851">
        <v>25.285</v>
      </c>
      <c r="H19" s="851">
        <v>27.33</v>
      </c>
      <c r="I19" s="851">
        <v>29.664999999999999</v>
      </c>
      <c r="J19" s="851">
        <v>32.307000000000002</v>
      </c>
      <c r="K19" s="851">
        <v>35.304000000000002</v>
      </c>
      <c r="L19" s="851">
        <v>38.198</v>
      </c>
      <c r="M19" s="851">
        <v>2015</v>
      </c>
      <c r="N19" s="851"/>
      <c r="P19" s="146">
        <f t="shared" si="1"/>
        <v>8.2572013379262232E-2</v>
      </c>
      <c r="Q19" s="146">
        <f t="shared" si="2"/>
        <v>3.2049804011989869E-2</v>
      </c>
      <c r="R19" s="146">
        <f t="shared" si="3"/>
        <v>5.3529937444146469E-2</v>
      </c>
      <c r="S19" s="146">
        <f t="shared" si="4"/>
        <v>7.2397998133853614E-2</v>
      </c>
      <c r="T19" s="146">
        <f t="shared" si="5"/>
        <v>8.0877990903697849E-2</v>
      </c>
      <c r="U19" s="146">
        <f t="shared" si="6"/>
        <v>8.543724844493239E-2</v>
      </c>
      <c r="V19" s="146">
        <f t="shared" si="7"/>
        <v>8.9061183212540085E-2</v>
      </c>
      <c r="W19" s="146">
        <f t="shared" si="8"/>
        <v>9.276627356300482E-2</v>
      </c>
      <c r="X19" s="146">
        <f t="shared" si="8"/>
        <v>8.1973714026739142E-2</v>
      </c>
    </row>
    <row r="20" spans="1:24">
      <c r="A20" s="139" t="s">
        <v>227</v>
      </c>
      <c r="B20" s="139" t="s">
        <v>209</v>
      </c>
      <c r="C20" s="851">
        <v>5.3280000000000003</v>
      </c>
      <c r="D20" s="851">
        <v>5.6379999999999999</v>
      </c>
      <c r="E20" s="851">
        <v>6.0490000000000004</v>
      </c>
      <c r="F20" s="851">
        <v>6.508</v>
      </c>
      <c r="G20" s="851">
        <v>7.0110000000000001</v>
      </c>
      <c r="H20" s="851">
        <v>7.9480000000000004</v>
      </c>
      <c r="I20" s="851">
        <v>9.2330000000000005</v>
      </c>
      <c r="J20" s="851">
        <v>10.223000000000001</v>
      </c>
      <c r="K20" s="851">
        <v>10.977</v>
      </c>
      <c r="L20" s="851">
        <v>11.887</v>
      </c>
      <c r="M20" s="851">
        <v>2016</v>
      </c>
      <c r="N20" s="851"/>
      <c r="P20" s="146">
        <f t="shared" si="1"/>
        <v>5.8183183183183163E-2</v>
      </c>
      <c r="Q20" s="146">
        <f t="shared" si="2"/>
        <v>7.2898190847818567E-2</v>
      </c>
      <c r="R20" s="146">
        <f t="shared" si="3"/>
        <v>7.5880310795172656E-2</v>
      </c>
      <c r="S20" s="146">
        <f t="shared" si="4"/>
        <v>7.7289489858635596E-2</v>
      </c>
      <c r="T20" s="146">
        <f t="shared" si="5"/>
        <v>0.13364712594494366</v>
      </c>
      <c r="U20" s="146">
        <f t="shared" si="6"/>
        <v>0.16167589330649212</v>
      </c>
      <c r="V20" s="146">
        <f t="shared" si="7"/>
        <v>0.1072240875121846</v>
      </c>
      <c r="W20" s="146">
        <f t="shared" si="8"/>
        <v>7.3755257752127434E-2</v>
      </c>
      <c r="X20" s="146">
        <f t="shared" si="8"/>
        <v>8.2900610367131256E-2</v>
      </c>
    </row>
    <row r="21" spans="1:24">
      <c r="A21" s="139" t="s">
        <v>228</v>
      </c>
      <c r="B21" s="139" t="s">
        <v>209</v>
      </c>
      <c r="C21" s="851">
        <v>65.554000000000002</v>
      </c>
      <c r="D21" s="851">
        <v>70.373999999999995</v>
      </c>
      <c r="E21" s="851">
        <v>74.591999999999999</v>
      </c>
      <c r="F21" s="851">
        <v>78.765000000000001</v>
      </c>
      <c r="G21" s="851">
        <v>83.503</v>
      </c>
      <c r="H21" s="851">
        <v>88.528999999999996</v>
      </c>
      <c r="I21" s="851">
        <v>93.853999999999999</v>
      </c>
      <c r="J21" s="851">
        <v>99.373999999999995</v>
      </c>
      <c r="K21" s="851">
        <v>105.191</v>
      </c>
      <c r="L21" s="851">
        <v>111.182</v>
      </c>
      <c r="M21" s="851">
        <v>2015</v>
      </c>
      <c r="N21" s="851"/>
      <c r="P21" s="146">
        <f t="shared" si="1"/>
        <v>7.352716844128504E-2</v>
      </c>
      <c r="Q21" s="146">
        <f t="shared" si="2"/>
        <v>5.9936908517350229E-2</v>
      </c>
      <c r="R21" s="146">
        <f t="shared" si="3"/>
        <v>5.5944337194337113E-2</v>
      </c>
      <c r="S21" s="146">
        <f t="shared" si="4"/>
        <v>6.0153621532406554E-2</v>
      </c>
      <c r="T21" s="146">
        <f t="shared" si="5"/>
        <v>6.0189454271103893E-2</v>
      </c>
      <c r="U21" s="146">
        <f t="shared" si="6"/>
        <v>6.0149781427554894E-2</v>
      </c>
      <c r="V21" s="146">
        <f t="shared" si="7"/>
        <v>5.8814754831973071E-2</v>
      </c>
      <c r="W21" s="146">
        <f t="shared" si="8"/>
        <v>5.8536438102521959E-2</v>
      </c>
      <c r="X21" s="146">
        <f t="shared" si="8"/>
        <v>5.6953541652803086E-2</v>
      </c>
    </row>
    <row r="22" spans="1:24">
      <c r="A22" s="139" t="s">
        <v>229</v>
      </c>
      <c r="B22" s="139" t="s">
        <v>209</v>
      </c>
      <c r="C22" s="851">
        <v>37.988999999999997</v>
      </c>
      <c r="D22" s="851">
        <v>39.088999999999999</v>
      </c>
      <c r="E22" s="851">
        <v>40.704999999999998</v>
      </c>
      <c r="F22" s="851">
        <v>42.042999999999999</v>
      </c>
      <c r="G22" s="851">
        <v>43.844999999999999</v>
      </c>
      <c r="H22" s="851">
        <v>45.857999999999997</v>
      </c>
      <c r="I22" s="851">
        <v>48.101999999999997</v>
      </c>
      <c r="J22" s="851">
        <v>50.439</v>
      </c>
      <c r="K22" s="851">
        <v>52.929000000000002</v>
      </c>
      <c r="L22" s="851">
        <v>55.564999999999998</v>
      </c>
      <c r="M22" s="851">
        <v>2016</v>
      </c>
      <c r="N22" s="851"/>
      <c r="P22" s="146">
        <f t="shared" si="1"/>
        <v>2.895575034878517E-2</v>
      </c>
      <c r="Q22" s="146">
        <f t="shared" si="2"/>
        <v>4.1341553889841176E-2</v>
      </c>
      <c r="R22" s="146">
        <f t="shared" si="3"/>
        <v>3.287065471072359E-2</v>
      </c>
      <c r="S22" s="146">
        <f t="shared" si="4"/>
        <v>4.286088052707937E-2</v>
      </c>
      <c r="T22" s="146">
        <f t="shared" si="5"/>
        <v>4.5911734519329395E-2</v>
      </c>
      <c r="U22" s="146">
        <f t="shared" si="6"/>
        <v>4.8933664791312337E-2</v>
      </c>
      <c r="V22" s="146">
        <f t="shared" si="7"/>
        <v>4.8584258450792062E-2</v>
      </c>
      <c r="W22" s="146">
        <f t="shared" si="8"/>
        <v>4.936656158924646E-2</v>
      </c>
      <c r="X22" s="146">
        <f t="shared" si="8"/>
        <v>4.9802565701222212E-2</v>
      </c>
    </row>
    <row r="23" spans="1:24">
      <c r="A23" s="139" t="s">
        <v>230</v>
      </c>
      <c r="B23" s="139" t="s">
        <v>209</v>
      </c>
      <c r="C23" s="851">
        <v>33.439</v>
      </c>
      <c r="D23" s="851">
        <v>35.451999999999998</v>
      </c>
      <c r="E23" s="851">
        <v>35.226999999999997</v>
      </c>
      <c r="F23" s="851">
        <v>37.207000000000001</v>
      </c>
      <c r="G23" s="851">
        <v>39.549999999999997</v>
      </c>
      <c r="H23" s="851">
        <v>42.262999999999998</v>
      </c>
      <c r="I23" s="851">
        <v>45.133000000000003</v>
      </c>
      <c r="J23" s="851">
        <v>48.063000000000002</v>
      </c>
      <c r="K23" s="851">
        <v>51.151000000000003</v>
      </c>
      <c r="L23" s="851">
        <v>54.314</v>
      </c>
      <c r="M23" s="851">
        <v>2015</v>
      </c>
      <c r="N23" s="851"/>
      <c r="P23" s="146">
        <f t="shared" si="1"/>
        <v>6.0199168635425737E-2</v>
      </c>
      <c r="Q23" s="146">
        <f t="shared" si="2"/>
        <v>-6.3466095001692979E-3</v>
      </c>
      <c r="R23" s="146">
        <f t="shared" si="3"/>
        <v>5.6206886762994346E-2</v>
      </c>
      <c r="S23" s="146">
        <f t="shared" si="4"/>
        <v>6.297202139382363E-2</v>
      </c>
      <c r="T23" s="146">
        <f t="shared" si="5"/>
        <v>6.8596713021491729E-2</v>
      </c>
      <c r="U23" s="146">
        <f t="shared" si="6"/>
        <v>6.7908099283060963E-2</v>
      </c>
      <c r="V23" s="146">
        <f t="shared" si="7"/>
        <v>6.4919238694524983E-2</v>
      </c>
      <c r="W23" s="146">
        <f t="shared" si="8"/>
        <v>6.4249006512286044E-2</v>
      </c>
      <c r="X23" s="146">
        <f t="shared" si="8"/>
        <v>6.1836523235127228E-2</v>
      </c>
    </row>
    <row r="24" spans="1:24">
      <c r="A24" s="139" t="s">
        <v>231</v>
      </c>
      <c r="B24" s="139" t="s">
        <v>209</v>
      </c>
      <c r="C24" s="1168">
        <v>3232.12</v>
      </c>
      <c r="D24" s="1168">
        <v>3306.71</v>
      </c>
      <c r="E24" s="1168">
        <v>3216.58</v>
      </c>
      <c r="F24" s="1168">
        <v>3140.51</v>
      </c>
      <c r="G24" s="1168">
        <v>3219.13</v>
      </c>
      <c r="H24" s="1168">
        <v>3330.46</v>
      </c>
      <c r="I24" s="1168">
        <v>3469.07</v>
      </c>
      <c r="J24" s="1168">
        <v>3614.08</v>
      </c>
      <c r="K24" s="1168">
        <v>3764.23</v>
      </c>
      <c r="L24" s="1168">
        <v>3914.64</v>
      </c>
      <c r="M24" s="851">
        <v>2016</v>
      </c>
      <c r="N24" s="851"/>
      <c r="P24" s="146">
        <f t="shared" si="1"/>
        <v>2.3077732262416051E-2</v>
      </c>
      <c r="Q24" s="146">
        <f t="shared" si="2"/>
        <v>-2.7256699256965389E-2</v>
      </c>
      <c r="R24" s="146">
        <f t="shared" si="3"/>
        <v>-2.3649341847552297E-2</v>
      </c>
      <c r="S24" s="146">
        <f t="shared" si="4"/>
        <v>2.5034150504217534E-2</v>
      </c>
      <c r="T24" s="146">
        <f t="shared" si="5"/>
        <v>3.4583878252819833E-2</v>
      </c>
      <c r="U24" s="146">
        <f t="shared" si="6"/>
        <v>4.1618875470655681E-2</v>
      </c>
      <c r="V24" s="146">
        <f t="shared" si="7"/>
        <v>4.1800828464112705E-2</v>
      </c>
      <c r="W24" s="146">
        <f t="shared" si="8"/>
        <v>4.1545842925447163E-2</v>
      </c>
      <c r="X24" s="146">
        <f t="shared" si="8"/>
        <v>3.9957707153919886E-2</v>
      </c>
    </row>
    <row r="25" spans="1:24">
      <c r="A25" s="139" t="s">
        <v>232</v>
      </c>
      <c r="B25" s="139" t="s">
        <v>209</v>
      </c>
      <c r="C25" s="851">
        <v>33.198999999999998</v>
      </c>
      <c r="D25" s="851">
        <v>32.947000000000003</v>
      </c>
      <c r="E25" s="851">
        <v>33.168999999999997</v>
      </c>
      <c r="F25" s="851">
        <v>32.764000000000003</v>
      </c>
      <c r="G25" s="851">
        <v>32.912999999999997</v>
      </c>
      <c r="H25" s="851">
        <v>33.756</v>
      </c>
      <c r="I25" s="851">
        <v>37.478000000000002</v>
      </c>
      <c r="J25" s="851">
        <v>41.688000000000002</v>
      </c>
      <c r="K25" s="851">
        <v>47.319000000000003</v>
      </c>
      <c r="L25" s="851">
        <v>50.790999999999997</v>
      </c>
      <c r="M25" s="851">
        <v>2016</v>
      </c>
      <c r="N25" s="851"/>
      <c r="P25" s="146">
        <f t="shared" si="1"/>
        <v>-7.5905900780142144E-3</v>
      </c>
      <c r="Q25" s="146">
        <f t="shared" si="2"/>
        <v>6.7380945154336125E-3</v>
      </c>
      <c r="R25" s="146">
        <f t="shared" si="3"/>
        <v>-1.2210196267599116E-2</v>
      </c>
      <c r="S25" s="146">
        <f t="shared" si="4"/>
        <v>4.5476742766448197E-3</v>
      </c>
      <c r="T25" s="146">
        <f t="shared" si="5"/>
        <v>2.5612979673685254E-2</v>
      </c>
      <c r="U25" s="146">
        <f t="shared" si="6"/>
        <v>0.11026187936959353</v>
      </c>
      <c r="V25" s="146">
        <f t="shared" si="7"/>
        <v>0.11233256844015149</v>
      </c>
      <c r="W25" s="146">
        <f t="shared" si="8"/>
        <v>0.13507484168105921</v>
      </c>
      <c r="X25" s="146">
        <f t="shared" si="8"/>
        <v>7.3374331663813575E-2</v>
      </c>
    </row>
    <row r="26" spans="1:24">
      <c r="A26" s="139" t="s">
        <v>233</v>
      </c>
      <c r="B26" s="139" t="s">
        <v>209</v>
      </c>
      <c r="C26" s="851">
        <v>127.723</v>
      </c>
      <c r="D26" s="851">
        <v>131.74299999999999</v>
      </c>
      <c r="E26" s="851">
        <v>137.989</v>
      </c>
      <c r="F26" s="851">
        <v>144.56100000000001</v>
      </c>
      <c r="G26" s="851">
        <v>152.374</v>
      </c>
      <c r="H26" s="851">
        <v>160.30199999999999</v>
      </c>
      <c r="I26" s="851">
        <v>168.471</v>
      </c>
      <c r="J26" s="851">
        <v>176.65899999999999</v>
      </c>
      <c r="K26" s="851">
        <v>184.83600000000001</v>
      </c>
      <c r="L26" s="851">
        <v>193.102</v>
      </c>
      <c r="M26" s="851">
        <v>2016</v>
      </c>
      <c r="N26" s="851"/>
      <c r="P26" s="146">
        <f t="shared" si="1"/>
        <v>3.1474362487570628E-2</v>
      </c>
      <c r="Q26" s="146">
        <f t="shared" si="2"/>
        <v>4.7410488602810164E-2</v>
      </c>
      <c r="R26" s="146">
        <f t="shared" si="3"/>
        <v>4.7626984759654878E-2</v>
      </c>
      <c r="S26" s="146">
        <f t="shared" si="4"/>
        <v>5.4046388721715966E-2</v>
      </c>
      <c r="T26" s="146">
        <f t="shared" si="5"/>
        <v>5.2029873862994958E-2</v>
      </c>
      <c r="U26" s="146">
        <f t="shared" si="6"/>
        <v>5.0960062881311607E-2</v>
      </c>
      <c r="V26" s="146">
        <f t="shared" si="7"/>
        <v>4.8601836517857544E-2</v>
      </c>
      <c r="W26" s="146">
        <f t="shared" si="8"/>
        <v>4.6286914337792195E-2</v>
      </c>
      <c r="X26" s="146">
        <f t="shared" si="8"/>
        <v>4.4720725399813865E-2</v>
      </c>
    </row>
    <row r="27" spans="1:24">
      <c r="A27" s="139" t="s">
        <v>234</v>
      </c>
      <c r="B27" s="139" t="s">
        <v>209</v>
      </c>
      <c r="C27" s="851">
        <v>27.568000000000001</v>
      </c>
      <c r="D27" s="851">
        <v>29.236999999999998</v>
      </c>
      <c r="E27" s="851">
        <v>30.745999999999999</v>
      </c>
      <c r="F27" s="851">
        <v>32.966999999999999</v>
      </c>
      <c r="G27" s="851">
        <v>35.683</v>
      </c>
      <c r="H27" s="851">
        <v>38.753</v>
      </c>
      <c r="I27" s="851">
        <v>42.134999999999998</v>
      </c>
      <c r="J27" s="851">
        <v>45.819000000000003</v>
      </c>
      <c r="K27" s="851">
        <v>49.798000000000002</v>
      </c>
      <c r="L27" s="851">
        <v>53.8</v>
      </c>
      <c r="M27" s="851">
        <v>2016</v>
      </c>
      <c r="N27" s="851"/>
      <c r="P27" s="146">
        <f t="shared" si="1"/>
        <v>6.0541207196749713E-2</v>
      </c>
      <c r="Q27" s="146">
        <f t="shared" si="2"/>
        <v>5.1612682559770251E-2</v>
      </c>
      <c r="R27" s="146">
        <f t="shared" si="3"/>
        <v>7.2237038964418243E-2</v>
      </c>
      <c r="S27" s="146">
        <f t="shared" si="4"/>
        <v>8.2385415718749133E-2</v>
      </c>
      <c r="T27" s="146">
        <f t="shared" si="5"/>
        <v>8.6035366981475736E-2</v>
      </c>
      <c r="U27" s="146">
        <f t="shared" si="6"/>
        <v>8.7270662916419273E-2</v>
      </c>
      <c r="V27" s="146">
        <f t="shared" si="7"/>
        <v>8.7433250266998996E-2</v>
      </c>
      <c r="W27" s="146">
        <f t="shared" si="8"/>
        <v>8.6841703223553557E-2</v>
      </c>
      <c r="X27" s="146">
        <f t="shared" si="8"/>
        <v>8.0364673280051369E-2</v>
      </c>
    </row>
    <row r="28" spans="1:24">
      <c r="A28" s="139" t="s">
        <v>235</v>
      </c>
      <c r="B28" s="139" t="s">
        <v>209</v>
      </c>
      <c r="C28" s="851">
        <v>7.5830000000000002</v>
      </c>
      <c r="D28" s="851">
        <v>8.0660000000000007</v>
      </c>
      <c r="E28" s="851">
        <v>7.8310000000000004</v>
      </c>
      <c r="F28" s="851">
        <v>7.8490000000000002</v>
      </c>
      <c r="G28" s="851">
        <v>7.9850000000000003</v>
      </c>
      <c r="H28" s="851">
        <v>8.1530000000000005</v>
      </c>
      <c r="I28" s="851">
        <v>8.3610000000000007</v>
      </c>
      <c r="J28" s="851">
        <v>8.58</v>
      </c>
      <c r="K28" s="851">
        <v>8.8019999999999996</v>
      </c>
      <c r="L28" s="851">
        <v>9.016</v>
      </c>
      <c r="M28" s="851">
        <v>2015</v>
      </c>
      <c r="N28" s="851"/>
      <c r="P28" s="146">
        <f t="shared" si="1"/>
        <v>6.3695107477251822E-2</v>
      </c>
      <c r="Q28" s="146">
        <f t="shared" si="2"/>
        <v>-2.9134639226382375E-2</v>
      </c>
      <c r="R28" s="146">
        <f t="shared" si="3"/>
        <v>2.2985570169837821E-3</v>
      </c>
      <c r="S28" s="146">
        <f t="shared" si="4"/>
        <v>1.7327048031596348E-2</v>
      </c>
      <c r="T28" s="146">
        <f t="shared" si="5"/>
        <v>2.1039448966812868E-2</v>
      </c>
      <c r="U28" s="146">
        <f t="shared" si="6"/>
        <v>2.5512081442413903E-2</v>
      </c>
      <c r="V28" s="146">
        <f t="shared" si="7"/>
        <v>2.6193039110154137E-2</v>
      </c>
      <c r="W28" s="146">
        <f t="shared" si="8"/>
        <v>2.5874125874125742E-2</v>
      </c>
      <c r="X28" s="146">
        <f t="shared" si="8"/>
        <v>2.4312656214496853E-2</v>
      </c>
    </row>
    <row r="29" spans="1:24">
      <c r="A29" s="139" t="s">
        <v>236</v>
      </c>
      <c r="B29" s="139" t="s">
        <v>209</v>
      </c>
      <c r="C29" s="851">
        <v>3.21</v>
      </c>
      <c r="D29" s="851">
        <v>3.2879999999999998</v>
      </c>
      <c r="E29" s="851">
        <v>3.3570000000000002</v>
      </c>
      <c r="F29" s="851">
        <v>3.5289999999999999</v>
      </c>
      <c r="G29" s="851">
        <v>3.734</v>
      </c>
      <c r="H29" s="851">
        <v>3.9630000000000001</v>
      </c>
      <c r="I29" s="851">
        <v>4.2149999999999999</v>
      </c>
      <c r="J29" s="851">
        <v>4.4800000000000004</v>
      </c>
      <c r="K29" s="851">
        <v>4.7619999999999996</v>
      </c>
      <c r="L29" s="851">
        <v>5.0549999999999997</v>
      </c>
      <c r="M29" s="851">
        <v>2016</v>
      </c>
      <c r="N29" s="851"/>
      <c r="P29" s="146">
        <f t="shared" si="1"/>
        <v>2.4299065420560595E-2</v>
      </c>
      <c r="Q29" s="146">
        <f t="shared" si="2"/>
        <v>2.0985401459854058E-2</v>
      </c>
      <c r="R29" s="146">
        <f t="shared" si="3"/>
        <v>5.1236222817992116E-2</v>
      </c>
      <c r="S29" s="146">
        <f t="shared" si="4"/>
        <v>5.8090110512893256E-2</v>
      </c>
      <c r="T29" s="146">
        <f t="shared" si="5"/>
        <v>6.1328334226031123E-2</v>
      </c>
      <c r="U29" s="146">
        <f t="shared" si="6"/>
        <v>6.3588190764572339E-2</v>
      </c>
      <c r="V29" s="146">
        <f t="shared" si="7"/>
        <v>6.2870699881376169E-2</v>
      </c>
      <c r="W29" s="146">
        <f t="shared" si="8"/>
        <v>6.2946428571428292E-2</v>
      </c>
      <c r="X29" s="146">
        <f t="shared" si="8"/>
        <v>6.1528769424611607E-2</v>
      </c>
    </row>
    <row r="30" spans="1:24">
      <c r="A30" s="139" t="s">
        <v>237</v>
      </c>
      <c r="B30" s="139" t="s">
        <v>209</v>
      </c>
      <c r="C30" s="851">
        <v>46.094999999999999</v>
      </c>
      <c r="D30" s="851">
        <v>50.238</v>
      </c>
      <c r="E30" s="851">
        <v>54.438000000000002</v>
      </c>
      <c r="F30" s="851">
        <v>59.015000000000001</v>
      </c>
      <c r="G30" s="851">
        <v>64.213999999999999</v>
      </c>
      <c r="H30" s="851">
        <v>69.884</v>
      </c>
      <c r="I30" s="851">
        <v>76.224000000000004</v>
      </c>
      <c r="J30" s="851">
        <v>82.891999999999996</v>
      </c>
      <c r="K30" s="851">
        <v>89.944999999999993</v>
      </c>
      <c r="L30" s="851">
        <v>97.183999999999997</v>
      </c>
      <c r="M30" s="851">
        <v>2016</v>
      </c>
      <c r="N30" s="851"/>
      <c r="P30" s="146">
        <f t="shared" si="1"/>
        <v>8.987959648551902E-2</v>
      </c>
      <c r="Q30" s="146">
        <f t="shared" si="2"/>
        <v>8.360205422190381E-2</v>
      </c>
      <c r="R30" s="146">
        <f t="shared" si="3"/>
        <v>8.4077298945589352E-2</v>
      </c>
      <c r="S30" s="146">
        <f t="shared" si="4"/>
        <v>8.8096246716936388E-2</v>
      </c>
      <c r="T30" s="146">
        <f t="shared" si="5"/>
        <v>8.829850188432431E-2</v>
      </c>
      <c r="U30" s="146">
        <f t="shared" si="6"/>
        <v>9.0721767500429262E-2</v>
      </c>
      <c r="V30" s="146">
        <f t="shared" si="7"/>
        <v>8.74790092359361E-2</v>
      </c>
      <c r="W30" s="146">
        <f t="shared" si="8"/>
        <v>8.5086618732808983E-2</v>
      </c>
      <c r="X30" s="146">
        <f t="shared" si="8"/>
        <v>8.0482517093779515E-2</v>
      </c>
    </row>
    <row r="31" spans="1:24">
      <c r="A31" s="139" t="s">
        <v>238</v>
      </c>
      <c r="B31" s="139" t="s">
        <v>209</v>
      </c>
      <c r="C31" s="851">
        <v>63.087000000000003</v>
      </c>
      <c r="D31" s="851">
        <v>68.025000000000006</v>
      </c>
      <c r="E31" s="851">
        <v>72.727000000000004</v>
      </c>
      <c r="F31" s="851">
        <v>77.096000000000004</v>
      </c>
      <c r="G31" s="851">
        <v>81.554000000000002</v>
      </c>
      <c r="H31" s="851">
        <v>86.936000000000007</v>
      </c>
      <c r="I31" s="851">
        <v>93.218000000000004</v>
      </c>
      <c r="J31" s="851">
        <v>100.056</v>
      </c>
      <c r="K31" s="851">
        <v>107.702</v>
      </c>
      <c r="L31" s="851">
        <v>115.77</v>
      </c>
      <c r="M31" s="851">
        <v>2016</v>
      </c>
      <c r="N31" s="851"/>
      <c r="P31" s="146">
        <f t="shared" si="1"/>
        <v>7.8272861286794448E-2</v>
      </c>
      <c r="Q31" s="146">
        <f t="shared" si="2"/>
        <v>6.91216464535096E-2</v>
      </c>
      <c r="R31" s="146">
        <f t="shared" si="3"/>
        <v>6.0073975277407321E-2</v>
      </c>
      <c r="S31" s="146">
        <f t="shared" si="4"/>
        <v>5.7824011621874005E-2</v>
      </c>
      <c r="T31" s="146">
        <f t="shared" si="5"/>
        <v>6.5993084336758434E-2</v>
      </c>
      <c r="U31" s="146">
        <f t="shared" si="6"/>
        <v>7.2260053372595889E-2</v>
      </c>
      <c r="V31" s="146">
        <f t="shared" si="7"/>
        <v>7.3354931451007355E-2</v>
      </c>
      <c r="W31" s="146">
        <f t="shared" si="8"/>
        <v>7.6417206364435941E-2</v>
      </c>
      <c r="X31" s="146">
        <f t="shared" si="8"/>
        <v>7.4910400921059939E-2</v>
      </c>
    </row>
    <row r="32" spans="1:24">
      <c r="A32" s="139" t="s">
        <v>239</v>
      </c>
      <c r="B32" s="139" t="s">
        <v>209</v>
      </c>
      <c r="C32" s="1168">
        <v>1536.89</v>
      </c>
      <c r="D32" s="1168">
        <v>1604.6</v>
      </c>
      <c r="E32" s="1168">
        <v>1637.28</v>
      </c>
      <c r="F32" s="1168">
        <v>1682.5</v>
      </c>
      <c r="G32" s="1168">
        <v>1763.79</v>
      </c>
      <c r="H32" s="1168">
        <v>1836.12</v>
      </c>
      <c r="I32" s="1168">
        <v>1906.34</v>
      </c>
      <c r="J32" s="1168">
        <v>1979.29</v>
      </c>
      <c r="K32" s="1168">
        <v>2056.39</v>
      </c>
      <c r="L32" s="1168">
        <v>2132.79</v>
      </c>
      <c r="M32" s="851">
        <v>2016</v>
      </c>
      <c r="N32" s="851"/>
      <c r="P32" s="146">
        <f t="shared" si="1"/>
        <v>4.4056503718548301E-2</v>
      </c>
      <c r="Q32" s="146">
        <f t="shared" si="2"/>
        <v>2.0366446466409061E-2</v>
      </c>
      <c r="R32" s="146">
        <f t="shared" si="3"/>
        <v>2.7618977816866952E-2</v>
      </c>
      <c r="S32" s="146">
        <f t="shared" si="4"/>
        <v>4.831500742942052E-2</v>
      </c>
      <c r="T32" s="146">
        <f t="shared" si="5"/>
        <v>4.1008283299032167E-2</v>
      </c>
      <c r="U32" s="146">
        <f t="shared" si="6"/>
        <v>3.8243687776398083E-2</v>
      </c>
      <c r="V32" s="146">
        <f t="shared" si="7"/>
        <v>3.8267045752593987E-2</v>
      </c>
      <c r="W32" s="146">
        <f t="shared" si="8"/>
        <v>3.8953362064174435E-2</v>
      </c>
      <c r="X32" s="146">
        <f t="shared" si="8"/>
        <v>3.7152485666629431E-2</v>
      </c>
    </row>
    <row r="33" spans="1:24">
      <c r="A33" s="139" t="s">
        <v>240</v>
      </c>
      <c r="B33" s="139" t="s">
        <v>209</v>
      </c>
      <c r="C33" s="851">
        <v>2.762</v>
      </c>
      <c r="D33" s="851">
        <v>2.84</v>
      </c>
      <c r="E33" s="851">
        <v>3.0089999999999999</v>
      </c>
      <c r="F33" s="851">
        <v>3.1850000000000001</v>
      </c>
      <c r="G33" s="851">
        <v>3.395</v>
      </c>
      <c r="H33" s="851">
        <v>3.6349999999999998</v>
      </c>
      <c r="I33" s="851">
        <v>3.9060000000000001</v>
      </c>
      <c r="J33" s="851">
        <v>4.2069999999999999</v>
      </c>
      <c r="K33" s="851">
        <v>4.5359999999999996</v>
      </c>
      <c r="L33" s="851">
        <v>4.883</v>
      </c>
      <c r="M33" s="851">
        <v>2012</v>
      </c>
      <c r="N33" s="851"/>
      <c r="P33" s="146">
        <f t="shared" si="1"/>
        <v>2.8240405503258348E-2</v>
      </c>
      <c r="Q33" s="146">
        <f t="shared" si="2"/>
        <v>5.9507042253521103E-2</v>
      </c>
      <c r="R33" s="146">
        <f t="shared" si="3"/>
        <v>5.849119308740458E-2</v>
      </c>
      <c r="S33" s="146">
        <f t="shared" si="4"/>
        <v>6.5934065934065922E-2</v>
      </c>
      <c r="T33" s="146">
        <f t="shared" si="5"/>
        <v>7.0692194403534581E-2</v>
      </c>
      <c r="U33" s="146">
        <f t="shared" si="6"/>
        <v>7.4552957359009797E-2</v>
      </c>
      <c r="V33" s="146">
        <f t="shared" si="7"/>
        <v>7.7060931899641583E-2</v>
      </c>
      <c r="W33" s="146">
        <f t="shared" si="8"/>
        <v>7.8202995008319398E-2</v>
      </c>
      <c r="X33" s="146">
        <f t="shared" si="8"/>
        <v>7.6499118165785029E-2</v>
      </c>
    </row>
    <row r="34" spans="1:24">
      <c r="A34" s="139" t="s">
        <v>241</v>
      </c>
      <c r="B34" s="139" t="s">
        <v>209</v>
      </c>
      <c r="C34" s="851">
        <v>27.303999999999998</v>
      </c>
      <c r="D34" s="851">
        <v>29.71</v>
      </c>
      <c r="E34" s="851">
        <v>30.562999999999999</v>
      </c>
      <c r="F34" s="851">
        <v>28.962</v>
      </c>
      <c r="G34" s="851">
        <v>29.643999999999998</v>
      </c>
      <c r="H34" s="851">
        <v>30.951000000000001</v>
      </c>
      <c r="I34" s="851">
        <v>32.598999999999997</v>
      </c>
      <c r="J34" s="851">
        <v>34.598999999999997</v>
      </c>
      <c r="K34" s="851">
        <v>36.591999999999999</v>
      </c>
      <c r="L34" s="851">
        <v>38.658000000000001</v>
      </c>
      <c r="M34" s="851">
        <v>2015</v>
      </c>
      <c r="N34" s="851"/>
      <c r="P34" s="146">
        <f t="shared" si="1"/>
        <v>8.8118956929387648E-2</v>
      </c>
      <c r="Q34" s="146">
        <f t="shared" si="2"/>
        <v>2.8710871760349921E-2</v>
      </c>
      <c r="R34" s="146">
        <f t="shared" si="3"/>
        <v>-5.2383601086280818E-2</v>
      </c>
      <c r="S34" s="146">
        <f t="shared" si="4"/>
        <v>2.3548097507078092E-2</v>
      </c>
      <c r="T34" s="146">
        <f t="shared" si="5"/>
        <v>4.4089866414788847E-2</v>
      </c>
      <c r="U34" s="146">
        <f t="shared" si="6"/>
        <v>5.3245452489418588E-2</v>
      </c>
      <c r="V34" s="146">
        <f t="shared" si="7"/>
        <v>6.135157520169332E-2</v>
      </c>
      <c r="W34" s="146">
        <f t="shared" si="8"/>
        <v>5.7602820890777284E-2</v>
      </c>
      <c r="X34" s="146">
        <f t="shared" si="8"/>
        <v>5.6460428508963822E-2</v>
      </c>
    </row>
    <row r="35" spans="1:24">
      <c r="A35" s="139" t="s">
        <v>242</v>
      </c>
      <c r="B35" s="139" t="s">
        <v>209</v>
      </c>
      <c r="C35" s="851">
        <v>397.28399999999999</v>
      </c>
      <c r="D35" s="851">
        <v>412.13900000000001</v>
      </c>
      <c r="E35" s="851">
        <v>426.00400000000002</v>
      </c>
      <c r="F35" s="851">
        <v>438.32299999999998</v>
      </c>
      <c r="G35" s="851">
        <v>452.09500000000003</v>
      </c>
      <c r="H35" s="851">
        <v>472.41300000000001</v>
      </c>
      <c r="I35" s="851">
        <v>495.75599999999997</v>
      </c>
      <c r="J35" s="851">
        <v>520.84699999999998</v>
      </c>
      <c r="K35" s="851">
        <v>548.476</v>
      </c>
      <c r="L35" s="851">
        <v>577.26300000000003</v>
      </c>
      <c r="M35" s="851">
        <v>2016</v>
      </c>
      <c r="N35" s="851"/>
      <c r="P35" s="146">
        <f t="shared" si="1"/>
        <v>3.739138752126947E-2</v>
      </c>
      <c r="Q35" s="146">
        <f t="shared" si="2"/>
        <v>3.3641562676669734E-2</v>
      </c>
      <c r="R35" s="146">
        <f t="shared" si="3"/>
        <v>2.891756884911878E-2</v>
      </c>
      <c r="S35" s="146">
        <f t="shared" si="4"/>
        <v>3.1419752100619869E-2</v>
      </c>
      <c r="T35" s="146">
        <f t="shared" si="5"/>
        <v>4.4941881684159357E-2</v>
      </c>
      <c r="U35" s="146">
        <f t="shared" si="6"/>
        <v>4.9412272735932294E-2</v>
      </c>
      <c r="V35" s="146">
        <f t="shared" si="7"/>
        <v>5.0611591185986571E-2</v>
      </c>
      <c r="W35" s="146">
        <f t="shared" si="8"/>
        <v>5.3046288065401237E-2</v>
      </c>
      <c r="X35" s="146">
        <f t="shared" si="8"/>
        <v>5.2485432361671247E-2</v>
      </c>
    </row>
    <row r="36" spans="1:24">
      <c r="A36" s="139" t="s">
        <v>243</v>
      </c>
      <c r="B36" s="139" t="s">
        <v>209</v>
      </c>
      <c r="C36" s="1168">
        <v>16689.400000000001</v>
      </c>
      <c r="D36" s="1168">
        <v>18229.13</v>
      </c>
      <c r="E36" s="1168">
        <v>19698.23</v>
      </c>
      <c r="F36" s="1168">
        <v>21286.18</v>
      </c>
      <c r="G36" s="1168">
        <v>23122.03</v>
      </c>
      <c r="H36" s="1168">
        <v>25102.92</v>
      </c>
      <c r="I36" s="1168">
        <v>27253.84</v>
      </c>
      <c r="J36" s="1168">
        <v>29552.39</v>
      </c>
      <c r="K36" s="1168">
        <v>31976.12</v>
      </c>
      <c r="L36" s="1168">
        <v>34465.410000000003</v>
      </c>
      <c r="M36" s="851">
        <v>2016</v>
      </c>
      <c r="N36" s="851"/>
      <c r="P36" s="146">
        <f t="shared" si="1"/>
        <v>9.2257960142365869E-2</v>
      </c>
      <c r="Q36" s="146">
        <f t="shared" si="2"/>
        <v>8.0590790674047508E-2</v>
      </c>
      <c r="R36" s="146">
        <f t="shared" si="3"/>
        <v>8.0613841954327858E-2</v>
      </c>
      <c r="S36" s="146">
        <f t="shared" si="4"/>
        <v>8.6246099581982261E-2</v>
      </c>
      <c r="T36" s="146">
        <f t="shared" si="5"/>
        <v>8.5671111057290306E-2</v>
      </c>
      <c r="U36" s="146">
        <f t="shared" si="6"/>
        <v>8.5684055878758381E-2</v>
      </c>
      <c r="V36" s="146">
        <f t="shared" si="7"/>
        <v>8.4338573940406114E-2</v>
      </c>
      <c r="W36" s="146">
        <f t="shared" si="8"/>
        <v>8.2014686460215147E-2</v>
      </c>
      <c r="X36" s="146">
        <f t="shared" si="8"/>
        <v>7.7848406873629594E-2</v>
      </c>
    </row>
    <row r="37" spans="1:24">
      <c r="A37" s="139" t="s">
        <v>244</v>
      </c>
      <c r="B37" s="139" t="s">
        <v>209</v>
      </c>
      <c r="C37" s="851">
        <v>602.44100000000003</v>
      </c>
      <c r="D37" s="851">
        <v>640.19799999999998</v>
      </c>
      <c r="E37" s="851">
        <v>666.89</v>
      </c>
      <c r="F37" s="851">
        <v>688.63699999999994</v>
      </c>
      <c r="G37" s="851">
        <v>712.54300000000001</v>
      </c>
      <c r="H37" s="851">
        <v>747.024</v>
      </c>
      <c r="I37" s="851">
        <v>790.04899999999998</v>
      </c>
      <c r="J37" s="851">
        <v>836.11099999999999</v>
      </c>
      <c r="K37" s="851">
        <v>884.62800000000004</v>
      </c>
      <c r="L37" s="851">
        <v>934.56</v>
      </c>
      <c r="M37" s="851">
        <v>2016</v>
      </c>
      <c r="N37" s="851"/>
      <c r="P37" s="146">
        <f t="shared" si="1"/>
        <v>6.2673357225022874E-2</v>
      </c>
      <c r="Q37" s="146">
        <f t="shared" si="2"/>
        <v>4.1693351119497457E-2</v>
      </c>
      <c r="R37" s="146">
        <f t="shared" si="3"/>
        <v>3.2609575792109657E-2</v>
      </c>
      <c r="S37" s="146">
        <f t="shared" si="4"/>
        <v>3.4714951418526763E-2</v>
      </c>
      <c r="T37" s="146">
        <f t="shared" si="5"/>
        <v>4.8391465497520825E-2</v>
      </c>
      <c r="U37" s="146">
        <f t="shared" si="6"/>
        <v>5.7595204437876024E-2</v>
      </c>
      <c r="V37" s="146">
        <f t="shared" si="7"/>
        <v>5.8302712869708007E-2</v>
      </c>
      <c r="W37" s="146">
        <f t="shared" si="8"/>
        <v>5.8026984455413322E-2</v>
      </c>
      <c r="X37" s="146">
        <f t="shared" si="8"/>
        <v>5.6444064623774048E-2</v>
      </c>
    </row>
    <row r="38" spans="1:24">
      <c r="A38" s="139" t="s">
        <v>245</v>
      </c>
      <c r="B38" s="139" t="s">
        <v>209</v>
      </c>
      <c r="C38" s="851">
        <v>1.1479999999999999</v>
      </c>
      <c r="D38" s="851">
        <v>1.1910000000000001</v>
      </c>
      <c r="E38" s="851">
        <v>1.2170000000000001</v>
      </c>
      <c r="F38" s="851">
        <v>1.2589999999999999</v>
      </c>
      <c r="G38" s="851">
        <v>1.323</v>
      </c>
      <c r="H38" s="851">
        <v>1.403</v>
      </c>
      <c r="I38" s="851">
        <v>1.49</v>
      </c>
      <c r="J38" s="851">
        <v>1.5820000000000001</v>
      </c>
      <c r="K38" s="851">
        <v>1.679</v>
      </c>
      <c r="L38" s="851">
        <v>1.78</v>
      </c>
      <c r="M38" s="851">
        <v>2015</v>
      </c>
      <c r="N38" s="851"/>
      <c r="P38" s="146">
        <f t="shared" si="1"/>
        <v>3.7456445993031551E-2</v>
      </c>
      <c r="Q38" s="146">
        <f t="shared" si="2"/>
        <v>2.1830394626364491E-2</v>
      </c>
      <c r="R38" s="146">
        <f t="shared" si="3"/>
        <v>3.4511092851273517E-2</v>
      </c>
      <c r="S38" s="146">
        <f t="shared" si="4"/>
        <v>5.083399523431309E-2</v>
      </c>
      <c r="T38" s="146">
        <f t="shared" si="5"/>
        <v>6.0468631897203418E-2</v>
      </c>
      <c r="U38" s="146">
        <f t="shared" si="6"/>
        <v>6.2009978617248773E-2</v>
      </c>
      <c r="V38" s="146">
        <f t="shared" si="7"/>
        <v>6.174496644295302E-2</v>
      </c>
      <c r="W38" s="146">
        <f t="shared" si="8"/>
        <v>6.1314791403286995E-2</v>
      </c>
      <c r="X38" s="146">
        <f t="shared" si="8"/>
        <v>6.0154854079809361E-2</v>
      </c>
    </row>
    <row r="39" spans="1:24">
      <c r="A39" s="139" t="s">
        <v>246</v>
      </c>
      <c r="B39" s="139" t="s">
        <v>209</v>
      </c>
      <c r="C39" s="851">
        <v>52.058999999999997</v>
      </c>
      <c r="D39" s="851">
        <v>58.011000000000003</v>
      </c>
      <c r="E39" s="851">
        <v>62.695999999999998</v>
      </c>
      <c r="F39" s="851">
        <v>65.02</v>
      </c>
      <c r="G39" s="851">
        <v>67.988</v>
      </c>
      <c r="H39" s="851">
        <v>71.379000000000005</v>
      </c>
      <c r="I39" s="851">
        <v>75.287999999999997</v>
      </c>
      <c r="J39" s="851">
        <v>79.734999999999999</v>
      </c>
      <c r="K39" s="851">
        <v>84.897999999999996</v>
      </c>
      <c r="L39" s="851">
        <v>90.6</v>
      </c>
      <c r="M39" s="851">
        <v>2015</v>
      </c>
      <c r="N39" s="851"/>
      <c r="P39" s="146">
        <f t="shared" si="1"/>
        <v>0.11433181582435314</v>
      </c>
      <c r="Q39" s="146">
        <f t="shared" si="2"/>
        <v>8.0760545413800733E-2</v>
      </c>
      <c r="R39" s="146">
        <f t="shared" si="3"/>
        <v>3.7067755518693346E-2</v>
      </c>
      <c r="S39" s="146">
        <f t="shared" si="4"/>
        <v>4.5647493079052692E-2</v>
      </c>
      <c r="T39" s="146">
        <f t="shared" si="5"/>
        <v>4.9876448785079797E-2</v>
      </c>
      <c r="U39" s="146">
        <f t="shared" si="6"/>
        <v>5.4764006220316741E-2</v>
      </c>
      <c r="V39" s="146">
        <f t="shared" si="7"/>
        <v>5.906651790457973E-2</v>
      </c>
      <c r="W39" s="146">
        <f t="shared" si="8"/>
        <v>6.4751990970088436E-2</v>
      </c>
      <c r="X39" s="146">
        <f t="shared" si="8"/>
        <v>6.716294847935167E-2</v>
      </c>
    </row>
    <row r="40" spans="1:24">
      <c r="A40" s="139" t="s">
        <v>247</v>
      </c>
      <c r="B40" s="139" t="s">
        <v>209</v>
      </c>
      <c r="C40" s="851">
        <v>26.782</v>
      </c>
      <c r="D40" s="851">
        <v>29.128</v>
      </c>
      <c r="E40" s="851">
        <v>30.215</v>
      </c>
      <c r="F40" s="851">
        <v>29.74</v>
      </c>
      <c r="G40" s="851">
        <v>29.158999999999999</v>
      </c>
      <c r="H40" s="851">
        <v>30.562000000000001</v>
      </c>
      <c r="I40" s="851">
        <v>30.785</v>
      </c>
      <c r="J40" s="851">
        <v>31.52</v>
      </c>
      <c r="K40" s="851">
        <v>32.372999999999998</v>
      </c>
      <c r="L40" s="851">
        <v>33.084000000000003</v>
      </c>
      <c r="M40" s="851">
        <v>2015</v>
      </c>
      <c r="N40" s="851"/>
      <c r="P40" s="146">
        <f t="shared" si="1"/>
        <v>8.7596146665670949E-2</v>
      </c>
      <c r="Q40" s="146">
        <f t="shared" si="2"/>
        <v>3.731804449327103E-2</v>
      </c>
      <c r="R40" s="146">
        <f t="shared" si="3"/>
        <v>-1.5720668542114846E-2</v>
      </c>
      <c r="S40" s="146">
        <f t="shared" si="4"/>
        <v>-1.953597848016142E-2</v>
      </c>
      <c r="T40" s="146">
        <f t="shared" si="5"/>
        <v>4.8115504646935925E-2</v>
      </c>
      <c r="U40" s="146">
        <f t="shared" si="6"/>
        <v>7.296642889863092E-3</v>
      </c>
      <c r="V40" s="146">
        <f t="shared" si="7"/>
        <v>2.3875263927237267E-2</v>
      </c>
      <c r="W40" s="146">
        <f t="shared" si="8"/>
        <v>2.7062182741116603E-2</v>
      </c>
      <c r="X40" s="146">
        <f t="shared" si="8"/>
        <v>2.196274673338916E-2</v>
      </c>
    </row>
    <row r="41" spans="1:24">
      <c r="A41" s="139" t="s">
        <v>248</v>
      </c>
      <c r="B41" s="139" t="s">
        <v>209</v>
      </c>
      <c r="C41" s="851">
        <v>68.358999999999995</v>
      </c>
      <c r="D41" s="851">
        <v>72.13</v>
      </c>
      <c r="E41" s="851">
        <v>76.355999999999995</v>
      </c>
      <c r="F41" s="851">
        <v>80.677999999999997</v>
      </c>
      <c r="G41" s="851">
        <v>85.203000000000003</v>
      </c>
      <c r="H41" s="851">
        <v>90.156999999999996</v>
      </c>
      <c r="I41" s="851">
        <v>95.671999999999997</v>
      </c>
      <c r="J41" s="851">
        <v>101.494</v>
      </c>
      <c r="K41" s="851">
        <v>107.643</v>
      </c>
      <c r="L41" s="851">
        <v>113.99299999999999</v>
      </c>
      <c r="M41" s="851">
        <v>2016</v>
      </c>
      <c r="N41" s="851"/>
      <c r="P41" s="146">
        <f t="shared" si="1"/>
        <v>5.5164645474626628E-2</v>
      </c>
      <c r="Q41" s="146">
        <f t="shared" si="2"/>
        <v>5.8588659365035323E-2</v>
      </c>
      <c r="R41" s="146">
        <f t="shared" si="3"/>
        <v>5.6603279375556648E-2</v>
      </c>
      <c r="S41" s="146">
        <f t="shared" si="4"/>
        <v>5.6087161307915467E-2</v>
      </c>
      <c r="T41" s="146">
        <f t="shared" si="5"/>
        <v>5.8143492600025715E-2</v>
      </c>
      <c r="U41" s="146">
        <f t="shared" si="6"/>
        <v>6.1171068247612537E-2</v>
      </c>
      <c r="V41" s="146">
        <f t="shared" si="7"/>
        <v>6.085375031357132E-2</v>
      </c>
      <c r="W41" s="146">
        <f t="shared" si="8"/>
        <v>6.0584862159339448E-2</v>
      </c>
      <c r="X41" s="146">
        <f t="shared" si="8"/>
        <v>5.8991295300205193E-2</v>
      </c>
    </row>
    <row r="42" spans="1:24">
      <c r="A42" s="139" t="s">
        <v>249</v>
      </c>
      <c r="B42" s="139" t="s">
        <v>209</v>
      </c>
      <c r="C42" s="851">
        <v>66.078000000000003</v>
      </c>
      <c r="D42" s="851">
        <v>73.179000000000002</v>
      </c>
      <c r="E42" s="851">
        <v>80.587999999999994</v>
      </c>
      <c r="F42" s="851">
        <v>87.912000000000006</v>
      </c>
      <c r="G42" s="851">
        <v>96.27</v>
      </c>
      <c r="H42" s="851">
        <v>105.339</v>
      </c>
      <c r="I42" s="851">
        <v>115.19499999999999</v>
      </c>
      <c r="J42" s="851">
        <v>125.705</v>
      </c>
      <c r="K42" s="851">
        <v>136.80699999999999</v>
      </c>
      <c r="L42" s="851">
        <v>148.47300000000001</v>
      </c>
      <c r="M42" s="851">
        <v>2014</v>
      </c>
      <c r="N42" s="851"/>
      <c r="P42" s="146">
        <f t="shared" si="1"/>
        <v>0.1074639062925633</v>
      </c>
      <c r="Q42" s="146">
        <f t="shared" si="2"/>
        <v>0.10124489266046255</v>
      </c>
      <c r="R42" s="146">
        <f t="shared" si="3"/>
        <v>9.0882017173772978E-2</v>
      </c>
      <c r="S42" s="146">
        <f t="shared" si="4"/>
        <v>9.5072345072344966E-2</v>
      </c>
      <c r="T42" s="146">
        <f t="shared" si="5"/>
        <v>9.420380180741672E-2</v>
      </c>
      <c r="U42" s="146">
        <f t="shared" si="6"/>
        <v>9.356458671527168E-2</v>
      </c>
      <c r="V42" s="146">
        <f t="shared" si="7"/>
        <v>9.1236598810712222E-2</v>
      </c>
      <c r="W42" s="146">
        <f t="shared" si="8"/>
        <v>8.8317887116661886E-2</v>
      </c>
      <c r="X42" s="146">
        <f t="shared" si="8"/>
        <v>8.5273414372071699E-2</v>
      </c>
    </row>
    <row r="43" spans="1:24">
      <c r="A43" s="139" t="s">
        <v>250</v>
      </c>
      <c r="B43" s="139" t="s">
        <v>209</v>
      </c>
      <c r="C43" s="851">
        <v>87.602000000000004</v>
      </c>
      <c r="D43" s="851">
        <v>88.734999999999999</v>
      </c>
      <c r="E43" s="851">
        <v>91.712000000000003</v>
      </c>
      <c r="F43" s="851">
        <v>95.653000000000006</v>
      </c>
      <c r="G43" s="851">
        <v>100.181</v>
      </c>
      <c r="H43" s="851">
        <v>104.85599999999999</v>
      </c>
      <c r="I43" s="851">
        <v>109.749</v>
      </c>
      <c r="J43" s="851">
        <v>114.599</v>
      </c>
      <c r="K43" s="851">
        <v>119.515</v>
      </c>
      <c r="L43" s="851">
        <v>124.426</v>
      </c>
      <c r="M43" s="851">
        <v>2016</v>
      </c>
      <c r="N43" s="851"/>
      <c r="P43" s="146">
        <f t="shared" si="1"/>
        <v>1.2933494669071344E-2</v>
      </c>
      <c r="Q43" s="146">
        <f t="shared" si="2"/>
        <v>3.3549332281512356E-2</v>
      </c>
      <c r="R43" s="146">
        <f t="shared" si="3"/>
        <v>4.2971475924633573E-2</v>
      </c>
      <c r="S43" s="146">
        <f t="shared" si="4"/>
        <v>4.7337772991960403E-2</v>
      </c>
      <c r="T43" s="146">
        <f t="shared" si="5"/>
        <v>4.666553538096041E-2</v>
      </c>
      <c r="U43" s="146">
        <f t="shared" si="6"/>
        <v>4.6663996337834801E-2</v>
      </c>
      <c r="V43" s="146">
        <f t="shared" si="7"/>
        <v>4.4191746621837114E-2</v>
      </c>
      <c r="W43" s="146">
        <f t="shared" si="8"/>
        <v>4.2897407481740757E-2</v>
      </c>
      <c r="X43" s="146">
        <f t="shared" si="8"/>
        <v>4.1091076433920515E-2</v>
      </c>
    </row>
    <row r="44" spans="1:24">
      <c r="A44" s="139" t="s">
        <v>251</v>
      </c>
      <c r="B44" s="139" t="s">
        <v>209</v>
      </c>
      <c r="C44" s="851">
        <v>27.640999999999998</v>
      </c>
      <c r="D44" s="851">
        <v>27.707000000000001</v>
      </c>
      <c r="E44" s="851">
        <v>28.477</v>
      </c>
      <c r="F44" s="851">
        <v>29.658000000000001</v>
      </c>
      <c r="G44" s="851">
        <v>31.190999999999999</v>
      </c>
      <c r="H44" s="851">
        <v>32.624000000000002</v>
      </c>
      <c r="I44" s="851">
        <v>34.112000000000002</v>
      </c>
      <c r="J44" s="851">
        <v>35.61</v>
      </c>
      <c r="K44" s="851">
        <v>37.155999999999999</v>
      </c>
      <c r="L44" s="851">
        <v>38.712000000000003</v>
      </c>
      <c r="M44" s="851">
        <v>2016</v>
      </c>
      <c r="N44" s="851"/>
      <c r="P44" s="146">
        <f t="shared" si="1"/>
        <v>2.3877573170292266E-3</v>
      </c>
      <c r="Q44" s="146">
        <f t="shared" si="2"/>
        <v>2.7790810986393355E-2</v>
      </c>
      <c r="R44" s="146">
        <f t="shared" si="3"/>
        <v>4.1472065175404804E-2</v>
      </c>
      <c r="S44" s="146">
        <f t="shared" si="4"/>
        <v>5.1689257535909361E-2</v>
      </c>
      <c r="T44" s="146">
        <f t="shared" si="5"/>
        <v>4.5942739892917972E-2</v>
      </c>
      <c r="U44" s="146">
        <f t="shared" si="6"/>
        <v>4.5610593428150992E-2</v>
      </c>
      <c r="V44" s="146">
        <f t="shared" si="7"/>
        <v>4.3914165103189351E-2</v>
      </c>
      <c r="W44" s="146">
        <f t="shared" si="8"/>
        <v>4.3414771131704555E-2</v>
      </c>
      <c r="X44" s="146">
        <f t="shared" si="8"/>
        <v>4.1877489503714171E-2</v>
      </c>
    </row>
    <row r="45" spans="1:24">
      <c r="A45" s="139" t="s">
        <v>252</v>
      </c>
      <c r="B45" s="139" t="s">
        <v>209</v>
      </c>
      <c r="C45" s="851">
        <v>305.98399999999998</v>
      </c>
      <c r="D45" s="851">
        <v>319.93200000000002</v>
      </c>
      <c r="E45" s="851">
        <v>340.57100000000003</v>
      </c>
      <c r="F45" s="851">
        <v>353.86200000000002</v>
      </c>
      <c r="G45" s="851">
        <v>372.61700000000002</v>
      </c>
      <c r="H45" s="851">
        <v>389.64600000000002</v>
      </c>
      <c r="I45" s="851">
        <v>407.012</v>
      </c>
      <c r="J45" s="851">
        <v>425</v>
      </c>
      <c r="K45" s="851">
        <v>443.95600000000002</v>
      </c>
      <c r="L45" s="851">
        <v>463.00400000000002</v>
      </c>
      <c r="M45" s="851">
        <v>2016</v>
      </c>
      <c r="N45" s="851"/>
      <c r="P45" s="146">
        <f t="shared" si="1"/>
        <v>4.5584082827860417E-2</v>
      </c>
      <c r="Q45" s="146">
        <f t="shared" si="2"/>
        <v>6.4510583498993634E-2</v>
      </c>
      <c r="R45" s="146">
        <f t="shared" si="3"/>
        <v>3.9025636357763904E-2</v>
      </c>
      <c r="S45" s="146">
        <f t="shared" si="4"/>
        <v>5.3000887351566384E-2</v>
      </c>
      <c r="T45" s="146">
        <f t="shared" si="5"/>
        <v>4.5701081807861588E-2</v>
      </c>
      <c r="U45" s="146">
        <f t="shared" si="6"/>
        <v>4.4568659757831419E-2</v>
      </c>
      <c r="V45" s="146">
        <f t="shared" si="7"/>
        <v>4.4195257142295663E-2</v>
      </c>
      <c r="W45" s="146">
        <f t="shared" si="8"/>
        <v>4.4602352941176537E-2</v>
      </c>
      <c r="X45" s="146">
        <f t="shared" si="8"/>
        <v>4.2905152762886312E-2</v>
      </c>
    </row>
    <row r="46" spans="1:24">
      <c r="A46" s="139" t="s">
        <v>253</v>
      </c>
      <c r="B46" s="139" t="s">
        <v>209</v>
      </c>
      <c r="C46" s="851">
        <v>251.459</v>
      </c>
      <c r="D46" s="851">
        <v>260.26</v>
      </c>
      <c r="E46" s="851">
        <v>267.30500000000001</v>
      </c>
      <c r="F46" s="851">
        <v>275.26100000000002</v>
      </c>
      <c r="G46" s="851">
        <v>285.46800000000002</v>
      </c>
      <c r="H46" s="851">
        <v>296.37099999999998</v>
      </c>
      <c r="I46" s="851">
        <v>308.16800000000001</v>
      </c>
      <c r="J46" s="851">
        <v>320.56299999999999</v>
      </c>
      <c r="K46" s="851">
        <v>333.20800000000003</v>
      </c>
      <c r="L46" s="851">
        <v>345.87200000000001</v>
      </c>
      <c r="M46" s="851">
        <v>2015</v>
      </c>
      <c r="N46" s="851"/>
      <c r="P46" s="146">
        <f t="shared" si="1"/>
        <v>3.4999741508556115E-2</v>
      </c>
      <c r="Q46" s="146">
        <f t="shared" si="2"/>
        <v>2.7069084761392581E-2</v>
      </c>
      <c r="R46" s="146">
        <f t="shared" si="3"/>
        <v>2.9763753016217587E-2</v>
      </c>
      <c r="S46" s="146">
        <f t="shared" si="4"/>
        <v>3.7081170234795291E-2</v>
      </c>
      <c r="T46" s="146">
        <f t="shared" si="5"/>
        <v>3.81934227303935E-2</v>
      </c>
      <c r="U46" s="146">
        <f t="shared" si="6"/>
        <v>3.980483920491551E-2</v>
      </c>
      <c r="V46" s="146">
        <f t="shared" si="7"/>
        <v>4.0221567456711904E-2</v>
      </c>
      <c r="W46" s="146">
        <f t="shared" si="8"/>
        <v>3.9446224299123811E-2</v>
      </c>
      <c r="X46" s="146">
        <f t="shared" si="8"/>
        <v>3.800629036517722E-2</v>
      </c>
    </row>
    <row r="47" spans="1:24">
      <c r="A47" s="139" t="s">
        <v>254</v>
      </c>
      <c r="B47" s="139" t="s">
        <v>209</v>
      </c>
      <c r="C47" s="851">
        <v>2.669</v>
      </c>
      <c r="D47" s="851">
        <v>2.88</v>
      </c>
      <c r="E47" s="851">
        <v>3.1</v>
      </c>
      <c r="F47" s="851">
        <v>3.3439999999999999</v>
      </c>
      <c r="G47" s="851">
        <v>3.64</v>
      </c>
      <c r="H47" s="851">
        <v>3.9710000000000001</v>
      </c>
      <c r="I47" s="851">
        <v>4.3390000000000004</v>
      </c>
      <c r="J47" s="851">
        <v>4.6959999999999997</v>
      </c>
      <c r="K47" s="851">
        <v>5.0819999999999999</v>
      </c>
      <c r="L47" s="851">
        <v>5.49</v>
      </c>
      <c r="M47" s="851">
        <v>2014</v>
      </c>
      <c r="N47" s="851"/>
      <c r="P47" s="146">
        <f t="shared" si="1"/>
        <v>7.9055826152116815E-2</v>
      </c>
      <c r="Q47" s="146">
        <f t="shared" si="2"/>
        <v>7.6388888888889062E-2</v>
      </c>
      <c r="R47" s="146">
        <f t="shared" si="3"/>
        <v>7.8709677419354751E-2</v>
      </c>
      <c r="S47" s="146">
        <f t="shared" si="4"/>
        <v>8.8516746411483327E-2</v>
      </c>
      <c r="T47" s="146">
        <f t="shared" si="5"/>
        <v>9.0934065934065833E-2</v>
      </c>
      <c r="U47" s="146">
        <f t="shared" si="6"/>
        <v>9.267187106522301E-2</v>
      </c>
      <c r="V47" s="146">
        <f t="shared" si="7"/>
        <v>8.2277022355381257E-2</v>
      </c>
      <c r="W47" s="146">
        <f t="shared" si="8"/>
        <v>8.2197614991482038E-2</v>
      </c>
      <c r="X47" s="146">
        <f t="shared" si="8"/>
        <v>8.0283353010625724E-2</v>
      </c>
    </row>
    <row r="48" spans="1:24">
      <c r="A48" s="139" t="s">
        <v>255</v>
      </c>
      <c r="B48" s="139" t="s">
        <v>209</v>
      </c>
      <c r="C48" s="851">
        <v>0.74</v>
      </c>
      <c r="D48" s="851">
        <v>0.78600000000000003</v>
      </c>
      <c r="E48" s="851">
        <v>0.77400000000000002</v>
      </c>
      <c r="F48" s="851">
        <v>0.80500000000000005</v>
      </c>
      <c r="G48" s="851">
        <v>0.85099999999999998</v>
      </c>
      <c r="H48" s="851">
        <v>0.89200000000000002</v>
      </c>
      <c r="I48" s="851">
        <v>0.92800000000000005</v>
      </c>
      <c r="J48" s="851">
        <v>0.96699999999999997</v>
      </c>
      <c r="K48" s="851">
        <v>1.0049999999999999</v>
      </c>
      <c r="L48" s="851">
        <v>1.04</v>
      </c>
      <c r="M48" s="851">
        <v>2015</v>
      </c>
      <c r="N48" s="851"/>
      <c r="P48" s="146">
        <f t="shared" si="1"/>
        <v>6.2162162162162193E-2</v>
      </c>
      <c r="Q48" s="146">
        <f t="shared" si="2"/>
        <v>-1.5267175572519109E-2</v>
      </c>
      <c r="R48" s="146">
        <f t="shared" si="3"/>
        <v>4.0051679586563305E-2</v>
      </c>
      <c r="S48" s="146">
        <f t="shared" si="4"/>
        <v>5.7142857142857162E-2</v>
      </c>
      <c r="T48" s="146">
        <f t="shared" si="5"/>
        <v>4.817861339600471E-2</v>
      </c>
      <c r="U48" s="146">
        <f t="shared" si="6"/>
        <v>4.0358744394618951E-2</v>
      </c>
      <c r="V48" s="146">
        <f t="shared" si="7"/>
        <v>4.2025862068965525E-2</v>
      </c>
      <c r="W48" s="146">
        <f t="shared" si="8"/>
        <v>3.9296794208893315E-2</v>
      </c>
      <c r="X48" s="146">
        <f t="shared" si="8"/>
        <v>3.4825870646766344E-2</v>
      </c>
    </row>
    <row r="49" spans="1:24">
      <c r="A49" s="139" t="s">
        <v>256</v>
      </c>
      <c r="B49" s="139" t="s">
        <v>209</v>
      </c>
      <c r="C49" s="851">
        <v>126.482</v>
      </c>
      <c r="D49" s="851">
        <v>138.54900000000001</v>
      </c>
      <c r="E49" s="851">
        <v>149.91200000000001</v>
      </c>
      <c r="F49" s="851">
        <v>161.91399999999999</v>
      </c>
      <c r="G49" s="851">
        <v>172.57599999999999</v>
      </c>
      <c r="H49" s="851">
        <v>186.12799999999999</v>
      </c>
      <c r="I49" s="851">
        <v>199.548</v>
      </c>
      <c r="J49" s="851">
        <v>213.87100000000001</v>
      </c>
      <c r="K49" s="851">
        <v>229.16300000000001</v>
      </c>
      <c r="L49" s="851">
        <v>245.18100000000001</v>
      </c>
      <c r="M49" s="851">
        <v>2016</v>
      </c>
      <c r="N49" s="851"/>
      <c r="P49" s="146">
        <f t="shared" si="1"/>
        <v>9.5404879745734528E-2</v>
      </c>
      <c r="Q49" s="146">
        <f t="shared" si="2"/>
        <v>8.2014305408194987E-2</v>
      </c>
      <c r="R49" s="146">
        <f t="shared" si="3"/>
        <v>8.0060302043865494E-2</v>
      </c>
      <c r="S49" s="146">
        <f t="shared" si="4"/>
        <v>6.584977210123899E-2</v>
      </c>
      <c r="T49" s="146">
        <f t="shared" si="5"/>
        <v>7.8527721119970195E-2</v>
      </c>
      <c r="U49" s="146">
        <f t="shared" si="6"/>
        <v>7.2100919797128959E-2</v>
      </c>
      <c r="V49" s="146">
        <f t="shared" si="7"/>
        <v>7.1777216509311126E-2</v>
      </c>
      <c r="W49" s="146">
        <f t="shared" si="8"/>
        <v>7.1501045022466903E-2</v>
      </c>
      <c r="X49" s="146">
        <f t="shared" si="8"/>
        <v>6.9897845638257516E-2</v>
      </c>
    </row>
    <row r="50" spans="1:24">
      <c r="A50" s="139" t="s">
        <v>257</v>
      </c>
      <c r="B50" s="139" t="s">
        <v>209</v>
      </c>
      <c r="C50" s="851">
        <v>172.86199999999999</v>
      </c>
      <c r="D50" s="851">
        <v>182.99</v>
      </c>
      <c r="E50" s="851">
        <v>185.26599999999999</v>
      </c>
      <c r="F50" s="851">
        <v>184.876</v>
      </c>
      <c r="G50" s="851">
        <v>188.47300000000001</v>
      </c>
      <c r="H50" s="851">
        <v>193.221</v>
      </c>
      <c r="I50" s="851">
        <v>199.26599999999999</v>
      </c>
      <c r="J50" s="851">
        <v>206.374</v>
      </c>
      <c r="K50" s="851">
        <v>213.79</v>
      </c>
      <c r="L50" s="851">
        <v>221.46899999999999</v>
      </c>
      <c r="M50" s="851">
        <v>2016</v>
      </c>
      <c r="N50" s="851"/>
      <c r="P50" s="146">
        <f t="shared" si="1"/>
        <v>5.8590089204105134E-2</v>
      </c>
      <c r="Q50" s="146">
        <f t="shared" si="2"/>
        <v>1.2437838133231294E-2</v>
      </c>
      <c r="R50" s="146">
        <f t="shared" si="3"/>
        <v>-2.1050813425020909E-3</v>
      </c>
      <c r="S50" s="146">
        <f t="shared" si="4"/>
        <v>1.9456284212120645E-2</v>
      </c>
      <c r="T50" s="146">
        <f t="shared" si="5"/>
        <v>2.5191937306669798E-2</v>
      </c>
      <c r="U50" s="146">
        <f t="shared" si="6"/>
        <v>3.1285419286723348E-2</v>
      </c>
      <c r="V50" s="146">
        <f t="shared" si="7"/>
        <v>3.5670912247949937E-2</v>
      </c>
      <c r="W50" s="146">
        <f t="shared" si="8"/>
        <v>3.5934759223545498E-2</v>
      </c>
      <c r="X50" s="146">
        <f t="shared" si="8"/>
        <v>3.5918424622292999E-2</v>
      </c>
    </row>
    <row r="51" spans="1:24">
      <c r="A51" s="139" t="s">
        <v>258</v>
      </c>
      <c r="B51" s="139" t="s">
        <v>209</v>
      </c>
      <c r="C51" s="851">
        <v>969.65300000000002</v>
      </c>
      <c r="D51" s="1168">
        <v>1015.84</v>
      </c>
      <c r="E51" s="1168">
        <v>1071.75</v>
      </c>
      <c r="F51" s="1168">
        <v>1132.07</v>
      </c>
      <c r="G51" s="1168">
        <v>1199.01</v>
      </c>
      <c r="H51" s="1168">
        <v>1276.82</v>
      </c>
      <c r="I51" s="1168">
        <v>1372.62</v>
      </c>
      <c r="J51" s="1168">
        <v>1482.15</v>
      </c>
      <c r="K51" s="1168">
        <v>1603.82</v>
      </c>
      <c r="L51" s="1168">
        <v>1732.39</v>
      </c>
      <c r="N51" s="851"/>
      <c r="P51" s="146">
        <f t="shared" si="1"/>
        <v>4.7632503586334529E-2</v>
      </c>
      <c r="Q51" s="146">
        <f t="shared" si="2"/>
        <v>5.5038194991337219E-2</v>
      </c>
      <c r="R51" s="146">
        <f t="shared" si="3"/>
        <v>5.6281782132026947E-2</v>
      </c>
      <c r="S51" s="146">
        <f t="shared" si="4"/>
        <v>5.913061913132589E-2</v>
      </c>
      <c r="T51" s="146">
        <f t="shared" si="5"/>
        <v>6.4895205210965701E-2</v>
      </c>
      <c r="U51" s="146">
        <f t="shared" si="6"/>
        <v>7.5030153036449887E-2</v>
      </c>
      <c r="V51" s="146">
        <f t="shared" si="7"/>
        <v>7.979630196267018E-2</v>
      </c>
      <c r="W51" s="146">
        <f t="shared" si="8"/>
        <v>8.2090206794183995E-2</v>
      </c>
      <c r="X51" s="146">
        <f t="shared" si="8"/>
        <v>8.016485640533233E-2</v>
      </c>
    </row>
    <row r="52" spans="1:24">
      <c r="A52" s="139" t="s">
        <v>259</v>
      </c>
      <c r="B52" s="139" t="s">
        <v>209</v>
      </c>
      <c r="C52" s="851">
        <v>49.393999999999998</v>
      </c>
      <c r="D52" s="851">
        <v>50.997</v>
      </c>
      <c r="E52" s="851">
        <v>52.734000000000002</v>
      </c>
      <c r="F52" s="851">
        <v>54.670999999999999</v>
      </c>
      <c r="G52" s="851">
        <v>56.902999999999999</v>
      </c>
      <c r="H52" s="851">
        <v>59.225999999999999</v>
      </c>
      <c r="I52" s="851">
        <v>61.76</v>
      </c>
      <c r="J52" s="851">
        <v>64.319999999999993</v>
      </c>
      <c r="K52" s="851">
        <v>66.968999999999994</v>
      </c>
      <c r="L52" s="851">
        <v>69.623000000000005</v>
      </c>
      <c r="M52" s="851">
        <v>2016</v>
      </c>
      <c r="N52" s="851"/>
      <c r="P52" s="146">
        <f t="shared" si="1"/>
        <v>3.2453334413086621E-2</v>
      </c>
      <c r="Q52" s="146">
        <f t="shared" si="2"/>
        <v>3.4060827107476932E-2</v>
      </c>
      <c r="R52" s="146">
        <f t="shared" si="3"/>
        <v>3.6731520461182443E-2</v>
      </c>
      <c r="S52" s="146">
        <f t="shared" si="4"/>
        <v>4.082603208282265E-2</v>
      </c>
      <c r="T52" s="146">
        <f t="shared" si="5"/>
        <v>4.0823858144561909E-2</v>
      </c>
      <c r="U52" s="146">
        <f t="shared" si="6"/>
        <v>4.2785263228987347E-2</v>
      </c>
      <c r="V52" s="146">
        <f t="shared" si="7"/>
        <v>4.1450777202072464E-2</v>
      </c>
      <c r="W52" s="146">
        <f t="shared" si="8"/>
        <v>4.1184701492537279E-2</v>
      </c>
      <c r="X52" s="146">
        <f t="shared" si="8"/>
        <v>3.9630276695187483E-2</v>
      </c>
    </row>
    <row r="53" spans="1:24">
      <c r="A53" s="139" t="s">
        <v>260</v>
      </c>
      <c r="B53" s="139" t="s">
        <v>209</v>
      </c>
      <c r="C53" s="851">
        <v>36.715000000000003</v>
      </c>
      <c r="D53" s="851">
        <v>37.113999999999997</v>
      </c>
      <c r="E53" s="851">
        <v>34.091999999999999</v>
      </c>
      <c r="F53" s="851">
        <v>31.183</v>
      </c>
      <c r="G53" s="851">
        <v>29.381</v>
      </c>
      <c r="H53" s="851">
        <v>27.611000000000001</v>
      </c>
      <c r="I53" s="851">
        <v>27.173999999999999</v>
      </c>
      <c r="J53" s="851">
        <v>26.797999999999998</v>
      </c>
      <c r="K53" s="851">
        <v>27.356999999999999</v>
      </c>
      <c r="L53" s="851">
        <v>27.498000000000001</v>
      </c>
      <c r="M53" s="851">
        <v>2016</v>
      </c>
      <c r="N53" s="851"/>
      <c r="P53" s="146">
        <f t="shared" si="1"/>
        <v>1.0867492850333393E-2</v>
      </c>
      <c r="Q53" s="146">
        <f t="shared" si="2"/>
        <v>-8.1424799267122872E-2</v>
      </c>
      <c r="R53" s="146">
        <f t="shared" si="3"/>
        <v>-8.5327936172709062E-2</v>
      </c>
      <c r="S53" s="146">
        <f t="shared" si="4"/>
        <v>-5.7787897251707632E-2</v>
      </c>
      <c r="T53" s="146">
        <f t="shared" si="5"/>
        <v>-6.0243014192845723E-2</v>
      </c>
      <c r="U53" s="146">
        <f t="shared" si="6"/>
        <v>-1.5827025460867117E-2</v>
      </c>
      <c r="V53" s="146">
        <f t="shared" si="7"/>
        <v>-1.3836755722381744E-2</v>
      </c>
      <c r="W53" s="146">
        <f t="shared" si="8"/>
        <v>2.0859765654153373E-2</v>
      </c>
      <c r="X53" s="146">
        <f t="shared" si="8"/>
        <v>5.1540739116131551E-3</v>
      </c>
    </row>
    <row r="54" spans="1:24">
      <c r="A54" s="139" t="s">
        <v>261</v>
      </c>
      <c r="B54" s="139" t="s">
        <v>209</v>
      </c>
      <c r="C54" s="851">
        <v>7.7140000000000004</v>
      </c>
      <c r="D54" s="851">
        <v>8.2439999999999998</v>
      </c>
      <c r="E54" s="851">
        <v>8.7309999999999999</v>
      </c>
      <c r="F54" s="851">
        <v>9.1669999999999998</v>
      </c>
      <c r="G54" s="851">
        <v>9.6310000000000002</v>
      </c>
      <c r="H54" s="851">
        <v>10.176</v>
      </c>
      <c r="I54" s="851">
        <v>10.766999999999999</v>
      </c>
      <c r="J54" s="851">
        <v>11.41</v>
      </c>
      <c r="K54" s="851">
        <v>12.103</v>
      </c>
      <c r="L54" s="851">
        <v>12.824</v>
      </c>
      <c r="M54" s="851">
        <v>2006</v>
      </c>
      <c r="N54" s="851"/>
      <c r="P54" s="146">
        <f t="shared" si="1"/>
        <v>6.8706248379569512E-2</v>
      </c>
      <c r="Q54" s="146">
        <f t="shared" si="2"/>
        <v>5.9073265405143127E-2</v>
      </c>
      <c r="R54" s="146">
        <f t="shared" si="3"/>
        <v>4.9937006070324141E-2</v>
      </c>
      <c r="S54" s="146">
        <f t="shared" si="4"/>
        <v>5.061634122395553E-2</v>
      </c>
      <c r="T54" s="146">
        <f t="shared" si="5"/>
        <v>5.6588100924099161E-2</v>
      </c>
      <c r="U54" s="146">
        <f t="shared" si="6"/>
        <v>5.8077830188679069E-2</v>
      </c>
      <c r="V54" s="146">
        <f t="shared" si="7"/>
        <v>5.971951332776082E-2</v>
      </c>
      <c r="W54" s="146">
        <f t="shared" si="8"/>
        <v>6.0736196319018276E-2</v>
      </c>
      <c r="X54" s="146">
        <f t="shared" si="8"/>
        <v>5.9572006940427968E-2</v>
      </c>
    </row>
    <row r="55" spans="1:24">
      <c r="A55" s="139" t="s">
        <v>262</v>
      </c>
      <c r="B55" s="139" t="s">
        <v>209</v>
      </c>
      <c r="C55" s="851">
        <v>34.996000000000002</v>
      </c>
      <c r="D55" s="851">
        <v>36.652999999999999</v>
      </c>
      <c r="E55" s="851">
        <v>37.670999999999999</v>
      </c>
      <c r="F55" s="851">
        <v>38.939</v>
      </c>
      <c r="G55" s="851">
        <v>41.201999999999998</v>
      </c>
      <c r="H55" s="851">
        <v>43.567</v>
      </c>
      <c r="I55" s="851">
        <v>45.832000000000001</v>
      </c>
      <c r="J55" s="851">
        <v>48.177999999999997</v>
      </c>
      <c r="K55" s="851">
        <v>50.637</v>
      </c>
      <c r="L55" s="851">
        <v>53.158999999999999</v>
      </c>
      <c r="M55" s="851">
        <v>2016</v>
      </c>
      <c r="N55" s="851"/>
      <c r="P55" s="146">
        <f t="shared" si="1"/>
        <v>4.7348268373528235E-2</v>
      </c>
      <c r="Q55" s="146">
        <f t="shared" si="2"/>
        <v>2.7773988486617718E-2</v>
      </c>
      <c r="R55" s="146">
        <f t="shared" si="3"/>
        <v>3.365984444267478E-2</v>
      </c>
      <c r="S55" s="146">
        <f t="shared" si="4"/>
        <v>5.8116541256837628E-2</v>
      </c>
      <c r="T55" s="146">
        <f t="shared" si="5"/>
        <v>5.7400126207465707E-2</v>
      </c>
      <c r="U55" s="146">
        <f t="shared" si="6"/>
        <v>5.1988890674134147E-2</v>
      </c>
      <c r="V55" s="146">
        <f t="shared" si="7"/>
        <v>5.1186943620177949E-2</v>
      </c>
      <c r="W55" s="146">
        <f t="shared" si="8"/>
        <v>5.1039893727427454E-2</v>
      </c>
      <c r="X55" s="146">
        <f t="shared" si="8"/>
        <v>4.9805478207634701E-2</v>
      </c>
    </row>
    <row r="56" spans="1:24">
      <c r="A56" s="139" t="s">
        <v>263</v>
      </c>
      <c r="B56" s="139" t="s">
        <v>209</v>
      </c>
      <c r="C56" s="851">
        <v>129.49299999999999</v>
      </c>
      <c r="D56" s="851">
        <v>145.393</v>
      </c>
      <c r="E56" s="851">
        <v>162.26400000000001</v>
      </c>
      <c r="F56" s="851">
        <v>177.41200000000001</v>
      </c>
      <c r="G56" s="851">
        <v>195.779</v>
      </c>
      <c r="H56" s="851">
        <v>216.44900000000001</v>
      </c>
      <c r="I56" s="851">
        <v>238.92500000000001</v>
      </c>
      <c r="J56" s="851">
        <v>262.96800000000002</v>
      </c>
      <c r="K56" s="851">
        <v>288.49200000000002</v>
      </c>
      <c r="L56" s="851">
        <v>316.00099999999998</v>
      </c>
      <c r="M56" s="851">
        <v>2016</v>
      </c>
      <c r="N56" s="851"/>
      <c r="P56" s="146">
        <f t="shared" si="1"/>
        <v>0.1227865598912683</v>
      </c>
      <c r="Q56" s="146">
        <f t="shared" si="2"/>
        <v>0.1160372232500877</v>
      </c>
      <c r="R56" s="146">
        <f t="shared" si="3"/>
        <v>9.3354040329339805E-2</v>
      </c>
      <c r="S56" s="146">
        <f t="shared" si="4"/>
        <v>0.10352738258967831</v>
      </c>
      <c r="T56" s="146">
        <f t="shared" si="5"/>
        <v>0.105578228512762</v>
      </c>
      <c r="U56" s="146">
        <f t="shared" si="6"/>
        <v>0.10383970357913408</v>
      </c>
      <c r="V56" s="146">
        <f t="shared" si="7"/>
        <v>0.10062990478183531</v>
      </c>
      <c r="W56" s="146">
        <f t="shared" si="8"/>
        <v>9.7061239390344056E-2</v>
      </c>
      <c r="X56" s="146">
        <f t="shared" si="8"/>
        <v>9.5354463901945241E-2</v>
      </c>
    </row>
    <row r="57" spans="1:24">
      <c r="A57" s="139" t="s">
        <v>264</v>
      </c>
      <c r="B57" s="139" t="s">
        <v>209</v>
      </c>
      <c r="C57" s="851">
        <v>7.1369999999999996</v>
      </c>
      <c r="D57" s="851">
        <v>7.673</v>
      </c>
      <c r="E57" s="851">
        <v>8.0540000000000003</v>
      </c>
      <c r="F57" s="851">
        <v>8.1880000000000006</v>
      </c>
      <c r="G57" s="851">
        <v>8.6470000000000002</v>
      </c>
      <c r="H57" s="851">
        <v>9.1229999999999993</v>
      </c>
      <c r="I57" s="851">
        <v>9.6349999999999998</v>
      </c>
      <c r="J57" s="851">
        <v>10.162000000000001</v>
      </c>
      <c r="K57" s="851">
        <v>10.715</v>
      </c>
      <c r="L57" s="851">
        <v>11.271000000000001</v>
      </c>
      <c r="M57" s="851">
        <v>2016</v>
      </c>
      <c r="N57" s="851"/>
      <c r="P57" s="146">
        <f t="shared" si="1"/>
        <v>7.5101583298304631E-2</v>
      </c>
      <c r="Q57" s="146">
        <f t="shared" si="2"/>
        <v>4.9654633129154302E-2</v>
      </c>
      <c r="R57" s="146">
        <f t="shared" si="3"/>
        <v>1.6637695555003829E-2</v>
      </c>
      <c r="S57" s="146">
        <f t="shared" si="4"/>
        <v>5.6057645334635975E-2</v>
      </c>
      <c r="T57" s="146">
        <f t="shared" si="5"/>
        <v>5.5047993523765326E-2</v>
      </c>
      <c r="U57" s="146">
        <f t="shared" si="6"/>
        <v>5.6121889729255692E-2</v>
      </c>
      <c r="V57" s="146">
        <f t="shared" si="7"/>
        <v>5.469641930461866E-2</v>
      </c>
      <c r="W57" s="146">
        <f t="shared" si="8"/>
        <v>5.4418421570556985E-2</v>
      </c>
      <c r="X57" s="146">
        <f t="shared" si="8"/>
        <v>5.1889874008399506E-2</v>
      </c>
    </row>
    <row r="58" spans="1:24">
      <c r="A58" s="139" t="s">
        <v>265</v>
      </c>
      <c r="B58" s="139" t="s">
        <v>209</v>
      </c>
      <c r="C58" s="851">
        <v>219.726</v>
      </c>
      <c r="D58" s="851">
        <v>222.25700000000001</v>
      </c>
      <c r="E58" s="851">
        <v>224.648</v>
      </c>
      <c r="F58" s="851">
        <v>231.89699999999999</v>
      </c>
      <c r="G58" s="851">
        <v>242.44</v>
      </c>
      <c r="H58" s="851">
        <v>252.928</v>
      </c>
      <c r="I58" s="851">
        <v>263.04399999999998</v>
      </c>
      <c r="J58" s="851">
        <v>272.90600000000001</v>
      </c>
      <c r="K58" s="851">
        <v>282.69299999999998</v>
      </c>
      <c r="L58" s="851">
        <v>292.43599999999998</v>
      </c>
      <c r="M58" s="851">
        <v>2016</v>
      </c>
      <c r="N58" s="851"/>
      <c r="P58" s="146">
        <f t="shared" si="1"/>
        <v>1.1518891710585066E-2</v>
      </c>
      <c r="Q58" s="146">
        <f t="shared" si="2"/>
        <v>1.0757816401733011E-2</v>
      </c>
      <c r="R58" s="146">
        <f t="shared" si="3"/>
        <v>3.2268259677361799E-2</v>
      </c>
      <c r="S58" s="146">
        <f t="shared" si="4"/>
        <v>4.5464150032126449E-2</v>
      </c>
      <c r="T58" s="146">
        <f t="shared" si="5"/>
        <v>4.3260188087774321E-2</v>
      </c>
      <c r="U58" s="146">
        <f t="shared" si="6"/>
        <v>3.9995571862348145E-2</v>
      </c>
      <c r="V58" s="146">
        <f t="shared" si="7"/>
        <v>3.749182646249305E-2</v>
      </c>
      <c r="W58" s="146">
        <f t="shared" si="8"/>
        <v>3.5862164994540091E-2</v>
      </c>
      <c r="X58" s="146">
        <f t="shared" si="8"/>
        <v>3.4464949609647189E-2</v>
      </c>
    </row>
    <row r="59" spans="1:24">
      <c r="A59" s="139" t="s">
        <v>266</v>
      </c>
      <c r="B59" s="139" t="s">
        <v>209</v>
      </c>
      <c r="C59" s="1168">
        <v>2542.31</v>
      </c>
      <c r="D59" s="1168">
        <v>2612.46</v>
      </c>
      <c r="E59" s="1168">
        <v>2668.98</v>
      </c>
      <c r="F59" s="1168">
        <v>2735.14</v>
      </c>
      <c r="G59" s="1168">
        <v>2826.46</v>
      </c>
      <c r="H59" s="1168">
        <v>2932.07</v>
      </c>
      <c r="I59" s="1168">
        <v>3051.48</v>
      </c>
      <c r="J59" s="1168">
        <v>3175.64</v>
      </c>
      <c r="K59" s="1168">
        <v>3301.99</v>
      </c>
      <c r="L59" s="1168">
        <v>3427.47</v>
      </c>
      <c r="M59" s="851">
        <v>2016</v>
      </c>
      <c r="N59" s="851"/>
      <c r="P59" s="146">
        <f t="shared" si="1"/>
        <v>2.7593015800590814E-2</v>
      </c>
      <c r="Q59" s="146">
        <f t="shared" si="2"/>
        <v>2.1634781011001136E-2</v>
      </c>
      <c r="R59" s="146">
        <f t="shared" si="3"/>
        <v>2.4788495979737535E-2</v>
      </c>
      <c r="S59" s="146">
        <f t="shared" si="4"/>
        <v>3.3387687650358044E-2</v>
      </c>
      <c r="T59" s="146">
        <f t="shared" si="5"/>
        <v>3.7364760159351418E-2</v>
      </c>
      <c r="U59" s="146">
        <f t="shared" si="6"/>
        <v>4.0725494275375418E-2</v>
      </c>
      <c r="V59" s="146">
        <f t="shared" si="7"/>
        <v>4.0688452816338261E-2</v>
      </c>
      <c r="W59" s="146">
        <f t="shared" si="8"/>
        <v>3.9787255482359507E-2</v>
      </c>
      <c r="X59" s="146">
        <f t="shared" si="8"/>
        <v>3.800132647282406E-2</v>
      </c>
    </row>
    <row r="60" spans="1:24">
      <c r="A60" s="139" t="s">
        <v>267</v>
      </c>
      <c r="B60" s="139" t="s">
        <v>209</v>
      </c>
      <c r="C60" s="851">
        <v>31</v>
      </c>
      <c r="D60" s="851">
        <v>32.956000000000003</v>
      </c>
      <c r="E60" s="851">
        <v>34.604999999999997</v>
      </c>
      <c r="F60" s="851">
        <v>35.777000000000001</v>
      </c>
      <c r="G60" s="851">
        <v>36.750999999999998</v>
      </c>
      <c r="H60" s="851">
        <v>38.46</v>
      </c>
      <c r="I60" s="851">
        <v>40.884</v>
      </c>
      <c r="J60" s="851">
        <v>43.677999999999997</v>
      </c>
      <c r="K60" s="851">
        <v>46.709000000000003</v>
      </c>
      <c r="L60" s="851">
        <v>50.054000000000002</v>
      </c>
      <c r="M60" s="851">
        <v>2015</v>
      </c>
      <c r="N60" s="851"/>
      <c r="P60" s="146">
        <f t="shared" si="1"/>
        <v>6.3096774193548422E-2</v>
      </c>
      <c r="Q60" s="146">
        <f t="shared" si="2"/>
        <v>5.0036412185944679E-2</v>
      </c>
      <c r="R60" s="146">
        <f t="shared" si="3"/>
        <v>3.386793815922573E-2</v>
      </c>
      <c r="S60" s="146">
        <f t="shared" si="4"/>
        <v>2.7224194314783068E-2</v>
      </c>
      <c r="T60" s="146">
        <f t="shared" si="5"/>
        <v>4.6502135996299598E-2</v>
      </c>
      <c r="U60" s="146">
        <f t="shared" si="6"/>
        <v>6.30265210608425E-2</v>
      </c>
      <c r="V60" s="146">
        <f t="shared" si="7"/>
        <v>6.8339692789355144E-2</v>
      </c>
      <c r="W60" s="146">
        <f t="shared" si="8"/>
        <v>6.9394203031274415E-2</v>
      </c>
      <c r="X60" s="146">
        <f t="shared" si="8"/>
        <v>7.1613607655912181E-2</v>
      </c>
    </row>
    <row r="61" spans="1:24">
      <c r="A61" s="139" t="s">
        <v>268</v>
      </c>
      <c r="B61" s="139" t="s">
        <v>209</v>
      </c>
      <c r="C61" s="851">
        <v>3.0489999999999999</v>
      </c>
      <c r="D61" s="851">
        <v>3.1320000000000001</v>
      </c>
      <c r="E61" s="851">
        <v>3.302</v>
      </c>
      <c r="F61" s="851">
        <v>3.4180000000000001</v>
      </c>
      <c r="G61" s="851">
        <v>3.5819999999999999</v>
      </c>
      <c r="H61" s="851">
        <v>3.7810000000000001</v>
      </c>
      <c r="I61" s="851">
        <v>4.016</v>
      </c>
      <c r="J61" s="851">
        <v>4.2850000000000001</v>
      </c>
      <c r="K61" s="851">
        <v>4.5830000000000002</v>
      </c>
      <c r="L61" s="851">
        <v>4.8949999999999996</v>
      </c>
      <c r="M61" s="851">
        <v>2016</v>
      </c>
      <c r="N61" s="851"/>
      <c r="P61" s="146">
        <f t="shared" si="1"/>
        <v>2.722204001311912E-2</v>
      </c>
      <c r="Q61" s="146">
        <f t="shared" si="2"/>
        <v>5.427841634738173E-2</v>
      </c>
      <c r="R61" s="146">
        <f t="shared" si="3"/>
        <v>3.5130224106602048E-2</v>
      </c>
      <c r="S61" s="146">
        <f t="shared" si="4"/>
        <v>4.7981275599765949E-2</v>
      </c>
      <c r="T61" s="146">
        <f t="shared" si="5"/>
        <v>5.555555555555558E-2</v>
      </c>
      <c r="U61" s="146">
        <f t="shared" si="6"/>
        <v>6.2152869611213912E-2</v>
      </c>
      <c r="V61" s="146">
        <f t="shared" si="7"/>
        <v>6.6982071713147517E-2</v>
      </c>
      <c r="W61" s="146">
        <f t="shared" si="8"/>
        <v>6.9544924154025578E-2</v>
      </c>
      <c r="X61" s="146">
        <f t="shared" si="8"/>
        <v>6.8077678376609052E-2</v>
      </c>
    </row>
    <row r="62" spans="1:24">
      <c r="A62" s="139" t="s">
        <v>269</v>
      </c>
      <c r="B62" s="139" t="s">
        <v>209</v>
      </c>
      <c r="C62" s="851">
        <v>32.253999999999998</v>
      </c>
      <c r="D62" s="851">
        <v>34.350999999999999</v>
      </c>
      <c r="E62" s="851">
        <v>35.722999999999999</v>
      </c>
      <c r="F62" s="851">
        <v>37.171999999999997</v>
      </c>
      <c r="G62" s="851">
        <v>39.317</v>
      </c>
      <c r="H62" s="851">
        <v>41.75</v>
      </c>
      <c r="I62" s="851">
        <v>44.555999999999997</v>
      </c>
      <c r="J62" s="851">
        <v>47.752000000000002</v>
      </c>
      <c r="K62" s="851">
        <v>51.41</v>
      </c>
      <c r="L62" s="851">
        <v>55.258000000000003</v>
      </c>
      <c r="M62" s="851">
        <v>2016</v>
      </c>
      <c r="N62" s="851"/>
      <c r="P62" s="146">
        <f t="shared" si="1"/>
        <v>6.5015191914181258E-2</v>
      </c>
      <c r="Q62" s="146">
        <f t="shared" si="2"/>
        <v>3.9940613082588561E-2</v>
      </c>
      <c r="R62" s="146">
        <f t="shared" si="3"/>
        <v>4.0562102846905201E-2</v>
      </c>
      <c r="S62" s="146">
        <f t="shared" si="4"/>
        <v>5.7704723985795958E-2</v>
      </c>
      <c r="T62" s="146">
        <f t="shared" si="5"/>
        <v>6.1881628811964351E-2</v>
      </c>
      <c r="U62" s="146">
        <f t="shared" si="6"/>
        <v>6.7209580838323291E-2</v>
      </c>
      <c r="V62" s="146">
        <f t="shared" si="7"/>
        <v>7.1729957805907185E-2</v>
      </c>
      <c r="W62" s="146">
        <f t="shared" si="8"/>
        <v>7.6604121293348815E-2</v>
      </c>
      <c r="X62" s="146">
        <f t="shared" si="8"/>
        <v>7.4849251118459526E-2</v>
      </c>
    </row>
    <row r="63" spans="1:24">
      <c r="A63" s="139" t="s">
        <v>270</v>
      </c>
      <c r="B63" s="139" t="s">
        <v>209</v>
      </c>
      <c r="C63" s="1168">
        <v>3639.32</v>
      </c>
      <c r="D63" s="1168">
        <v>3776.03</v>
      </c>
      <c r="E63" s="1168">
        <v>3874.37</v>
      </c>
      <c r="F63" s="1168">
        <v>3996.6</v>
      </c>
      <c r="G63" s="1168">
        <v>4149.57</v>
      </c>
      <c r="H63" s="1168">
        <v>4308.1000000000004</v>
      </c>
      <c r="I63" s="1168">
        <v>4464.1099999999997</v>
      </c>
      <c r="J63" s="1168">
        <v>4623.21</v>
      </c>
      <c r="K63" s="1168">
        <v>4780.67</v>
      </c>
      <c r="L63" s="1168">
        <v>4932.3</v>
      </c>
      <c r="M63" s="851">
        <v>2016</v>
      </c>
      <c r="N63" s="851"/>
      <c r="P63" s="146">
        <f t="shared" si="1"/>
        <v>3.7564709890858694E-2</v>
      </c>
      <c r="Q63" s="146">
        <f t="shared" si="2"/>
        <v>2.6043225292171845E-2</v>
      </c>
      <c r="R63" s="146">
        <f t="shared" si="3"/>
        <v>3.1548354958354619E-2</v>
      </c>
      <c r="S63" s="146">
        <f t="shared" si="4"/>
        <v>3.8275033778711887E-2</v>
      </c>
      <c r="T63" s="146">
        <f t="shared" si="5"/>
        <v>3.8203958482445399E-2</v>
      </c>
      <c r="U63" s="146">
        <f t="shared" si="6"/>
        <v>3.6213179824052144E-2</v>
      </c>
      <c r="V63" s="146">
        <f t="shared" si="7"/>
        <v>3.5639802782637675E-2</v>
      </c>
      <c r="W63" s="146">
        <f t="shared" si="8"/>
        <v>3.4058586999076379E-2</v>
      </c>
      <c r="X63" s="146">
        <f t="shared" si="8"/>
        <v>3.1717311590216513E-2</v>
      </c>
    </row>
    <row r="64" spans="1:24">
      <c r="A64" s="139" t="s">
        <v>271</v>
      </c>
      <c r="B64" s="139" t="s">
        <v>209</v>
      </c>
      <c r="C64" s="851">
        <v>103.807</v>
      </c>
      <c r="D64" s="851">
        <v>109.883</v>
      </c>
      <c r="E64" s="851">
        <v>115.33499999999999</v>
      </c>
      <c r="F64" s="851">
        <v>120.85899999999999</v>
      </c>
      <c r="G64" s="851">
        <v>130.208</v>
      </c>
      <c r="H64" s="851">
        <v>144.494</v>
      </c>
      <c r="I64" s="851">
        <v>156.35400000000001</v>
      </c>
      <c r="J64" s="851">
        <v>167.803</v>
      </c>
      <c r="K64" s="851">
        <v>180.23</v>
      </c>
      <c r="L64" s="851">
        <v>193.55099999999999</v>
      </c>
      <c r="M64" s="851">
        <v>2016</v>
      </c>
      <c r="N64" s="851"/>
      <c r="P64" s="146">
        <f t="shared" si="1"/>
        <v>5.853169824770954E-2</v>
      </c>
      <c r="Q64" s="146">
        <f t="shared" si="2"/>
        <v>4.9616410181738679E-2</v>
      </c>
      <c r="R64" s="146">
        <f t="shared" si="3"/>
        <v>4.7895261629167241E-2</v>
      </c>
      <c r="S64" s="146">
        <f t="shared" si="4"/>
        <v>7.73546032980581E-2</v>
      </c>
      <c r="T64" s="146">
        <f t="shared" si="5"/>
        <v>0.10971676087490789</v>
      </c>
      <c r="U64" s="146">
        <f t="shared" si="6"/>
        <v>8.2079532714161241E-2</v>
      </c>
      <c r="V64" s="146">
        <f t="shared" si="7"/>
        <v>7.322486153216401E-2</v>
      </c>
      <c r="W64" s="146">
        <f t="shared" si="8"/>
        <v>7.4057078836492707E-2</v>
      </c>
      <c r="X64" s="146">
        <f t="shared" si="8"/>
        <v>7.391111357709601E-2</v>
      </c>
    </row>
    <row r="65" spans="1:24">
      <c r="A65" s="139" t="s">
        <v>272</v>
      </c>
      <c r="B65" s="139" t="s">
        <v>209</v>
      </c>
      <c r="C65" s="851">
        <v>277.22800000000001</v>
      </c>
      <c r="D65" s="851">
        <v>283.2</v>
      </c>
      <c r="E65" s="851">
        <v>285.64400000000001</v>
      </c>
      <c r="F65" s="851">
        <v>289.322</v>
      </c>
      <c r="G65" s="851">
        <v>299.529</v>
      </c>
      <c r="H65" s="851">
        <v>313.404</v>
      </c>
      <c r="I65" s="851">
        <v>326.14999999999998</v>
      </c>
      <c r="J65" s="851">
        <v>339.495</v>
      </c>
      <c r="K65" s="851">
        <v>352.72800000000001</v>
      </c>
      <c r="L65" s="851">
        <v>363.24700000000001</v>
      </c>
      <c r="M65" s="851">
        <v>2016</v>
      </c>
      <c r="N65" s="851"/>
      <c r="P65" s="146">
        <f t="shared" si="1"/>
        <v>2.154183560102152E-2</v>
      </c>
      <c r="Q65" s="146">
        <f t="shared" si="2"/>
        <v>8.6299435028249771E-3</v>
      </c>
      <c r="R65" s="146">
        <f t="shared" si="3"/>
        <v>1.2876167537214211E-2</v>
      </c>
      <c r="S65" s="146">
        <f t="shared" si="4"/>
        <v>3.5279031667138971E-2</v>
      </c>
      <c r="T65" s="146">
        <f t="shared" si="5"/>
        <v>4.6322726680888993E-2</v>
      </c>
      <c r="U65" s="146">
        <f t="shared" si="6"/>
        <v>4.0669551122512804E-2</v>
      </c>
      <c r="V65" s="146">
        <f t="shared" si="7"/>
        <v>4.0916756093821949E-2</v>
      </c>
      <c r="W65" s="146">
        <f t="shared" si="8"/>
        <v>3.8978482746432119E-2</v>
      </c>
      <c r="X65" s="146">
        <f t="shared" si="8"/>
        <v>2.9821845728153162E-2</v>
      </c>
    </row>
    <row r="66" spans="1:24">
      <c r="A66" s="139" t="s">
        <v>273</v>
      </c>
      <c r="B66" s="139" t="s">
        <v>209</v>
      </c>
      <c r="C66" s="851">
        <v>1.234</v>
      </c>
      <c r="D66" s="851">
        <v>1.349</v>
      </c>
      <c r="E66" s="851">
        <v>1.4510000000000001</v>
      </c>
      <c r="F66" s="851">
        <v>1.524</v>
      </c>
      <c r="G66" s="851">
        <v>1.59</v>
      </c>
      <c r="H66" s="851">
        <v>1.6579999999999999</v>
      </c>
      <c r="I66" s="851">
        <v>1.7310000000000001</v>
      </c>
      <c r="J66" s="851">
        <v>1.8120000000000001</v>
      </c>
      <c r="K66" s="851">
        <v>1.9</v>
      </c>
      <c r="L66" s="851">
        <v>1.9890000000000001</v>
      </c>
      <c r="M66" s="851">
        <v>2015</v>
      </c>
      <c r="N66" s="851"/>
      <c r="P66" s="146">
        <f t="shared" si="1"/>
        <v>9.3192868719611077E-2</v>
      </c>
      <c r="Q66" s="146">
        <f t="shared" si="2"/>
        <v>7.5611564121571551E-2</v>
      </c>
      <c r="R66" s="146">
        <f t="shared" si="3"/>
        <v>5.0310130944176468E-2</v>
      </c>
      <c r="S66" s="146">
        <f t="shared" si="4"/>
        <v>4.3307086614173373E-2</v>
      </c>
      <c r="T66" s="146">
        <f t="shared" si="5"/>
        <v>4.2767295597484267E-2</v>
      </c>
      <c r="U66" s="146">
        <f t="shared" si="6"/>
        <v>4.4028950542822853E-2</v>
      </c>
      <c r="V66" s="146">
        <f t="shared" si="7"/>
        <v>4.6793760831889131E-2</v>
      </c>
      <c r="W66" s="146">
        <f t="shared" si="8"/>
        <v>4.8565121412803558E-2</v>
      </c>
      <c r="X66" s="146">
        <f t="shared" si="8"/>
        <v>4.6842105263158018E-2</v>
      </c>
    </row>
    <row r="67" spans="1:24">
      <c r="A67" s="139" t="s">
        <v>274</v>
      </c>
      <c r="B67" s="139" t="s">
        <v>209</v>
      </c>
      <c r="C67" s="851">
        <v>113.06100000000001</v>
      </c>
      <c r="D67" s="851">
        <v>119.895</v>
      </c>
      <c r="E67" s="851">
        <v>126.212</v>
      </c>
      <c r="F67" s="851">
        <v>131.74199999999999</v>
      </c>
      <c r="G67" s="851">
        <v>138.27600000000001</v>
      </c>
      <c r="H67" s="851">
        <v>145.71199999999999</v>
      </c>
      <c r="I67" s="851">
        <v>154.517</v>
      </c>
      <c r="J67" s="851">
        <v>164.02199999999999</v>
      </c>
      <c r="K67" s="851">
        <v>174.089</v>
      </c>
      <c r="L67" s="851">
        <v>184.548</v>
      </c>
      <c r="M67" s="851">
        <v>2016</v>
      </c>
      <c r="N67" s="851"/>
      <c r="P67" s="146">
        <f t="shared" ref="P67:P130" si="9">D67/C67-1</f>
        <v>6.0445246371427785E-2</v>
      </c>
      <c r="Q67" s="146">
        <f t="shared" ref="Q67:Q130" si="10">E67/D67-1</f>
        <v>5.2687768464072748E-2</v>
      </c>
      <c r="R67" s="146">
        <f t="shared" ref="R67:R130" si="11">F67/E67-1</f>
        <v>4.381516812981312E-2</v>
      </c>
      <c r="S67" s="146">
        <f t="shared" ref="S67:S130" si="12">G67/F67-1</f>
        <v>4.9596939472605683E-2</v>
      </c>
      <c r="T67" s="146">
        <f t="shared" ref="T67:T130" si="13">H67/G67-1</f>
        <v>5.3776504961092098E-2</v>
      </c>
      <c r="U67" s="146">
        <f t="shared" ref="U67:U130" si="14">I67/H67-1</f>
        <v>6.0427418469309435E-2</v>
      </c>
      <c r="V67" s="146">
        <f t="shared" ref="V67:V130" si="15">J67/I67-1</f>
        <v>6.1514267038578208E-2</v>
      </c>
      <c r="W67" s="146">
        <f t="shared" ref="W67:X130" si="16">K67/J67-1</f>
        <v>6.1375912987282177E-2</v>
      </c>
      <c r="X67" s="146">
        <f t="shared" si="16"/>
        <v>6.0078465612416698E-2</v>
      </c>
    </row>
    <row r="68" spans="1:24">
      <c r="A68" s="139" t="s">
        <v>275</v>
      </c>
      <c r="B68" s="139" t="s">
        <v>209</v>
      </c>
      <c r="C68" s="851">
        <v>20.434999999999999</v>
      </c>
      <c r="D68" s="851">
        <v>21.574000000000002</v>
      </c>
      <c r="E68" s="851">
        <v>22.571999999999999</v>
      </c>
      <c r="F68" s="851">
        <v>24.375</v>
      </c>
      <c r="G68" s="851">
        <v>26.451000000000001</v>
      </c>
      <c r="H68" s="851">
        <v>28.524000000000001</v>
      </c>
      <c r="I68" s="851">
        <v>30.847000000000001</v>
      </c>
      <c r="J68" s="851">
        <v>33.384</v>
      </c>
      <c r="K68" s="851">
        <v>36.131999999999998</v>
      </c>
      <c r="L68" s="851">
        <v>38.732999999999997</v>
      </c>
      <c r="M68" s="851">
        <v>2011</v>
      </c>
      <c r="N68" s="851"/>
      <c r="P68" s="146">
        <f t="shared" si="9"/>
        <v>5.5737704918032982E-2</v>
      </c>
      <c r="Q68" s="146">
        <f t="shared" si="10"/>
        <v>4.6259386298322047E-2</v>
      </c>
      <c r="R68" s="146">
        <f t="shared" si="11"/>
        <v>7.987772461456677E-2</v>
      </c>
      <c r="S68" s="146">
        <f t="shared" si="12"/>
        <v>8.5169230769230886E-2</v>
      </c>
      <c r="T68" s="146">
        <f t="shared" si="13"/>
        <v>7.8371328116139338E-2</v>
      </c>
      <c r="U68" s="146">
        <f t="shared" si="14"/>
        <v>8.1440190716589589E-2</v>
      </c>
      <c r="V68" s="146">
        <f t="shared" si="15"/>
        <v>8.2244626706000634E-2</v>
      </c>
      <c r="W68" s="146">
        <f t="shared" si="16"/>
        <v>8.2314881380301852E-2</v>
      </c>
      <c r="X68" s="146">
        <f t="shared" si="16"/>
        <v>7.1986051145798813E-2</v>
      </c>
    </row>
    <row r="69" spans="1:24">
      <c r="A69" s="139" t="s">
        <v>276</v>
      </c>
      <c r="B69" s="139" t="s">
        <v>209</v>
      </c>
      <c r="C69" s="851">
        <v>2.4729999999999999</v>
      </c>
      <c r="D69" s="851">
        <v>2.5419999999999998</v>
      </c>
      <c r="E69" s="851">
        <v>2.7010000000000001</v>
      </c>
      <c r="F69" s="851">
        <v>2.875</v>
      </c>
      <c r="G69" s="851">
        <v>3.0710000000000002</v>
      </c>
      <c r="H69" s="851">
        <v>3.2869999999999999</v>
      </c>
      <c r="I69" s="851">
        <v>3.5249999999999999</v>
      </c>
      <c r="J69" s="851">
        <v>3.7789999999999999</v>
      </c>
      <c r="K69" s="851">
        <v>4.0510000000000002</v>
      </c>
      <c r="L69" s="851">
        <v>4.335</v>
      </c>
      <c r="M69" s="851">
        <v>2015</v>
      </c>
      <c r="N69" s="851"/>
      <c r="P69" s="146">
        <f t="shared" si="9"/>
        <v>2.7901334411645662E-2</v>
      </c>
      <c r="Q69" s="146">
        <f t="shared" si="10"/>
        <v>6.254917387883574E-2</v>
      </c>
      <c r="R69" s="146">
        <f t="shared" si="11"/>
        <v>6.4420584968530203E-2</v>
      </c>
      <c r="S69" s="146">
        <f t="shared" si="12"/>
        <v>6.8173913043478418E-2</v>
      </c>
      <c r="T69" s="146">
        <f t="shared" si="13"/>
        <v>7.0335395636600406E-2</v>
      </c>
      <c r="U69" s="146">
        <f t="shared" si="14"/>
        <v>7.2406449650136873E-2</v>
      </c>
      <c r="V69" s="146">
        <f t="shared" si="15"/>
        <v>7.2056737588652497E-2</v>
      </c>
      <c r="W69" s="146">
        <f t="shared" si="16"/>
        <v>7.1976713416247673E-2</v>
      </c>
      <c r="X69" s="146">
        <f t="shared" si="16"/>
        <v>7.0106146630461552E-2</v>
      </c>
    </row>
    <row r="70" spans="1:24">
      <c r="A70" s="139" t="s">
        <v>277</v>
      </c>
      <c r="B70" s="139" t="s">
        <v>209</v>
      </c>
      <c r="C70" s="851">
        <v>5.2430000000000003</v>
      </c>
      <c r="D70" s="851">
        <v>5.5419999999999998</v>
      </c>
      <c r="E70" s="851">
        <v>5.7779999999999996</v>
      </c>
      <c r="F70" s="851">
        <v>6.0449999999999999</v>
      </c>
      <c r="G70" s="851">
        <v>6.367</v>
      </c>
      <c r="H70" s="851">
        <v>6.7240000000000002</v>
      </c>
      <c r="I70" s="851">
        <v>7.12</v>
      </c>
      <c r="J70" s="851">
        <v>10.069000000000001</v>
      </c>
      <c r="K70" s="851">
        <v>13.21</v>
      </c>
      <c r="L70" s="851">
        <v>13.835000000000001</v>
      </c>
      <c r="M70" s="851">
        <v>2016</v>
      </c>
      <c r="N70" s="851"/>
      <c r="P70" s="146">
        <f t="shared" si="9"/>
        <v>5.7028418844172979E-2</v>
      </c>
      <c r="Q70" s="146">
        <f t="shared" si="10"/>
        <v>4.2583904727535149E-2</v>
      </c>
      <c r="R70" s="146">
        <f t="shared" si="11"/>
        <v>4.6209761163032326E-2</v>
      </c>
      <c r="S70" s="146">
        <f t="shared" si="12"/>
        <v>5.3267162944582225E-2</v>
      </c>
      <c r="T70" s="146">
        <f t="shared" si="13"/>
        <v>5.6070362808229968E-2</v>
      </c>
      <c r="U70" s="146">
        <f t="shared" si="14"/>
        <v>5.8893515764425919E-2</v>
      </c>
      <c r="V70" s="146">
        <f t="shared" si="15"/>
        <v>0.41418539325842696</v>
      </c>
      <c r="W70" s="146">
        <f t="shared" si="16"/>
        <v>0.31194756182341843</v>
      </c>
      <c r="X70" s="146">
        <f t="shared" si="16"/>
        <v>4.7312641937925726E-2</v>
      </c>
    </row>
    <row r="71" spans="1:24">
      <c r="A71" s="139" t="s">
        <v>278</v>
      </c>
      <c r="B71" s="139" t="s">
        <v>209</v>
      </c>
      <c r="C71" s="851">
        <v>17.591000000000001</v>
      </c>
      <c r="D71" s="851">
        <v>18.408999999999999</v>
      </c>
      <c r="E71" s="851">
        <v>18.834</v>
      </c>
      <c r="F71" s="851">
        <v>19.349</v>
      </c>
      <c r="G71" s="851">
        <v>19.882000000000001</v>
      </c>
      <c r="H71" s="851">
        <v>20.876000000000001</v>
      </c>
      <c r="I71" s="851">
        <v>21.962</v>
      </c>
      <c r="J71" s="851">
        <v>23.096</v>
      </c>
      <c r="K71" s="851">
        <v>24.283000000000001</v>
      </c>
      <c r="L71" s="851">
        <v>25.492999999999999</v>
      </c>
      <c r="M71" s="851">
        <v>2016</v>
      </c>
      <c r="N71" s="851"/>
      <c r="P71" s="146">
        <f t="shared" si="9"/>
        <v>4.6501051674151528E-2</v>
      </c>
      <c r="Q71" s="146">
        <f t="shared" si="10"/>
        <v>2.3086533760660499E-2</v>
      </c>
      <c r="R71" s="146">
        <f t="shared" si="11"/>
        <v>2.7344164808325466E-2</v>
      </c>
      <c r="S71" s="146">
        <f t="shared" si="12"/>
        <v>2.7546643237376767E-2</v>
      </c>
      <c r="T71" s="146">
        <f t="shared" si="13"/>
        <v>4.9994970324916954E-2</v>
      </c>
      <c r="U71" s="146">
        <f t="shared" si="14"/>
        <v>5.2021460049817891E-2</v>
      </c>
      <c r="V71" s="146">
        <f t="shared" si="15"/>
        <v>5.1634641653765634E-2</v>
      </c>
      <c r="W71" s="146">
        <f t="shared" si="16"/>
        <v>5.1394180810530044E-2</v>
      </c>
      <c r="X71" s="146">
        <f t="shared" si="16"/>
        <v>4.9829098546307904E-2</v>
      </c>
    </row>
    <row r="72" spans="1:24">
      <c r="A72" s="139" t="s">
        <v>279</v>
      </c>
      <c r="B72" s="139" t="s">
        <v>209</v>
      </c>
      <c r="C72" s="851">
        <v>37.43</v>
      </c>
      <c r="D72" s="851">
        <v>39.267000000000003</v>
      </c>
      <c r="E72" s="851">
        <v>41.137999999999998</v>
      </c>
      <c r="F72" s="851">
        <v>43.165999999999997</v>
      </c>
      <c r="G72" s="851">
        <v>45.674999999999997</v>
      </c>
      <c r="H72" s="851">
        <v>48.238</v>
      </c>
      <c r="I72" s="851">
        <v>51.139000000000003</v>
      </c>
      <c r="J72" s="851">
        <v>54.198999999999998</v>
      </c>
      <c r="K72" s="851">
        <v>57.427</v>
      </c>
      <c r="L72" s="851">
        <v>60.756</v>
      </c>
      <c r="M72" s="851">
        <v>2016</v>
      </c>
      <c r="N72" s="851"/>
      <c r="P72" s="146">
        <f t="shared" si="9"/>
        <v>4.9078279454982665E-2</v>
      </c>
      <c r="Q72" s="146">
        <f t="shared" si="10"/>
        <v>4.7648152392594234E-2</v>
      </c>
      <c r="R72" s="146">
        <f t="shared" si="11"/>
        <v>4.9297486508823818E-2</v>
      </c>
      <c r="S72" s="146">
        <f t="shared" si="12"/>
        <v>5.8124449798452549E-2</v>
      </c>
      <c r="T72" s="146">
        <f t="shared" si="13"/>
        <v>5.6113847837985897E-2</v>
      </c>
      <c r="U72" s="146">
        <f t="shared" si="14"/>
        <v>6.0139309258261164E-2</v>
      </c>
      <c r="V72" s="146">
        <f t="shared" si="15"/>
        <v>5.9836915074600538E-2</v>
      </c>
      <c r="W72" s="146">
        <f t="shared" si="16"/>
        <v>5.9558294433476711E-2</v>
      </c>
      <c r="X72" s="146">
        <f t="shared" si="16"/>
        <v>5.7969247914744004E-2</v>
      </c>
    </row>
    <row r="73" spans="1:24">
      <c r="A73" s="139" t="s">
        <v>280</v>
      </c>
      <c r="B73" s="139" t="s">
        <v>209</v>
      </c>
      <c r="C73" s="851">
        <v>384.33199999999999</v>
      </c>
      <c r="D73" s="851">
        <v>402.03699999999998</v>
      </c>
      <c r="E73" s="851">
        <v>416.12599999999998</v>
      </c>
      <c r="F73" s="851">
        <v>430.05700000000002</v>
      </c>
      <c r="G73" s="851">
        <v>453.01900000000001</v>
      </c>
      <c r="H73" s="851">
        <v>474.05200000000002</v>
      </c>
      <c r="I73" s="851">
        <v>498.02600000000001</v>
      </c>
      <c r="J73" s="851">
        <v>523.54399999999998</v>
      </c>
      <c r="K73" s="851">
        <v>550.81299999999999</v>
      </c>
      <c r="L73" s="851">
        <v>579.70899999999995</v>
      </c>
      <c r="M73" s="851">
        <v>2016</v>
      </c>
      <c r="N73" s="851"/>
      <c r="P73" s="146">
        <f t="shared" si="9"/>
        <v>4.6066942122956256E-2</v>
      </c>
      <c r="Q73" s="146">
        <f t="shared" si="10"/>
        <v>3.504403823528679E-2</v>
      </c>
      <c r="R73" s="146">
        <f t="shared" si="11"/>
        <v>3.3477840846282136E-2</v>
      </c>
      <c r="S73" s="146">
        <f t="shared" si="12"/>
        <v>5.3392922333551196E-2</v>
      </c>
      <c r="T73" s="146">
        <f t="shared" si="13"/>
        <v>4.6428516243248064E-2</v>
      </c>
      <c r="U73" s="146">
        <f t="shared" si="14"/>
        <v>5.0572511032545009E-2</v>
      </c>
      <c r="V73" s="146">
        <f t="shared" si="15"/>
        <v>5.1238288764040352E-2</v>
      </c>
      <c r="W73" s="146">
        <f t="shared" si="16"/>
        <v>5.2085402564063354E-2</v>
      </c>
      <c r="X73" s="146">
        <f t="shared" si="16"/>
        <v>5.2460635460673588E-2</v>
      </c>
    </row>
    <row r="74" spans="1:24">
      <c r="A74" s="139" t="s">
        <v>281</v>
      </c>
      <c r="B74" s="139" t="s">
        <v>209</v>
      </c>
      <c r="C74" s="851">
        <v>236.86500000000001</v>
      </c>
      <c r="D74" s="851">
        <v>250.874</v>
      </c>
      <c r="E74" s="851">
        <v>261.57799999999997</v>
      </c>
      <c r="F74" s="851">
        <v>270.09300000000002</v>
      </c>
      <c r="G74" s="851">
        <v>283.59199999999998</v>
      </c>
      <c r="H74" s="851">
        <v>298.92500000000001</v>
      </c>
      <c r="I74" s="851">
        <v>313.85300000000001</v>
      </c>
      <c r="J74" s="851">
        <v>328.786</v>
      </c>
      <c r="K74" s="851">
        <v>343.66899999999998</v>
      </c>
      <c r="L74" s="851">
        <v>357.98899999999998</v>
      </c>
      <c r="M74" s="851">
        <v>2016</v>
      </c>
      <c r="N74" s="851"/>
      <c r="P74" s="146">
        <f t="shared" si="9"/>
        <v>5.9143393916365694E-2</v>
      </c>
      <c r="Q74" s="146">
        <f t="shared" si="10"/>
        <v>4.266683673876126E-2</v>
      </c>
      <c r="R74" s="146">
        <f t="shared" si="11"/>
        <v>3.2552431779431235E-2</v>
      </c>
      <c r="S74" s="146">
        <f t="shared" si="12"/>
        <v>4.9979081279410975E-2</v>
      </c>
      <c r="T74" s="146">
        <f t="shared" si="13"/>
        <v>5.4067110496770043E-2</v>
      </c>
      <c r="U74" s="146">
        <f t="shared" si="14"/>
        <v>4.9938947896629671E-2</v>
      </c>
      <c r="V74" s="146">
        <f t="shared" si="15"/>
        <v>4.7579599366582404E-2</v>
      </c>
      <c r="W74" s="146">
        <f t="shared" si="16"/>
        <v>4.526652594696845E-2</v>
      </c>
      <c r="X74" s="146">
        <f t="shared" si="16"/>
        <v>4.1668000314255771E-2</v>
      </c>
    </row>
    <row r="75" spans="1:24">
      <c r="A75" s="139" t="s">
        <v>282</v>
      </c>
      <c r="B75" s="139" t="s">
        <v>209</v>
      </c>
      <c r="C75" s="851">
        <v>13.933</v>
      </c>
      <c r="D75" s="851">
        <v>14.457000000000001</v>
      </c>
      <c r="E75" s="851">
        <v>15.212</v>
      </c>
      <c r="F75" s="851">
        <v>16.515000000000001</v>
      </c>
      <c r="G75" s="851">
        <v>17.728000000000002</v>
      </c>
      <c r="H75" s="851">
        <v>18.663</v>
      </c>
      <c r="I75" s="851">
        <v>19.646999999999998</v>
      </c>
      <c r="J75" s="851">
        <v>20.670999999999999</v>
      </c>
      <c r="K75" s="851">
        <v>21.669</v>
      </c>
      <c r="L75" s="851">
        <v>22.672000000000001</v>
      </c>
      <c r="M75" s="851">
        <v>2016</v>
      </c>
      <c r="N75" s="851"/>
      <c r="P75" s="146">
        <f t="shared" si="9"/>
        <v>3.7608555228594076E-2</v>
      </c>
      <c r="Q75" s="146">
        <f t="shared" si="10"/>
        <v>5.2223836203914908E-2</v>
      </c>
      <c r="R75" s="146">
        <f t="shared" si="11"/>
        <v>8.5656061004470319E-2</v>
      </c>
      <c r="S75" s="146">
        <f t="shared" si="12"/>
        <v>7.3448380260369373E-2</v>
      </c>
      <c r="T75" s="146">
        <f t="shared" si="13"/>
        <v>5.2741425992779645E-2</v>
      </c>
      <c r="U75" s="146">
        <f t="shared" si="14"/>
        <v>5.2724642340459704E-2</v>
      </c>
      <c r="V75" s="146">
        <f t="shared" si="15"/>
        <v>5.2119916526696342E-2</v>
      </c>
      <c r="W75" s="146">
        <f t="shared" si="16"/>
        <v>4.8280199313047278E-2</v>
      </c>
      <c r="X75" s="146">
        <f t="shared" si="16"/>
        <v>4.6287322903687311E-2</v>
      </c>
    </row>
    <row r="76" spans="1:24">
      <c r="A76" s="139" t="s">
        <v>283</v>
      </c>
      <c r="B76" s="139" t="s">
        <v>209</v>
      </c>
      <c r="C76" s="1168">
        <v>6713.11</v>
      </c>
      <c r="D76" s="1168">
        <v>7346.46</v>
      </c>
      <c r="E76" s="1168">
        <v>8020.96</v>
      </c>
      <c r="F76" s="1168">
        <v>8700.6200000000008</v>
      </c>
      <c r="G76" s="1168">
        <v>9446.7900000000009</v>
      </c>
      <c r="H76" s="1168">
        <v>10339.549999999999</v>
      </c>
      <c r="I76" s="1168">
        <v>11384.1</v>
      </c>
      <c r="J76" s="1168">
        <v>12545.49</v>
      </c>
      <c r="K76" s="1168">
        <v>13843.25</v>
      </c>
      <c r="L76" s="1168">
        <v>15261.56</v>
      </c>
      <c r="M76" s="851">
        <v>2017</v>
      </c>
      <c r="N76" s="851"/>
      <c r="P76" s="146">
        <f t="shared" si="9"/>
        <v>9.4345243858658723E-2</v>
      </c>
      <c r="Q76" s="146">
        <f t="shared" si="10"/>
        <v>9.181292758689219E-2</v>
      </c>
      <c r="R76" s="146">
        <f t="shared" si="11"/>
        <v>8.4735493008318397E-2</v>
      </c>
      <c r="S76" s="146">
        <f t="shared" si="12"/>
        <v>8.5760554994931404E-2</v>
      </c>
      <c r="T76" s="146">
        <f t="shared" si="13"/>
        <v>9.4504059050746214E-2</v>
      </c>
      <c r="U76" s="146">
        <f t="shared" si="14"/>
        <v>0.10102470610423087</v>
      </c>
      <c r="V76" s="146">
        <f t="shared" si="15"/>
        <v>0.10201860489630277</v>
      </c>
      <c r="W76" s="146">
        <f t="shared" si="16"/>
        <v>0.10344434533844438</v>
      </c>
      <c r="X76" s="146">
        <f t="shared" si="16"/>
        <v>0.10245498708756973</v>
      </c>
    </row>
    <row r="77" spans="1:24">
      <c r="A77" s="139" t="s">
        <v>284</v>
      </c>
      <c r="B77" s="139" t="s">
        <v>209</v>
      </c>
      <c r="C77" s="1168">
        <v>2515.16</v>
      </c>
      <c r="D77" s="1168">
        <v>2688.49</v>
      </c>
      <c r="E77" s="1168">
        <v>2850.16</v>
      </c>
      <c r="F77" s="1168">
        <v>3031.3</v>
      </c>
      <c r="G77" s="1168">
        <v>3242.97</v>
      </c>
      <c r="H77" s="1168">
        <v>3481.11</v>
      </c>
      <c r="I77" s="1168">
        <v>3750.94</v>
      </c>
      <c r="J77" s="1168">
        <v>4040.48</v>
      </c>
      <c r="K77" s="1168">
        <v>4351.28</v>
      </c>
      <c r="L77" s="1168">
        <v>4678.97</v>
      </c>
      <c r="M77" s="851">
        <v>2016</v>
      </c>
      <c r="N77" s="851"/>
      <c r="P77" s="146">
        <f t="shared" si="9"/>
        <v>6.8914104868079917E-2</v>
      </c>
      <c r="Q77" s="146">
        <f t="shared" si="10"/>
        <v>6.0134127335418786E-2</v>
      </c>
      <c r="R77" s="146">
        <f t="shared" si="11"/>
        <v>6.3554326774637238E-2</v>
      </c>
      <c r="S77" s="146">
        <f t="shared" si="12"/>
        <v>6.9828126546366054E-2</v>
      </c>
      <c r="T77" s="146">
        <f t="shared" si="13"/>
        <v>7.3432686703854833E-2</v>
      </c>
      <c r="U77" s="146">
        <f t="shared" si="14"/>
        <v>7.751263246493223E-2</v>
      </c>
      <c r="V77" s="146">
        <f t="shared" si="15"/>
        <v>7.7191317376444246E-2</v>
      </c>
      <c r="W77" s="146">
        <f t="shared" si="16"/>
        <v>7.6921553874787163E-2</v>
      </c>
      <c r="X77" s="146">
        <f t="shared" si="16"/>
        <v>7.5308874629994138E-2</v>
      </c>
    </row>
    <row r="78" spans="1:24">
      <c r="A78" s="139" t="s">
        <v>285</v>
      </c>
      <c r="B78" s="139" t="s">
        <v>209</v>
      </c>
      <c r="C78" s="1168">
        <v>1300.81</v>
      </c>
      <c r="D78" s="1168">
        <v>1366.72</v>
      </c>
      <c r="E78" s="1168">
        <v>1359.63</v>
      </c>
      <c r="F78" s="1168">
        <v>1549.35</v>
      </c>
      <c r="G78" s="1168">
        <v>1630.86</v>
      </c>
      <c r="H78" s="1168">
        <v>1724.95</v>
      </c>
      <c r="I78" s="1168">
        <v>1831.35</v>
      </c>
      <c r="J78" s="1168">
        <v>1944.43</v>
      </c>
      <c r="K78" s="1168">
        <v>2066.9299999999998</v>
      </c>
      <c r="L78" s="1168">
        <v>2193.3000000000002</v>
      </c>
      <c r="M78" s="851">
        <v>2016</v>
      </c>
      <c r="N78" s="851"/>
      <c r="P78" s="146">
        <f t="shared" si="9"/>
        <v>5.0668429670743587E-2</v>
      </c>
      <c r="Q78" s="146">
        <f t="shared" si="10"/>
        <v>-5.1876024350269168E-3</v>
      </c>
      <c r="R78" s="146">
        <f t="shared" si="11"/>
        <v>0.13953796253392459</v>
      </c>
      <c r="S78" s="146">
        <f t="shared" si="12"/>
        <v>5.2609158679446155E-2</v>
      </c>
      <c r="T78" s="146">
        <f t="shared" si="13"/>
        <v>5.7693486871957189E-2</v>
      </c>
      <c r="U78" s="146">
        <f t="shared" si="14"/>
        <v>6.168294733180657E-2</v>
      </c>
      <c r="V78" s="146">
        <f t="shared" si="15"/>
        <v>6.1746798809621417E-2</v>
      </c>
      <c r="W78" s="146">
        <f t="shared" si="16"/>
        <v>6.3000468003476584E-2</v>
      </c>
      <c r="X78" s="146">
        <f t="shared" si="16"/>
        <v>6.1138983903664013E-2</v>
      </c>
    </row>
    <row r="79" spans="1:24">
      <c r="A79" s="139" t="s">
        <v>286</v>
      </c>
      <c r="B79" s="139" t="s">
        <v>209</v>
      </c>
      <c r="C79" s="851">
        <v>533.94899999999996</v>
      </c>
      <c r="D79" s="851">
        <v>547.54600000000005</v>
      </c>
      <c r="E79" s="851">
        <v>580.31399999999996</v>
      </c>
      <c r="F79" s="851">
        <v>652.33299999999997</v>
      </c>
      <c r="G79" s="851">
        <v>660.72299999999996</v>
      </c>
      <c r="H79" s="851">
        <v>693.27700000000004</v>
      </c>
      <c r="I79" s="851">
        <v>719.97199999999998</v>
      </c>
      <c r="J79" s="851">
        <v>749.84699999999998</v>
      </c>
      <c r="K79" s="851">
        <v>781.33</v>
      </c>
      <c r="L79" s="851">
        <v>813.34900000000005</v>
      </c>
      <c r="M79" s="851">
        <v>2014</v>
      </c>
      <c r="N79" s="851"/>
      <c r="P79" s="146">
        <f t="shared" si="9"/>
        <v>2.5464978865022969E-2</v>
      </c>
      <c r="Q79" s="146">
        <f t="shared" si="10"/>
        <v>5.9845200220620676E-2</v>
      </c>
      <c r="R79" s="146">
        <f t="shared" si="11"/>
        <v>0.12410350258653069</v>
      </c>
      <c r="S79" s="146">
        <f t="shared" si="12"/>
        <v>1.2861529310949971E-2</v>
      </c>
      <c r="T79" s="146">
        <f t="shared" si="13"/>
        <v>4.927026908401877E-2</v>
      </c>
      <c r="U79" s="146">
        <f t="shared" si="14"/>
        <v>3.8505532420662902E-2</v>
      </c>
      <c r="V79" s="146">
        <f t="shared" si="15"/>
        <v>4.1494669237136961E-2</v>
      </c>
      <c r="W79" s="146">
        <f t="shared" si="16"/>
        <v>4.1985898456618598E-2</v>
      </c>
      <c r="X79" s="146">
        <f t="shared" si="16"/>
        <v>4.098012363533976E-2</v>
      </c>
    </row>
    <row r="80" spans="1:24">
      <c r="A80" s="139" t="s">
        <v>287</v>
      </c>
      <c r="B80" s="139" t="s">
        <v>209</v>
      </c>
      <c r="C80" s="851">
        <v>218.607</v>
      </c>
      <c r="D80" s="851">
        <v>241.012</v>
      </c>
      <c r="E80" s="851">
        <v>305.76499999999999</v>
      </c>
      <c r="F80" s="851">
        <v>325.54599999999999</v>
      </c>
      <c r="G80" s="851">
        <v>344.77</v>
      </c>
      <c r="H80" s="851">
        <v>363.39699999999999</v>
      </c>
      <c r="I80" s="851">
        <v>382.36500000000001</v>
      </c>
      <c r="J80" s="851">
        <v>401.78100000000001</v>
      </c>
      <c r="K80" s="851">
        <v>421.72199999999998</v>
      </c>
      <c r="L80" s="851">
        <v>441.779</v>
      </c>
      <c r="M80" s="851">
        <v>2016</v>
      </c>
      <c r="N80" s="851"/>
      <c r="P80" s="146">
        <f t="shared" si="9"/>
        <v>0.10248985622601281</v>
      </c>
      <c r="Q80" s="146">
        <f t="shared" si="10"/>
        <v>0.26867126948035769</v>
      </c>
      <c r="R80" s="146">
        <f t="shared" si="11"/>
        <v>6.4693473746177732E-2</v>
      </c>
      <c r="S80" s="146">
        <f t="shared" si="12"/>
        <v>5.9051562605591856E-2</v>
      </c>
      <c r="T80" s="146">
        <f t="shared" si="13"/>
        <v>5.4027322562868019E-2</v>
      </c>
      <c r="U80" s="146">
        <f t="shared" si="14"/>
        <v>5.2196358252819985E-2</v>
      </c>
      <c r="V80" s="146">
        <f t="shared" si="15"/>
        <v>5.0778706210034885E-2</v>
      </c>
      <c r="W80" s="146">
        <f t="shared" si="16"/>
        <v>4.9631515676450633E-2</v>
      </c>
      <c r="X80" s="146">
        <f t="shared" si="16"/>
        <v>4.7559766860633346E-2</v>
      </c>
    </row>
    <row r="81" spans="1:24">
      <c r="A81" s="139" t="s">
        <v>288</v>
      </c>
      <c r="B81" s="139" t="s">
        <v>209</v>
      </c>
      <c r="C81" s="851">
        <v>261.529</v>
      </c>
      <c r="D81" s="851">
        <v>275.48200000000003</v>
      </c>
      <c r="E81" s="851">
        <v>285.78699999999998</v>
      </c>
      <c r="F81" s="851">
        <v>300.899</v>
      </c>
      <c r="G81" s="851">
        <v>315.58199999999999</v>
      </c>
      <c r="H81" s="851">
        <v>332.541</v>
      </c>
      <c r="I81" s="851">
        <v>349.96600000000001</v>
      </c>
      <c r="J81" s="851">
        <v>368.10399999999998</v>
      </c>
      <c r="K81" s="851">
        <v>387.09899999999999</v>
      </c>
      <c r="L81" s="851">
        <v>406.46899999999999</v>
      </c>
      <c r="M81" s="851">
        <v>2016</v>
      </c>
      <c r="N81" s="851"/>
      <c r="P81" s="146">
        <f t="shared" si="9"/>
        <v>5.3351635956242038E-2</v>
      </c>
      <c r="Q81" s="146">
        <f t="shared" si="10"/>
        <v>3.7407162718435139E-2</v>
      </c>
      <c r="R81" s="146">
        <f t="shared" si="11"/>
        <v>5.2878542410956575E-2</v>
      </c>
      <c r="S81" s="146">
        <f t="shared" si="12"/>
        <v>4.8797104676320036E-2</v>
      </c>
      <c r="T81" s="146">
        <f t="shared" si="13"/>
        <v>5.3738806395801975E-2</v>
      </c>
      <c r="U81" s="146">
        <f t="shared" si="14"/>
        <v>5.2399553739238103E-2</v>
      </c>
      <c r="V81" s="146">
        <f t="shared" si="15"/>
        <v>5.1827891852351371E-2</v>
      </c>
      <c r="W81" s="146">
        <f t="shared" si="16"/>
        <v>5.1602264577402135E-2</v>
      </c>
      <c r="X81" s="146">
        <f t="shared" si="16"/>
        <v>5.0038878943112763E-2</v>
      </c>
    </row>
    <row r="82" spans="1:24">
      <c r="A82" s="139" t="s">
        <v>289</v>
      </c>
      <c r="B82" s="139" t="s">
        <v>209</v>
      </c>
      <c r="C82" s="1168">
        <v>2106.0300000000002</v>
      </c>
      <c r="D82" s="1168">
        <v>2146.27</v>
      </c>
      <c r="E82" s="1168">
        <v>2186.5300000000002</v>
      </c>
      <c r="F82" s="1168">
        <v>2233.91</v>
      </c>
      <c r="G82" s="1168">
        <v>2307.0700000000002</v>
      </c>
      <c r="H82" s="1168">
        <v>2378.3000000000002</v>
      </c>
      <c r="I82" s="1168">
        <v>2450.92</v>
      </c>
      <c r="J82" s="1168">
        <v>2527.4899999999998</v>
      </c>
      <c r="K82" s="1168">
        <v>2604.2399999999998</v>
      </c>
      <c r="L82" s="1168">
        <v>2676.91</v>
      </c>
      <c r="M82" s="851">
        <v>2016</v>
      </c>
      <c r="N82" s="851"/>
      <c r="P82" s="146">
        <f t="shared" si="9"/>
        <v>1.9107040260585073E-2</v>
      </c>
      <c r="Q82" s="146">
        <f t="shared" si="10"/>
        <v>1.8758124560283695E-2</v>
      </c>
      <c r="R82" s="146">
        <f t="shared" si="11"/>
        <v>2.1669037241656808E-2</v>
      </c>
      <c r="S82" s="146">
        <f t="shared" si="12"/>
        <v>3.2749752675801824E-2</v>
      </c>
      <c r="T82" s="146">
        <f t="shared" si="13"/>
        <v>3.0874659199764176E-2</v>
      </c>
      <c r="U82" s="146">
        <f t="shared" si="14"/>
        <v>3.0534415338687282E-2</v>
      </c>
      <c r="V82" s="146">
        <f t="shared" si="15"/>
        <v>3.1241329786365846E-2</v>
      </c>
      <c r="W82" s="146">
        <f t="shared" si="16"/>
        <v>3.0366094425695156E-2</v>
      </c>
      <c r="X82" s="146">
        <f t="shared" si="16"/>
        <v>2.7904494209443076E-2</v>
      </c>
    </row>
    <row r="83" spans="1:24">
      <c r="A83" s="139" t="s">
        <v>290</v>
      </c>
      <c r="B83" s="139" t="s">
        <v>209</v>
      </c>
      <c r="C83" s="851">
        <v>23.643000000000001</v>
      </c>
      <c r="D83" s="851">
        <v>24.195</v>
      </c>
      <c r="E83" s="851">
        <v>24.686</v>
      </c>
      <c r="F83" s="851">
        <v>25.332000000000001</v>
      </c>
      <c r="G83" s="851">
        <v>26.202000000000002</v>
      </c>
      <c r="H83" s="851">
        <v>27.332000000000001</v>
      </c>
      <c r="I83" s="851">
        <v>28.655000000000001</v>
      </c>
      <c r="J83" s="851">
        <v>30.07</v>
      </c>
      <c r="K83" s="851">
        <v>31.553999999999998</v>
      </c>
      <c r="L83" s="851">
        <v>33.061</v>
      </c>
      <c r="M83" s="851">
        <v>2015</v>
      </c>
      <c r="N83" s="851"/>
      <c r="P83" s="146">
        <f t="shared" si="9"/>
        <v>2.3347290952924649E-2</v>
      </c>
      <c r="Q83" s="146">
        <f t="shared" si="10"/>
        <v>2.0293449059723079E-2</v>
      </c>
      <c r="R83" s="146">
        <f t="shared" si="11"/>
        <v>2.616867860325689E-2</v>
      </c>
      <c r="S83" s="146">
        <f t="shared" si="12"/>
        <v>3.4343912837517809E-2</v>
      </c>
      <c r="T83" s="146">
        <f t="shared" si="13"/>
        <v>4.312647889474075E-2</v>
      </c>
      <c r="U83" s="146">
        <f t="shared" si="14"/>
        <v>4.8404800234157719E-2</v>
      </c>
      <c r="V83" s="146">
        <f t="shared" si="15"/>
        <v>4.9380561856569472E-2</v>
      </c>
      <c r="W83" s="146">
        <f t="shared" si="16"/>
        <v>4.9351513136015823E-2</v>
      </c>
      <c r="X83" s="146">
        <f t="shared" si="16"/>
        <v>4.7759396589972747E-2</v>
      </c>
    </row>
    <row r="84" spans="1:24">
      <c r="A84" s="139" t="s">
        <v>291</v>
      </c>
      <c r="B84" s="139" t="s">
        <v>209</v>
      </c>
      <c r="C84" s="1168">
        <v>4899.49</v>
      </c>
      <c r="D84" s="1168">
        <v>5004.17</v>
      </c>
      <c r="E84" s="1168">
        <v>5114.6499999999996</v>
      </c>
      <c r="F84" s="1168">
        <v>5233.34</v>
      </c>
      <c r="G84" s="1168">
        <v>5405.07</v>
      </c>
      <c r="H84" s="1168">
        <v>5545.88</v>
      </c>
      <c r="I84" s="1168">
        <v>5710.95</v>
      </c>
      <c r="J84" s="1168">
        <v>5843.09</v>
      </c>
      <c r="K84" s="1168">
        <v>6008.25</v>
      </c>
      <c r="L84" s="1168">
        <v>6162.53</v>
      </c>
      <c r="M84" s="851">
        <v>2016</v>
      </c>
      <c r="N84" s="851"/>
      <c r="P84" s="146">
        <f t="shared" si="9"/>
        <v>2.1365489061106357E-2</v>
      </c>
      <c r="Q84" s="146">
        <f t="shared" si="10"/>
        <v>2.2077587292198109E-2</v>
      </c>
      <c r="R84" s="146">
        <f t="shared" si="11"/>
        <v>2.3205888966009613E-2</v>
      </c>
      <c r="S84" s="146">
        <f t="shared" si="12"/>
        <v>3.2814607879480429E-2</v>
      </c>
      <c r="T84" s="146">
        <f t="shared" si="13"/>
        <v>2.60514664934961E-2</v>
      </c>
      <c r="U84" s="146">
        <f t="shared" si="14"/>
        <v>2.9764437744776329E-2</v>
      </c>
      <c r="V84" s="146">
        <f t="shared" si="15"/>
        <v>2.3138006811476153E-2</v>
      </c>
      <c r="W84" s="146">
        <f t="shared" si="16"/>
        <v>2.8265866176971466E-2</v>
      </c>
      <c r="X84" s="146">
        <f t="shared" si="16"/>
        <v>2.567802604751801E-2</v>
      </c>
    </row>
    <row r="85" spans="1:24">
      <c r="A85" s="139" t="s">
        <v>292</v>
      </c>
      <c r="B85" s="139" t="s">
        <v>209</v>
      </c>
      <c r="C85" s="851">
        <v>76.242999999999995</v>
      </c>
      <c r="D85" s="851">
        <v>80.013999999999996</v>
      </c>
      <c r="E85" s="851">
        <v>82.808999999999997</v>
      </c>
      <c r="F85" s="851">
        <v>85.554000000000002</v>
      </c>
      <c r="G85" s="851">
        <v>89.046000000000006</v>
      </c>
      <c r="H85" s="851">
        <v>93.043999999999997</v>
      </c>
      <c r="I85" s="851">
        <v>97.594999999999999</v>
      </c>
      <c r="J85" s="851">
        <v>102.538</v>
      </c>
      <c r="K85" s="851">
        <v>107.807</v>
      </c>
      <c r="L85" s="851">
        <v>113.178</v>
      </c>
      <c r="M85" s="851">
        <v>2016</v>
      </c>
      <c r="N85" s="851"/>
      <c r="P85" s="146">
        <f t="shared" si="9"/>
        <v>4.9460278320632822E-2</v>
      </c>
      <c r="Q85" s="146">
        <f t="shared" si="10"/>
        <v>3.4931387007273829E-2</v>
      </c>
      <c r="R85" s="146">
        <f t="shared" si="11"/>
        <v>3.3148570807520983E-2</v>
      </c>
      <c r="S85" s="146">
        <f t="shared" si="12"/>
        <v>4.081632653061229E-2</v>
      </c>
      <c r="T85" s="146">
        <f t="shared" si="13"/>
        <v>4.4898142533072782E-2</v>
      </c>
      <c r="U85" s="146">
        <f t="shared" si="14"/>
        <v>4.8912342547611898E-2</v>
      </c>
      <c r="V85" s="146">
        <f t="shared" si="15"/>
        <v>5.0648086479840204E-2</v>
      </c>
      <c r="W85" s="146">
        <f t="shared" si="16"/>
        <v>5.1385827693148034E-2</v>
      </c>
      <c r="X85" s="146">
        <f t="shared" si="16"/>
        <v>4.9820512582670728E-2</v>
      </c>
    </row>
    <row r="86" spans="1:24">
      <c r="A86" s="139" t="s">
        <v>293</v>
      </c>
      <c r="B86" s="139" t="s">
        <v>209</v>
      </c>
      <c r="C86" s="851">
        <v>405.76600000000002</v>
      </c>
      <c r="D86" s="851">
        <v>430.81</v>
      </c>
      <c r="E86" s="851">
        <v>440.70699999999999</v>
      </c>
      <c r="F86" s="851">
        <v>451.16300000000001</v>
      </c>
      <c r="G86" s="851">
        <v>474.31200000000001</v>
      </c>
      <c r="H86" s="851">
        <v>497.178</v>
      </c>
      <c r="I86" s="851">
        <v>522.03899999999999</v>
      </c>
      <c r="J86" s="851">
        <v>550.08100000000002</v>
      </c>
      <c r="K86" s="851">
        <v>584.61300000000006</v>
      </c>
      <c r="L86" s="851">
        <v>621.67100000000005</v>
      </c>
      <c r="M86" s="851">
        <v>2016</v>
      </c>
      <c r="N86" s="851"/>
      <c r="P86" s="146">
        <f t="shared" si="9"/>
        <v>6.1720301848848802E-2</v>
      </c>
      <c r="Q86" s="146">
        <f t="shared" si="10"/>
        <v>2.297300434066063E-2</v>
      </c>
      <c r="R86" s="146">
        <f t="shared" si="11"/>
        <v>2.3725513776726936E-2</v>
      </c>
      <c r="S86" s="146">
        <f t="shared" si="12"/>
        <v>5.1309615371827988E-2</v>
      </c>
      <c r="T86" s="146">
        <f t="shared" si="13"/>
        <v>4.820877397156309E-2</v>
      </c>
      <c r="U86" s="146">
        <f t="shared" si="14"/>
        <v>5.0004223839349216E-2</v>
      </c>
      <c r="V86" s="146">
        <f t="shared" si="15"/>
        <v>5.3716293227134448E-2</v>
      </c>
      <c r="W86" s="146">
        <f t="shared" si="16"/>
        <v>6.2776209321899978E-2</v>
      </c>
      <c r="X86" s="146">
        <f t="shared" si="16"/>
        <v>6.3388942770687517E-2</v>
      </c>
    </row>
    <row r="87" spans="1:24">
      <c r="A87" s="139" t="s">
        <v>294</v>
      </c>
      <c r="B87" s="139" t="s">
        <v>209</v>
      </c>
      <c r="C87" s="851">
        <v>124.46299999999999</v>
      </c>
      <c r="D87" s="851">
        <v>133.477</v>
      </c>
      <c r="E87" s="851">
        <v>142.63300000000001</v>
      </c>
      <c r="F87" s="851">
        <v>152.90199999999999</v>
      </c>
      <c r="G87" s="851">
        <v>163.37700000000001</v>
      </c>
      <c r="H87" s="851">
        <v>175.65899999999999</v>
      </c>
      <c r="I87" s="851">
        <v>190.18199999999999</v>
      </c>
      <c r="J87" s="851">
        <v>206.17599999999999</v>
      </c>
      <c r="K87" s="851">
        <v>224.102</v>
      </c>
      <c r="L87" s="851">
        <v>243.221</v>
      </c>
      <c r="M87" s="851">
        <v>2016</v>
      </c>
      <c r="N87" s="851"/>
      <c r="P87" s="146">
        <f t="shared" si="9"/>
        <v>7.2423129765472494E-2</v>
      </c>
      <c r="Q87" s="146">
        <f t="shared" si="10"/>
        <v>6.8596087715486531E-2</v>
      </c>
      <c r="R87" s="146">
        <f t="shared" si="11"/>
        <v>7.1995961663850361E-2</v>
      </c>
      <c r="S87" s="146">
        <f t="shared" si="12"/>
        <v>6.8507933185962377E-2</v>
      </c>
      <c r="T87" s="146">
        <f t="shared" si="13"/>
        <v>7.5175820341908395E-2</v>
      </c>
      <c r="U87" s="146">
        <f t="shared" si="14"/>
        <v>8.2677232592693883E-2</v>
      </c>
      <c r="V87" s="146">
        <f t="shared" si="15"/>
        <v>8.4098389963298326E-2</v>
      </c>
      <c r="W87" s="146">
        <f t="shared" si="16"/>
        <v>8.6945134254229561E-2</v>
      </c>
      <c r="X87" s="146">
        <f t="shared" si="16"/>
        <v>8.5313830309412753E-2</v>
      </c>
    </row>
    <row r="88" spans="1:24">
      <c r="A88" s="139" t="s">
        <v>295</v>
      </c>
      <c r="B88" s="139" t="s">
        <v>209</v>
      </c>
      <c r="C88" s="851">
        <v>0.183</v>
      </c>
      <c r="D88" s="851">
        <v>0.187</v>
      </c>
      <c r="E88" s="851">
        <v>0.20300000000000001</v>
      </c>
      <c r="F88" s="851">
        <v>0.215</v>
      </c>
      <c r="G88" s="851">
        <v>0.224</v>
      </c>
      <c r="H88" s="851">
        <v>0.23400000000000001</v>
      </c>
      <c r="I88" s="851">
        <v>0.24399999999999999</v>
      </c>
      <c r="J88" s="851">
        <v>0.254</v>
      </c>
      <c r="K88" s="851">
        <v>0.26400000000000001</v>
      </c>
      <c r="L88" s="851">
        <v>0.27400000000000002</v>
      </c>
      <c r="M88" s="851">
        <v>2015</v>
      </c>
      <c r="N88" s="851"/>
      <c r="P88" s="146">
        <f t="shared" si="9"/>
        <v>2.1857923497267784E-2</v>
      </c>
      <c r="Q88" s="146">
        <f t="shared" si="10"/>
        <v>8.5561497326203328E-2</v>
      </c>
      <c r="R88" s="146">
        <f t="shared" si="11"/>
        <v>5.9113300492610765E-2</v>
      </c>
      <c r="S88" s="146">
        <f t="shared" si="12"/>
        <v>4.1860465116279055E-2</v>
      </c>
      <c r="T88" s="146">
        <f t="shared" si="13"/>
        <v>4.4642857142857206E-2</v>
      </c>
      <c r="U88" s="146">
        <f t="shared" si="14"/>
        <v>4.2735042735042583E-2</v>
      </c>
      <c r="V88" s="146">
        <f t="shared" si="15"/>
        <v>4.0983606557376984E-2</v>
      </c>
      <c r="W88" s="146">
        <f t="shared" si="16"/>
        <v>3.937007874015741E-2</v>
      </c>
      <c r="X88" s="146">
        <f t="shared" si="16"/>
        <v>3.7878787878787845E-2</v>
      </c>
    </row>
    <row r="89" spans="1:24">
      <c r="A89" s="139" t="s">
        <v>296</v>
      </c>
      <c r="B89" s="139" t="s">
        <v>209</v>
      </c>
      <c r="C89" s="1168">
        <v>1698.63</v>
      </c>
      <c r="D89" s="1168">
        <v>1786.89</v>
      </c>
      <c r="E89" s="1168">
        <v>1856.67</v>
      </c>
      <c r="F89" s="1168">
        <v>1933.53</v>
      </c>
      <c r="G89" s="1168">
        <v>2026.65</v>
      </c>
      <c r="H89" s="1168">
        <v>2127.16</v>
      </c>
      <c r="I89" s="1168">
        <v>2236.84</v>
      </c>
      <c r="J89" s="1168">
        <v>2351.16</v>
      </c>
      <c r="K89" s="1168">
        <v>2470.6</v>
      </c>
      <c r="L89" s="1168">
        <v>2591.2800000000002</v>
      </c>
      <c r="M89" s="851">
        <v>2016</v>
      </c>
      <c r="N89" s="851"/>
      <c r="P89" s="146">
        <f t="shared" si="9"/>
        <v>5.1959520319316166E-2</v>
      </c>
      <c r="Q89" s="146">
        <f t="shared" si="10"/>
        <v>3.9051088763158326E-2</v>
      </c>
      <c r="R89" s="146">
        <f t="shared" si="11"/>
        <v>4.1396694081339058E-2</v>
      </c>
      <c r="S89" s="146">
        <f t="shared" si="12"/>
        <v>4.8160618144016398E-2</v>
      </c>
      <c r="T89" s="146">
        <f t="shared" si="13"/>
        <v>4.9594157846692744E-2</v>
      </c>
      <c r="U89" s="146">
        <f t="shared" si="14"/>
        <v>5.1561706688730613E-2</v>
      </c>
      <c r="V89" s="146">
        <f t="shared" si="15"/>
        <v>5.1107812807352992E-2</v>
      </c>
      <c r="W89" s="146">
        <f t="shared" si="16"/>
        <v>5.080045594515048E-2</v>
      </c>
      <c r="X89" s="146">
        <f t="shared" si="16"/>
        <v>4.8846434064599764E-2</v>
      </c>
    </row>
    <row r="90" spans="1:24">
      <c r="A90" s="139" t="s">
        <v>297</v>
      </c>
      <c r="B90" s="139" t="s">
        <v>209</v>
      </c>
      <c r="C90" s="851">
        <v>16.207000000000001</v>
      </c>
      <c r="D90" s="851">
        <v>16.7</v>
      </c>
      <c r="E90" s="851">
        <v>17.571999999999999</v>
      </c>
      <c r="F90" s="851">
        <v>18.405000000000001</v>
      </c>
      <c r="G90" s="851">
        <v>19.381</v>
      </c>
      <c r="H90" s="851">
        <v>20.449000000000002</v>
      </c>
      <c r="I90" s="851">
        <v>21.637</v>
      </c>
      <c r="J90" s="851">
        <v>22.908999999999999</v>
      </c>
      <c r="K90" s="851">
        <v>24.274000000000001</v>
      </c>
      <c r="L90" s="851">
        <v>25.73</v>
      </c>
      <c r="M90" s="851">
        <v>2015</v>
      </c>
      <c r="N90" s="851"/>
      <c r="P90" s="146">
        <f t="shared" si="9"/>
        <v>3.0418954772629014E-2</v>
      </c>
      <c r="Q90" s="146">
        <f t="shared" si="10"/>
        <v>5.2215568862275408E-2</v>
      </c>
      <c r="R90" s="146">
        <f t="shared" si="11"/>
        <v>4.7404962440245946E-2</v>
      </c>
      <c r="S90" s="146">
        <f t="shared" si="12"/>
        <v>5.3029068187992356E-2</v>
      </c>
      <c r="T90" s="146">
        <f t="shared" si="13"/>
        <v>5.5105515711263653E-2</v>
      </c>
      <c r="U90" s="146">
        <f t="shared" si="14"/>
        <v>5.8095750403442725E-2</v>
      </c>
      <c r="V90" s="146">
        <f t="shared" si="15"/>
        <v>5.8788186902065886E-2</v>
      </c>
      <c r="W90" s="146">
        <f t="shared" si="16"/>
        <v>5.9583569776070711E-2</v>
      </c>
      <c r="X90" s="146">
        <f t="shared" si="16"/>
        <v>5.9981873609623371E-2</v>
      </c>
    </row>
    <row r="91" spans="1:24">
      <c r="A91" s="139" t="s">
        <v>298</v>
      </c>
      <c r="B91" s="139" t="s">
        <v>209</v>
      </c>
      <c r="C91" s="851">
        <v>276.90899999999999</v>
      </c>
      <c r="D91" s="851">
        <v>283.63</v>
      </c>
      <c r="E91" s="851">
        <v>292.596</v>
      </c>
      <c r="F91" s="851">
        <v>303.65300000000002</v>
      </c>
      <c r="G91" s="851">
        <v>302.529</v>
      </c>
      <c r="H91" s="851">
        <v>321.04899999999998</v>
      </c>
      <c r="I91" s="851">
        <v>340.084</v>
      </c>
      <c r="J91" s="851">
        <v>359.15800000000002</v>
      </c>
      <c r="K91" s="851">
        <v>378.79599999999999</v>
      </c>
      <c r="L91" s="851">
        <v>398.274</v>
      </c>
      <c r="M91" s="851">
        <v>2015</v>
      </c>
      <c r="N91" s="851"/>
      <c r="P91" s="146">
        <f t="shared" si="9"/>
        <v>2.4271511579616378E-2</v>
      </c>
      <c r="Q91" s="146">
        <f t="shared" si="10"/>
        <v>3.1611606670662429E-2</v>
      </c>
      <c r="R91" s="146">
        <f t="shared" si="11"/>
        <v>3.7789306757440411E-2</v>
      </c>
      <c r="S91" s="146">
        <f t="shared" si="12"/>
        <v>-3.7015935953210732E-3</v>
      </c>
      <c r="T91" s="146">
        <f t="shared" si="13"/>
        <v>6.1217271732627143E-2</v>
      </c>
      <c r="U91" s="146">
        <f t="shared" si="14"/>
        <v>5.9290014919840983E-2</v>
      </c>
      <c r="V91" s="146">
        <f t="shared" si="15"/>
        <v>5.6086143423389467E-2</v>
      </c>
      <c r="W91" s="146">
        <f t="shared" si="16"/>
        <v>5.4677885498861212E-2</v>
      </c>
      <c r="X91" s="146">
        <f t="shared" si="16"/>
        <v>5.1420817537672026E-2</v>
      </c>
    </row>
    <row r="92" spans="1:24">
      <c r="A92" s="139" t="s">
        <v>299</v>
      </c>
      <c r="B92" s="139" t="s">
        <v>209</v>
      </c>
      <c r="C92" s="851">
        <v>18.471</v>
      </c>
      <c r="D92" s="851">
        <v>19.559000000000001</v>
      </c>
      <c r="E92" s="851">
        <v>20.457000000000001</v>
      </c>
      <c r="F92" s="851">
        <v>21.498000000000001</v>
      </c>
      <c r="G92" s="851">
        <v>22.638999999999999</v>
      </c>
      <c r="H92" s="851">
        <v>23.952999999999999</v>
      </c>
      <c r="I92" s="851">
        <v>25.74</v>
      </c>
      <c r="J92" s="851">
        <v>27.582999999999998</v>
      </c>
      <c r="K92" s="851">
        <v>29.422000000000001</v>
      </c>
      <c r="L92" s="851">
        <v>31.606000000000002</v>
      </c>
      <c r="M92" s="851">
        <v>2015</v>
      </c>
      <c r="N92" s="851"/>
      <c r="P92" s="146">
        <f t="shared" si="9"/>
        <v>5.8903145471279394E-2</v>
      </c>
      <c r="Q92" s="146">
        <f t="shared" si="10"/>
        <v>4.5912367707960478E-2</v>
      </c>
      <c r="R92" s="146">
        <f t="shared" si="11"/>
        <v>5.0887226866109359E-2</v>
      </c>
      <c r="S92" s="146">
        <f t="shared" si="12"/>
        <v>5.3074704623685909E-2</v>
      </c>
      <c r="T92" s="146">
        <f t="shared" si="13"/>
        <v>5.8041432925482583E-2</v>
      </c>
      <c r="U92" s="146">
        <f t="shared" si="14"/>
        <v>7.4604433682628368E-2</v>
      </c>
      <c r="V92" s="146">
        <f t="shared" si="15"/>
        <v>7.1600621600621528E-2</v>
      </c>
      <c r="W92" s="146">
        <f t="shared" si="16"/>
        <v>6.6671500561940489E-2</v>
      </c>
      <c r="X92" s="146">
        <f t="shared" si="16"/>
        <v>7.4230167901570221E-2</v>
      </c>
    </row>
    <row r="93" spans="1:24">
      <c r="A93" s="139" t="s">
        <v>300</v>
      </c>
      <c r="B93" s="139" t="s">
        <v>209</v>
      </c>
      <c r="C93" s="851">
        <v>35.143999999999998</v>
      </c>
      <c r="D93" s="851">
        <v>38.497999999999998</v>
      </c>
      <c r="E93" s="851">
        <v>41.744999999999997</v>
      </c>
      <c r="F93" s="851">
        <v>45.246000000000002</v>
      </c>
      <c r="G93" s="851">
        <v>49.213999999999999</v>
      </c>
      <c r="H93" s="851">
        <v>53.625999999999998</v>
      </c>
      <c r="I93" s="851">
        <v>58.677</v>
      </c>
      <c r="J93" s="851">
        <v>64.138999999999996</v>
      </c>
      <c r="K93" s="851">
        <v>70.046999999999997</v>
      </c>
      <c r="L93" s="851">
        <v>76.391999999999996</v>
      </c>
      <c r="M93" s="851">
        <v>2016</v>
      </c>
      <c r="N93" s="851"/>
      <c r="P93" s="146">
        <f t="shared" si="9"/>
        <v>9.5435920783063954E-2</v>
      </c>
      <c r="Q93" s="146">
        <f t="shared" si="10"/>
        <v>8.434204374253218E-2</v>
      </c>
      <c r="R93" s="146">
        <f t="shared" si="11"/>
        <v>8.3866331297161478E-2</v>
      </c>
      <c r="S93" s="146">
        <f t="shared" si="12"/>
        <v>8.7698360076028825E-2</v>
      </c>
      <c r="T93" s="146">
        <f t="shared" si="13"/>
        <v>8.9649286788312299E-2</v>
      </c>
      <c r="U93" s="146">
        <f t="shared" si="14"/>
        <v>9.4189385745720333E-2</v>
      </c>
      <c r="V93" s="146">
        <f t="shared" si="15"/>
        <v>9.3085876919406285E-2</v>
      </c>
      <c r="W93" s="146">
        <f t="shared" si="16"/>
        <v>9.2112443287235557E-2</v>
      </c>
      <c r="X93" s="146">
        <f t="shared" si="16"/>
        <v>9.0582037774636914E-2</v>
      </c>
    </row>
    <row r="94" spans="1:24">
      <c r="A94" s="139" t="s">
        <v>301</v>
      </c>
      <c r="B94" s="139" t="s">
        <v>209</v>
      </c>
      <c r="C94" s="851">
        <v>45.411999999999999</v>
      </c>
      <c r="D94" s="851">
        <v>47.207000000000001</v>
      </c>
      <c r="E94" s="851">
        <v>49.012999999999998</v>
      </c>
      <c r="F94" s="851">
        <v>50.606999999999999</v>
      </c>
      <c r="G94" s="851">
        <v>53.466999999999999</v>
      </c>
      <c r="H94" s="851">
        <v>56.640999999999998</v>
      </c>
      <c r="I94" s="851">
        <v>59.868000000000002</v>
      </c>
      <c r="J94" s="851">
        <v>63.061</v>
      </c>
      <c r="K94" s="851">
        <v>66.38</v>
      </c>
      <c r="L94" s="851">
        <v>69.712999999999994</v>
      </c>
      <c r="M94" s="851">
        <v>2016</v>
      </c>
      <c r="N94" s="851"/>
      <c r="P94" s="146">
        <f t="shared" si="9"/>
        <v>3.9526997269444308E-2</v>
      </c>
      <c r="Q94" s="146">
        <f t="shared" si="10"/>
        <v>3.8257038151121581E-2</v>
      </c>
      <c r="R94" s="146">
        <f t="shared" si="11"/>
        <v>3.2521983963438306E-2</v>
      </c>
      <c r="S94" s="146">
        <f t="shared" si="12"/>
        <v>5.6513920999071265E-2</v>
      </c>
      <c r="T94" s="146">
        <f t="shared" si="13"/>
        <v>5.9363719677558047E-2</v>
      </c>
      <c r="U94" s="146">
        <f t="shared" si="14"/>
        <v>5.6972864179657856E-2</v>
      </c>
      <c r="V94" s="146">
        <f t="shared" si="15"/>
        <v>5.3334001469900416E-2</v>
      </c>
      <c r="W94" s="146">
        <f t="shared" si="16"/>
        <v>5.2631578947368363E-2</v>
      </c>
      <c r="X94" s="146">
        <f t="shared" si="16"/>
        <v>5.0210906899668561E-2</v>
      </c>
    </row>
    <row r="95" spans="1:24">
      <c r="A95" s="139" t="s">
        <v>302</v>
      </c>
      <c r="B95" s="139" t="s">
        <v>209</v>
      </c>
      <c r="C95" s="851">
        <v>78.628</v>
      </c>
      <c r="D95" s="851">
        <v>81.643000000000001</v>
      </c>
      <c r="E95" s="851">
        <v>83.200999999999993</v>
      </c>
      <c r="F95" s="851">
        <v>85.105000000000004</v>
      </c>
      <c r="G95" s="851">
        <v>87.887</v>
      </c>
      <c r="H95" s="851">
        <v>91.384</v>
      </c>
      <c r="I95" s="851">
        <v>95.668000000000006</v>
      </c>
      <c r="J95" s="851">
        <v>100.122</v>
      </c>
      <c r="K95" s="851">
        <v>105.268</v>
      </c>
      <c r="L95" s="851">
        <v>110.512</v>
      </c>
      <c r="M95" s="851">
        <v>2013</v>
      </c>
      <c r="N95" s="851"/>
      <c r="P95" s="146">
        <f t="shared" si="9"/>
        <v>3.8345118787200594E-2</v>
      </c>
      <c r="Q95" s="146">
        <f t="shared" si="10"/>
        <v>1.9083081219455345E-2</v>
      </c>
      <c r="R95" s="146">
        <f t="shared" si="11"/>
        <v>2.2884340332448128E-2</v>
      </c>
      <c r="S95" s="146">
        <f t="shared" si="12"/>
        <v>3.2689031196756924E-2</v>
      </c>
      <c r="T95" s="146">
        <f t="shared" si="13"/>
        <v>3.9789729994197165E-2</v>
      </c>
      <c r="U95" s="146">
        <f t="shared" si="14"/>
        <v>4.6879103562986968E-2</v>
      </c>
      <c r="V95" s="146">
        <f t="shared" si="15"/>
        <v>4.6556842413346011E-2</v>
      </c>
      <c r="W95" s="146">
        <f t="shared" si="16"/>
        <v>5.1397295299734358E-2</v>
      </c>
      <c r="X95" s="146">
        <f t="shared" si="16"/>
        <v>4.9815708477410015E-2</v>
      </c>
    </row>
    <row r="96" spans="1:24">
      <c r="A96" s="139" t="s">
        <v>303</v>
      </c>
      <c r="B96" s="139" t="s">
        <v>209</v>
      </c>
      <c r="C96" s="851">
        <v>6.1840000000000002</v>
      </c>
      <c r="D96" s="851">
        <v>6.5119999999999996</v>
      </c>
      <c r="E96" s="851">
        <v>6.7489999999999997</v>
      </c>
      <c r="F96" s="851">
        <v>6.9960000000000004</v>
      </c>
      <c r="G96" s="851">
        <v>7.4480000000000004</v>
      </c>
      <c r="H96" s="851">
        <v>7.8280000000000003</v>
      </c>
      <c r="I96" s="851">
        <v>8.3469999999999995</v>
      </c>
      <c r="J96" s="851">
        <v>8.9039999999999999</v>
      </c>
      <c r="K96" s="851">
        <v>9.5500000000000007</v>
      </c>
      <c r="L96" s="851">
        <v>10.28</v>
      </c>
      <c r="M96" s="851">
        <v>2016</v>
      </c>
      <c r="N96" s="851"/>
      <c r="P96" s="146">
        <f t="shared" si="9"/>
        <v>5.3040103492884683E-2</v>
      </c>
      <c r="Q96" s="146">
        <f t="shared" si="10"/>
        <v>3.6394348894349005E-2</v>
      </c>
      <c r="R96" s="146">
        <f t="shared" si="11"/>
        <v>3.6598014520669908E-2</v>
      </c>
      <c r="S96" s="146">
        <f t="shared" si="12"/>
        <v>6.4608347627215457E-2</v>
      </c>
      <c r="T96" s="146">
        <f t="shared" si="13"/>
        <v>5.1020408163265252E-2</v>
      </c>
      <c r="U96" s="146">
        <f t="shared" si="14"/>
        <v>6.630045988758293E-2</v>
      </c>
      <c r="V96" s="146">
        <f t="shared" si="15"/>
        <v>6.6730561878519223E-2</v>
      </c>
      <c r="W96" s="146">
        <f t="shared" si="16"/>
        <v>7.2551662174303866E-2</v>
      </c>
      <c r="X96" s="146">
        <f t="shared" si="16"/>
        <v>7.6439790575915989E-2</v>
      </c>
    </row>
    <row r="97" spans="1:24">
      <c r="A97" s="139" t="s">
        <v>304</v>
      </c>
      <c r="B97" s="139" t="s">
        <v>209</v>
      </c>
      <c r="C97" s="851">
        <v>3.6259999999999999</v>
      </c>
      <c r="D97" s="851">
        <v>3.7160000000000002</v>
      </c>
      <c r="E97" s="851">
        <v>3.758</v>
      </c>
      <c r="F97" s="851">
        <v>3.7429999999999999</v>
      </c>
      <c r="G97" s="851">
        <v>3.9060000000000001</v>
      </c>
      <c r="H97" s="851">
        <v>4.1399999999999997</v>
      </c>
      <c r="I97" s="851">
        <v>4.4379999999999997</v>
      </c>
      <c r="J97" s="851">
        <v>4.8040000000000003</v>
      </c>
      <c r="K97" s="851">
        <v>5.2140000000000004</v>
      </c>
      <c r="L97" s="851">
        <v>5.6779999999999999</v>
      </c>
      <c r="M97" s="851">
        <v>2016</v>
      </c>
      <c r="N97" s="851"/>
      <c r="P97" s="146">
        <f t="shared" si="9"/>
        <v>2.4820739106453438E-2</v>
      </c>
      <c r="Q97" s="146">
        <f t="shared" si="10"/>
        <v>1.1302475780408994E-2</v>
      </c>
      <c r="R97" s="146">
        <f t="shared" si="11"/>
        <v>-3.9914848323576724E-3</v>
      </c>
      <c r="S97" s="146">
        <f t="shared" si="12"/>
        <v>4.3547956184878611E-2</v>
      </c>
      <c r="T97" s="146">
        <f t="shared" si="13"/>
        <v>5.990783410138234E-2</v>
      </c>
      <c r="U97" s="146">
        <f t="shared" si="14"/>
        <v>7.1980676328502469E-2</v>
      </c>
      <c r="V97" s="146">
        <f t="shared" si="15"/>
        <v>8.2469580892293948E-2</v>
      </c>
      <c r="W97" s="146">
        <f t="shared" si="16"/>
        <v>8.5345545378850973E-2</v>
      </c>
      <c r="X97" s="146">
        <f t="shared" si="16"/>
        <v>8.8991177598772397E-2</v>
      </c>
    </row>
    <row r="98" spans="1:24">
      <c r="A98" s="139" t="s">
        <v>305</v>
      </c>
      <c r="B98" s="139" t="s">
        <v>209</v>
      </c>
      <c r="C98" s="851">
        <v>93.906000000000006</v>
      </c>
      <c r="D98" s="851">
        <v>44.911000000000001</v>
      </c>
      <c r="E98" s="851">
        <v>40.725999999999999</v>
      </c>
      <c r="F98" s="851">
        <v>40.018000000000001</v>
      </c>
      <c r="G98" s="851">
        <v>63.143999999999998</v>
      </c>
      <c r="H98" s="851">
        <v>84.429000000000002</v>
      </c>
      <c r="I98" s="851">
        <v>85.545000000000002</v>
      </c>
      <c r="J98" s="851">
        <v>89.438000000000002</v>
      </c>
      <c r="K98" s="851">
        <v>93.56</v>
      </c>
      <c r="L98" s="851">
        <v>97.805999999999997</v>
      </c>
      <c r="M98" s="851">
        <v>2016</v>
      </c>
      <c r="N98" s="851"/>
      <c r="P98" s="146">
        <f t="shared" si="9"/>
        <v>-0.52174514940472383</v>
      </c>
      <c r="Q98" s="146">
        <f t="shared" si="10"/>
        <v>-9.3184297833492913E-2</v>
      </c>
      <c r="R98" s="146">
        <f t="shared" si="11"/>
        <v>-1.7384471836173421E-2</v>
      </c>
      <c r="S98" s="146">
        <f t="shared" si="12"/>
        <v>0.57788994952271477</v>
      </c>
      <c r="T98" s="146">
        <f t="shared" si="13"/>
        <v>0.33708665906499435</v>
      </c>
      <c r="U98" s="146">
        <f t="shared" si="14"/>
        <v>1.321820701417753E-2</v>
      </c>
      <c r="V98" s="146">
        <f t="shared" si="15"/>
        <v>4.5508212052136399E-2</v>
      </c>
      <c r="W98" s="146">
        <f t="shared" si="16"/>
        <v>4.6087792660837623E-2</v>
      </c>
      <c r="X98" s="146">
        <f t="shared" si="16"/>
        <v>4.538264215476695E-2</v>
      </c>
    </row>
    <row r="99" spans="1:24">
      <c r="A99" s="139" t="s">
        <v>306</v>
      </c>
      <c r="B99" s="139" t="s">
        <v>209</v>
      </c>
      <c r="C99" s="851">
        <v>76.626999999999995</v>
      </c>
      <c r="D99" s="851">
        <v>80.728999999999999</v>
      </c>
      <c r="E99" s="851">
        <v>83.055999999999997</v>
      </c>
      <c r="F99" s="851">
        <v>86.049000000000007</v>
      </c>
      <c r="G99" s="851">
        <v>90.632000000000005</v>
      </c>
      <c r="H99" s="851">
        <v>95.590999999999994</v>
      </c>
      <c r="I99" s="851">
        <v>100.961</v>
      </c>
      <c r="J99" s="851">
        <v>106.399</v>
      </c>
      <c r="K99" s="851">
        <v>112</v>
      </c>
      <c r="L99" s="851">
        <v>117.636</v>
      </c>
      <c r="M99" s="851">
        <v>2016</v>
      </c>
      <c r="N99" s="851"/>
      <c r="P99" s="146">
        <f t="shared" si="9"/>
        <v>5.3532044840591597E-2</v>
      </c>
      <c r="Q99" s="146">
        <f t="shared" si="10"/>
        <v>2.8824833702882469E-2</v>
      </c>
      <c r="R99" s="146">
        <f t="shared" si="11"/>
        <v>3.6035927566942849E-2</v>
      </c>
      <c r="S99" s="146">
        <f t="shared" si="12"/>
        <v>5.326035166010068E-2</v>
      </c>
      <c r="T99" s="146">
        <f t="shared" si="13"/>
        <v>5.4715773678170931E-2</v>
      </c>
      <c r="U99" s="146">
        <f t="shared" si="14"/>
        <v>5.6176836731491431E-2</v>
      </c>
      <c r="V99" s="146">
        <f t="shared" si="15"/>
        <v>5.3862382504135331E-2</v>
      </c>
      <c r="W99" s="146">
        <f t="shared" si="16"/>
        <v>5.2641472194287608E-2</v>
      </c>
      <c r="X99" s="146">
        <f t="shared" si="16"/>
        <v>5.0321428571428628E-2</v>
      </c>
    </row>
    <row r="100" spans="1:24">
      <c r="A100" s="139" t="s">
        <v>307</v>
      </c>
      <c r="B100" s="139" t="s">
        <v>209</v>
      </c>
      <c r="C100" s="851">
        <v>51.085000000000001</v>
      </c>
      <c r="D100" s="851">
        <v>54.927999999999997</v>
      </c>
      <c r="E100" s="851">
        <v>57.747</v>
      </c>
      <c r="F100" s="851">
        <v>60.927999999999997</v>
      </c>
      <c r="G100" s="851">
        <v>64.391000000000005</v>
      </c>
      <c r="H100" s="851">
        <v>68.027000000000001</v>
      </c>
      <c r="I100" s="851">
        <v>71.745999999999995</v>
      </c>
      <c r="J100" s="851">
        <v>75.543999999999997</v>
      </c>
      <c r="K100" s="851">
        <v>79.477999999999994</v>
      </c>
      <c r="L100" s="851">
        <v>83.463999999999999</v>
      </c>
      <c r="M100" s="851">
        <v>2016</v>
      </c>
      <c r="N100" s="851"/>
      <c r="P100" s="146">
        <f t="shared" si="9"/>
        <v>7.522756190662605E-2</v>
      </c>
      <c r="Q100" s="146">
        <f t="shared" si="10"/>
        <v>5.1321730265074361E-2</v>
      </c>
      <c r="R100" s="146">
        <f t="shared" si="11"/>
        <v>5.5085112646544365E-2</v>
      </c>
      <c r="S100" s="146">
        <f t="shared" si="12"/>
        <v>5.6837578781512743E-2</v>
      </c>
      <c r="T100" s="146">
        <f t="shared" si="13"/>
        <v>5.6467518752620682E-2</v>
      </c>
      <c r="U100" s="146">
        <f t="shared" si="14"/>
        <v>5.4669469475355337E-2</v>
      </c>
      <c r="V100" s="146">
        <f t="shared" si="15"/>
        <v>5.2936749087057144E-2</v>
      </c>
      <c r="W100" s="146">
        <f t="shared" si="16"/>
        <v>5.2075611564121438E-2</v>
      </c>
      <c r="X100" s="146">
        <f t="shared" si="16"/>
        <v>5.015224338810742E-2</v>
      </c>
    </row>
    <row r="101" spans="1:24">
      <c r="A101" s="139" t="s">
        <v>308</v>
      </c>
      <c r="B101" s="139" t="s">
        <v>209</v>
      </c>
      <c r="C101" s="851">
        <v>80.638999999999996</v>
      </c>
      <c r="D101" s="851">
        <v>81.099999999999994</v>
      </c>
      <c r="E101" s="851">
        <v>64.322999999999993</v>
      </c>
      <c r="F101" s="851">
        <v>63.752000000000002</v>
      </c>
      <c r="G101" s="851">
        <v>73.578999999999994</v>
      </c>
      <c r="H101" s="851">
        <v>80.248000000000005</v>
      </c>
      <c r="I101" s="851">
        <v>86.962000000000003</v>
      </c>
      <c r="J101" s="851">
        <v>93.331000000000003</v>
      </c>
      <c r="K101" s="851">
        <v>99.385999999999996</v>
      </c>
      <c r="L101" s="851">
        <v>105.645</v>
      </c>
      <c r="M101" s="851">
        <v>2016</v>
      </c>
      <c r="N101" s="851"/>
      <c r="P101" s="146">
        <f t="shared" si="9"/>
        <v>5.7168367663289477E-3</v>
      </c>
      <c r="Q101" s="146">
        <f t="shared" si="10"/>
        <v>-0.20686806411837244</v>
      </c>
      <c r="R101" s="146">
        <f t="shared" si="11"/>
        <v>-8.8770735195806694E-3</v>
      </c>
      <c r="S101" s="146">
        <f t="shared" si="12"/>
        <v>0.15414418371188332</v>
      </c>
      <c r="T101" s="146">
        <f t="shared" si="13"/>
        <v>9.0637274222264752E-2</v>
      </c>
      <c r="U101" s="146">
        <f t="shared" si="14"/>
        <v>8.3665636526766951E-2</v>
      </c>
      <c r="V101" s="146">
        <f t="shared" si="15"/>
        <v>7.3238885950185129E-2</v>
      </c>
      <c r="W101" s="146">
        <f t="shared" si="16"/>
        <v>6.4876621915547883E-2</v>
      </c>
      <c r="X101" s="146">
        <f t="shared" si="16"/>
        <v>6.2976676795524433E-2</v>
      </c>
    </row>
    <row r="102" spans="1:24">
      <c r="A102" s="139" t="s">
        <v>309</v>
      </c>
      <c r="B102" s="139" t="s">
        <v>209</v>
      </c>
      <c r="C102" s="851">
        <v>26.347000000000001</v>
      </c>
      <c r="D102" s="851">
        <v>27.794</v>
      </c>
      <c r="E102" s="851">
        <v>29.173999999999999</v>
      </c>
      <c r="F102" s="851">
        <v>30.257999999999999</v>
      </c>
      <c r="G102" s="851">
        <v>31.553999999999998</v>
      </c>
      <c r="H102" s="851">
        <v>33.195999999999998</v>
      </c>
      <c r="I102" s="851">
        <v>35.057000000000002</v>
      </c>
      <c r="J102" s="851">
        <v>37.082999999999998</v>
      </c>
      <c r="K102" s="851">
        <v>39.216000000000001</v>
      </c>
      <c r="L102" s="851">
        <v>41.49</v>
      </c>
      <c r="M102" s="851">
        <v>2016</v>
      </c>
      <c r="N102" s="851"/>
      <c r="P102" s="146">
        <f t="shared" si="9"/>
        <v>5.4920863855467461E-2</v>
      </c>
      <c r="Q102" s="146">
        <f t="shared" si="10"/>
        <v>4.9651003813772743E-2</v>
      </c>
      <c r="R102" s="146">
        <f t="shared" si="11"/>
        <v>3.7156372112154612E-2</v>
      </c>
      <c r="S102" s="146">
        <f t="shared" si="12"/>
        <v>4.2831647828673436E-2</v>
      </c>
      <c r="T102" s="146">
        <f t="shared" si="13"/>
        <v>5.2037776510109657E-2</v>
      </c>
      <c r="U102" s="146">
        <f t="shared" si="14"/>
        <v>5.6060971201349785E-2</v>
      </c>
      <c r="V102" s="146">
        <f t="shared" si="15"/>
        <v>5.7791596542773105E-2</v>
      </c>
      <c r="W102" s="146">
        <f t="shared" si="16"/>
        <v>5.7519618153871077E-2</v>
      </c>
      <c r="X102" s="146">
        <f t="shared" si="16"/>
        <v>5.7986536107711206E-2</v>
      </c>
    </row>
    <row r="103" spans="1:24">
      <c r="A103" s="139" t="s">
        <v>310</v>
      </c>
      <c r="B103" s="139" t="s">
        <v>209</v>
      </c>
      <c r="C103" s="851">
        <v>32.418999999999997</v>
      </c>
      <c r="D103" s="851">
        <v>34.094999999999999</v>
      </c>
      <c r="E103" s="851">
        <v>35.539000000000001</v>
      </c>
      <c r="F103" s="851">
        <v>37.497</v>
      </c>
      <c r="G103" s="851">
        <v>39.805</v>
      </c>
      <c r="H103" s="851">
        <v>42.735999999999997</v>
      </c>
      <c r="I103" s="851">
        <v>46.201999999999998</v>
      </c>
      <c r="J103" s="851">
        <v>49.762999999999998</v>
      </c>
      <c r="K103" s="851">
        <v>53.426000000000002</v>
      </c>
      <c r="L103" s="851">
        <v>57.177</v>
      </c>
      <c r="M103" s="851">
        <v>2015</v>
      </c>
      <c r="N103" s="851"/>
      <c r="P103" s="146">
        <f t="shared" si="9"/>
        <v>5.1698078287424121E-2</v>
      </c>
      <c r="Q103" s="146">
        <f t="shared" si="10"/>
        <v>4.2352251063205726E-2</v>
      </c>
      <c r="R103" s="146">
        <f t="shared" si="11"/>
        <v>5.5094403331551245E-2</v>
      </c>
      <c r="S103" s="146">
        <f t="shared" si="12"/>
        <v>6.1551590793930133E-2</v>
      </c>
      <c r="T103" s="146">
        <f t="shared" si="13"/>
        <v>7.3633965582213134E-2</v>
      </c>
      <c r="U103" s="146">
        <f t="shared" si="14"/>
        <v>8.1102583302134157E-2</v>
      </c>
      <c r="V103" s="146">
        <f t="shared" si="15"/>
        <v>7.7074585515778615E-2</v>
      </c>
      <c r="W103" s="146">
        <f t="shared" si="16"/>
        <v>7.3608906215461456E-2</v>
      </c>
      <c r="X103" s="146">
        <f t="shared" si="16"/>
        <v>7.020926140830297E-2</v>
      </c>
    </row>
    <row r="104" spans="1:24">
      <c r="A104" s="139" t="s">
        <v>311</v>
      </c>
      <c r="B104" s="139" t="s">
        <v>209</v>
      </c>
      <c r="C104" s="851">
        <v>18.222000000000001</v>
      </c>
      <c r="D104" s="851">
        <v>19.606000000000002</v>
      </c>
      <c r="E104" s="851">
        <v>20.402999999999999</v>
      </c>
      <c r="F104" s="851">
        <v>21.132999999999999</v>
      </c>
      <c r="G104" s="851">
        <v>22.468</v>
      </c>
      <c r="H104" s="851">
        <v>24.05</v>
      </c>
      <c r="I104" s="851">
        <v>25.914000000000001</v>
      </c>
      <c r="J104" s="851">
        <v>27.914000000000001</v>
      </c>
      <c r="K104" s="851">
        <v>30.061</v>
      </c>
      <c r="L104" s="851">
        <v>32.323999999999998</v>
      </c>
      <c r="M104" s="851">
        <v>2011</v>
      </c>
      <c r="N104" s="851"/>
      <c r="P104" s="146">
        <f t="shared" si="9"/>
        <v>7.5952145757875122E-2</v>
      </c>
      <c r="Q104" s="146">
        <f t="shared" si="10"/>
        <v>4.0650821177190544E-2</v>
      </c>
      <c r="R104" s="146">
        <f t="shared" si="11"/>
        <v>3.5779052100181286E-2</v>
      </c>
      <c r="S104" s="146">
        <f t="shared" si="12"/>
        <v>6.3171343396583479E-2</v>
      </c>
      <c r="T104" s="146">
        <f t="shared" si="13"/>
        <v>7.041125155777106E-2</v>
      </c>
      <c r="U104" s="146">
        <f t="shared" si="14"/>
        <v>7.7505197505197465E-2</v>
      </c>
      <c r="V104" s="146">
        <f t="shared" si="15"/>
        <v>7.7178359188083689E-2</v>
      </c>
      <c r="W104" s="146">
        <f t="shared" si="16"/>
        <v>7.6914809772873793E-2</v>
      </c>
      <c r="X104" s="146">
        <f t="shared" si="16"/>
        <v>7.5280263464289288E-2</v>
      </c>
    </row>
    <row r="105" spans="1:24">
      <c r="A105" s="139" t="s">
        <v>312</v>
      </c>
      <c r="B105" s="139" t="s">
        <v>209</v>
      </c>
      <c r="C105" s="851">
        <v>713.97</v>
      </c>
      <c r="D105" s="851">
        <v>770.44</v>
      </c>
      <c r="E105" s="851">
        <v>817.952</v>
      </c>
      <c r="F105" s="851">
        <v>863.34500000000003</v>
      </c>
      <c r="G105" s="851">
        <v>926.08100000000002</v>
      </c>
      <c r="H105" s="851">
        <v>988.99300000000005</v>
      </c>
      <c r="I105" s="1168">
        <v>1058.58</v>
      </c>
      <c r="J105" s="1168">
        <v>1133.81</v>
      </c>
      <c r="K105" s="1168">
        <v>1214.07</v>
      </c>
      <c r="L105" s="1168">
        <v>1298.07</v>
      </c>
      <c r="M105" s="851">
        <v>2016</v>
      </c>
      <c r="N105" s="851"/>
      <c r="P105" s="146">
        <f t="shared" si="9"/>
        <v>7.9092959087916803E-2</v>
      </c>
      <c r="Q105" s="146">
        <f t="shared" si="10"/>
        <v>6.1668656871397998E-2</v>
      </c>
      <c r="R105" s="146">
        <f t="shared" si="11"/>
        <v>5.5495921521067304E-2</v>
      </c>
      <c r="S105" s="146">
        <f t="shared" si="12"/>
        <v>7.266619949151254E-2</v>
      </c>
      <c r="T105" s="146">
        <f t="shared" si="13"/>
        <v>6.7933582483605592E-2</v>
      </c>
      <c r="U105" s="146">
        <f t="shared" si="14"/>
        <v>7.0361468685824713E-2</v>
      </c>
      <c r="V105" s="146">
        <f t="shared" si="15"/>
        <v>7.106690094277246E-2</v>
      </c>
      <c r="W105" s="146">
        <f t="shared" si="16"/>
        <v>7.07878745116024E-2</v>
      </c>
      <c r="X105" s="146">
        <f t="shared" si="16"/>
        <v>6.918876176826716E-2</v>
      </c>
    </row>
    <row r="106" spans="1:24">
      <c r="A106" s="139" t="s">
        <v>313</v>
      </c>
      <c r="B106" s="139" t="s">
        <v>209</v>
      </c>
      <c r="C106" s="851">
        <v>5.3890000000000002</v>
      </c>
      <c r="D106" s="851">
        <v>5.9</v>
      </c>
      <c r="E106" s="851">
        <v>6.1609999999999996</v>
      </c>
      <c r="F106" s="851">
        <v>6.4829999999999997</v>
      </c>
      <c r="G106" s="851">
        <v>6.8959999999999999</v>
      </c>
      <c r="H106" s="851">
        <v>7.3579999999999997</v>
      </c>
      <c r="I106" s="851">
        <v>7.8769999999999998</v>
      </c>
      <c r="J106" s="851">
        <v>8.4420000000000002</v>
      </c>
      <c r="K106" s="851">
        <v>9.0459999999999994</v>
      </c>
      <c r="L106" s="851">
        <v>9.68</v>
      </c>
      <c r="M106" s="851">
        <v>2015</v>
      </c>
      <c r="N106" s="851"/>
      <c r="P106" s="146">
        <f t="shared" si="9"/>
        <v>9.4822787159027699E-2</v>
      </c>
      <c r="Q106" s="146">
        <f t="shared" si="10"/>
        <v>4.4237288135593023E-2</v>
      </c>
      <c r="R106" s="146">
        <f t="shared" si="11"/>
        <v>5.226424281772446E-2</v>
      </c>
      <c r="S106" s="146">
        <f t="shared" si="12"/>
        <v>6.3705074811044371E-2</v>
      </c>
      <c r="T106" s="146">
        <f t="shared" si="13"/>
        <v>6.6995359628770235E-2</v>
      </c>
      <c r="U106" s="146">
        <f t="shared" si="14"/>
        <v>7.0535471595542187E-2</v>
      </c>
      <c r="V106" s="146">
        <f t="shared" si="15"/>
        <v>7.1727815158055153E-2</v>
      </c>
      <c r="W106" s="146">
        <f t="shared" si="16"/>
        <v>7.1547026770907296E-2</v>
      </c>
      <c r="X106" s="146">
        <f t="shared" si="16"/>
        <v>7.0086225956223824E-2</v>
      </c>
    </row>
    <row r="107" spans="1:24">
      <c r="A107" s="139" t="s">
        <v>314</v>
      </c>
      <c r="B107" s="139" t="s">
        <v>209</v>
      </c>
      <c r="C107" s="851">
        <v>30.587</v>
      </c>
      <c r="D107" s="851">
        <v>33.329000000000001</v>
      </c>
      <c r="E107" s="851">
        <v>35.698999999999998</v>
      </c>
      <c r="F107" s="851">
        <v>38.247</v>
      </c>
      <c r="G107" s="851">
        <v>40.975999999999999</v>
      </c>
      <c r="H107" s="851">
        <v>43.86</v>
      </c>
      <c r="I107" s="851">
        <v>46.901000000000003</v>
      </c>
      <c r="J107" s="851">
        <v>50.139000000000003</v>
      </c>
      <c r="K107" s="851">
        <v>53.585000000000001</v>
      </c>
      <c r="L107" s="851">
        <v>57.183</v>
      </c>
      <c r="M107" s="851">
        <v>2016</v>
      </c>
      <c r="N107" s="851"/>
      <c r="P107" s="146">
        <f t="shared" si="9"/>
        <v>8.9645928008631248E-2</v>
      </c>
      <c r="Q107" s="146">
        <f t="shared" si="10"/>
        <v>7.1109244201746247E-2</v>
      </c>
      <c r="R107" s="146">
        <f t="shared" si="11"/>
        <v>7.1374548306675223E-2</v>
      </c>
      <c r="S107" s="146">
        <f t="shared" si="12"/>
        <v>7.1352001464167092E-2</v>
      </c>
      <c r="T107" s="146">
        <f t="shared" si="13"/>
        <v>7.0382663022257042E-2</v>
      </c>
      <c r="U107" s="146">
        <f t="shared" si="14"/>
        <v>6.9334245326037491E-2</v>
      </c>
      <c r="V107" s="146">
        <f t="shared" si="15"/>
        <v>6.9039039679324565E-2</v>
      </c>
      <c r="W107" s="146">
        <f t="shared" si="16"/>
        <v>6.872893356469012E-2</v>
      </c>
      <c r="X107" s="146">
        <f t="shared" si="16"/>
        <v>6.7145656433703405E-2</v>
      </c>
    </row>
    <row r="108" spans="1:24">
      <c r="A108" s="139" t="s">
        <v>315</v>
      </c>
      <c r="B108" s="139" t="s">
        <v>209</v>
      </c>
      <c r="C108" s="851">
        <v>13.603999999999999</v>
      </c>
      <c r="D108" s="851">
        <v>14.978999999999999</v>
      </c>
      <c r="E108" s="851">
        <v>16.210999999999999</v>
      </c>
      <c r="F108" s="851">
        <v>17.323</v>
      </c>
      <c r="G108" s="851">
        <v>18.530999999999999</v>
      </c>
      <c r="H108" s="851">
        <v>19.721</v>
      </c>
      <c r="I108" s="851">
        <v>20.908000000000001</v>
      </c>
      <c r="J108" s="851">
        <v>22.1</v>
      </c>
      <c r="K108" s="851">
        <v>23.3</v>
      </c>
      <c r="L108" s="851">
        <v>24.516999999999999</v>
      </c>
      <c r="M108" s="851">
        <v>2016</v>
      </c>
      <c r="N108" s="851"/>
      <c r="P108" s="146">
        <f t="shared" si="9"/>
        <v>0.1010732137606587</v>
      </c>
      <c r="Q108" s="146">
        <f t="shared" si="10"/>
        <v>8.2248481207023216E-2</v>
      </c>
      <c r="R108" s="146">
        <f t="shared" si="11"/>
        <v>6.859539818641669E-2</v>
      </c>
      <c r="S108" s="146">
        <f t="shared" si="12"/>
        <v>6.9733879812965416E-2</v>
      </c>
      <c r="T108" s="146">
        <f t="shared" si="13"/>
        <v>6.4216717932113809E-2</v>
      </c>
      <c r="U108" s="146">
        <f t="shared" si="14"/>
        <v>6.0189645555499327E-2</v>
      </c>
      <c r="V108" s="146">
        <f t="shared" si="15"/>
        <v>5.7011670174096141E-2</v>
      </c>
      <c r="W108" s="146">
        <f t="shared" si="16"/>
        <v>5.4298642533936681E-2</v>
      </c>
      <c r="X108" s="146">
        <f t="shared" si="16"/>
        <v>5.2231759656652388E-2</v>
      </c>
    </row>
    <row r="109" spans="1:24">
      <c r="A109" s="139" t="s">
        <v>316</v>
      </c>
      <c r="B109" s="139" t="s">
        <v>209</v>
      </c>
      <c r="C109" s="851">
        <v>0.16900000000000001</v>
      </c>
      <c r="D109" s="851">
        <v>0.17100000000000001</v>
      </c>
      <c r="E109" s="851">
        <v>0.17699999999999999</v>
      </c>
      <c r="F109" s="851">
        <v>0.182</v>
      </c>
      <c r="G109" s="851">
        <v>0.189</v>
      </c>
      <c r="H109" s="851">
        <v>0.19600000000000001</v>
      </c>
      <c r="I109" s="851">
        <v>0.20399999999999999</v>
      </c>
      <c r="J109" s="851">
        <v>0.21099999999999999</v>
      </c>
      <c r="K109" s="851">
        <v>0.219</v>
      </c>
      <c r="L109" s="851">
        <v>0.22700000000000001</v>
      </c>
      <c r="M109" s="851">
        <v>2016</v>
      </c>
      <c r="N109" s="851"/>
      <c r="P109" s="146">
        <f t="shared" si="9"/>
        <v>1.1834319526627279E-2</v>
      </c>
      <c r="Q109" s="146">
        <f t="shared" si="10"/>
        <v>3.5087719298245501E-2</v>
      </c>
      <c r="R109" s="146">
        <f t="shared" si="11"/>
        <v>2.8248587570621542E-2</v>
      </c>
      <c r="S109" s="146">
        <f t="shared" si="12"/>
        <v>3.8461538461538547E-2</v>
      </c>
      <c r="T109" s="146">
        <f t="shared" si="13"/>
        <v>3.7037037037036979E-2</v>
      </c>
      <c r="U109" s="146">
        <f t="shared" si="14"/>
        <v>4.0816326530612068E-2</v>
      </c>
      <c r="V109" s="146">
        <f t="shared" si="15"/>
        <v>3.4313725490196179E-2</v>
      </c>
      <c r="W109" s="146">
        <f t="shared" si="16"/>
        <v>3.7914691943127909E-2</v>
      </c>
      <c r="X109" s="146">
        <f t="shared" si="16"/>
        <v>3.6529680365296802E-2</v>
      </c>
    </row>
    <row r="110" spans="1:24">
      <c r="A110" s="139" t="s">
        <v>317</v>
      </c>
      <c r="B110" s="139" t="s">
        <v>209</v>
      </c>
      <c r="C110" s="851">
        <v>14.561</v>
      </c>
      <c r="D110" s="851">
        <v>15.648999999999999</v>
      </c>
      <c r="E110" s="851">
        <v>15.964</v>
      </c>
      <c r="F110" s="851">
        <v>16.449000000000002</v>
      </c>
      <c r="G110" s="851">
        <v>17.364999999999998</v>
      </c>
      <c r="H110" s="851">
        <v>18.239000000000001</v>
      </c>
      <c r="I110" s="851">
        <v>19.486000000000001</v>
      </c>
      <c r="J110" s="851">
        <v>20.936</v>
      </c>
      <c r="K110" s="851">
        <v>22.341999999999999</v>
      </c>
      <c r="L110" s="851">
        <v>23.684999999999999</v>
      </c>
      <c r="M110" s="851">
        <v>2014</v>
      </c>
      <c r="N110" s="851"/>
      <c r="P110" s="146">
        <f t="shared" si="9"/>
        <v>7.4720142847331861E-2</v>
      </c>
      <c r="Q110" s="146">
        <f t="shared" si="10"/>
        <v>2.0129081730462017E-2</v>
      </c>
      <c r="R110" s="146">
        <f t="shared" si="11"/>
        <v>3.038085692808834E-2</v>
      </c>
      <c r="S110" s="146">
        <f t="shared" si="12"/>
        <v>5.5687275822238202E-2</v>
      </c>
      <c r="T110" s="146">
        <f t="shared" si="13"/>
        <v>5.0331125827814738E-2</v>
      </c>
      <c r="U110" s="146">
        <f t="shared" si="14"/>
        <v>6.8369976424146106E-2</v>
      </c>
      <c r="V110" s="146">
        <f t="shared" si="15"/>
        <v>7.441239864518101E-2</v>
      </c>
      <c r="W110" s="146">
        <f t="shared" si="16"/>
        <v>6.7157050057317536E-2</v>
      </c>
      <c r="X110" s="146">
        <f t="shared" si="16"/>
        <v>6.0111001700832611E-2</v>
      </c>
    </row>
    <row r="111" spans="1:24">
      <c r="A111" s="139" t="s">
        <v>318</v>
      </c>
      <c r="B111" s="139" t="s">
        <v>209</v>
      </c>
      <c r="C111" s="851">
        <v>22.356000000000002</v>
      </c>
      <c r="D111" s="851">
        <v>23.582000000000001</v>
      </c>
      <c r="E111" s="851">
        <v>24.672000000000001</v>
      </c>
      <c r="F111" s="851">
        <v>25.960999999999999</v>
      </c>
      <c r="G111" s="851">
        <v>27.443999999999999</v>
      </c>
      <c r="H111" s="851">
        <v>29.093</v>
      </c>
      <c r="I111" s="851">
        <v>30.934000000000001</v>
      </c>
      <c r="J111" s="851">
        <v>32.881</v>
      </c>
      <c r="K111" s="851">
        <v>34.93</v>
      </c>
      <c r="L111" s="851">
        <v>37.052</v>
      </c>
      <c r="M111" s="851">
        <v>2016</v>
      </c>
      <c r="N111" s="851"/>
      <c r="P111" s="146">
        <f t="shared" si="9"/>
        <v>5.4839864018607853E-2</v>
      </c>
      <c r="Q111" s="146">
        <f t="shared" si="10"/>
        <v>4.6221694512764033E-2</v>
      </c>
      <c r="R111" s="146">
        <f t="shared" si="11"/>
        <v>5.2245460440985658E-2</v>
      </c>
      <c r="S111" s="146">
        <f t="shared" si="12"/>
        <v>5.7124147760101662E-2</v>
      </c>
      <c r="T111" s="146">
        <f t="shared" si="13"/>
        <v>6.0085993295438067E-2</v>
      </c>
      <c r="U111" s="146">
        <f t="shared" si="14"/>
        <v>6.3279826762451474E-2</v>
      </c>
      <c r="V111" s="146">
        <f t="shared" si="15"/>
        <v>6.2940453869528623E-2</v>
      </c>
      <c r="W111" s="146">
        <f t="shared" si="16"/>
        <v>6.2315623004166598E-2</v>
      </c>
      <c r="X111" s="146">
        <f t="shared" si="16"/>
        <v>6.0750071571714859E-2</v>
      </c>
    </row>
    <row r="112" spans="1:24">
      <c r="A112" s="139" t="s">
        <v>319</v>
      </c>
      <c r="B112" s="139" t="s">
        <v>209</v>
      </c>
      <c r="C112" s="1168">
        <v>2068.9899999999998</v>
      </c>
      <c r="D112" s="1168">
        <v>2153.94</v>
      </c>
      <c r="E112" s="1168">
        <v>2234.98</v>
      </c>
      <c r="F112" s="1168">
        <v>2315.2399999999998</v>
      </c>
      <c r="G112" s="1168">
        <v>2406.09</v>
      </c>
      <c r="H112" s="1168">
        <v>2498.1999999999998</v>
      </c>
      <c r="I112" s="1168">
        <v>2611.2199999999998</v>
      </c>
      <c r="J112" s="1168">
        <v>2737.23</v>
      </c>
      <c r="K112" s="1168">
        <v>2870.25</v>
      </c>
      <c r="L112" s="1168">
        <v>3003.39</v>
      </c>
      <c r="M112" s="851">
        <v>2016</v>
      </c>
      <c r="N112" s="851"/>
      <c r="P112" s="146">
        <f t="shared" si="9"/>
        <v>4.1058680805610592E-2</v>
      </c>
      <c r="Q112" s="146">
        <f t="shared" si="10"/>
        <v>3.7624074951019937E-2</v>
      </c>
      <c r="R112" s="146">
        <f t="shared" si="11"/>
        <v>3.5910835891148851E-2</v>
      </c>
      <c r="S112" s="146">
        <f t="shared" si="12"/>
        <v>3.9239992398196533E-2</v>
      </c>
      <c r="T112" s="146">
        <f t="shared" si="13"/>
        <v>3.828202602562647E-2</v>
      </c>
      <c r="U112" s="146">
        <f t="shared" si="14"/>
        <v>4.5240573212713242E-2</v>
      </c>
      <c r="V112" s="146">
        <f t="shared" si="15"/>
        <v>4.825713651090302E-2</v>
      </c>
      <c r="W112" s="146">
        <f t="shared" si="16"/>
        <v>4.8596573908659568E-2</v>
      </c>
      <c r="X112" s="146">
        <f t="shared" si="16"/>
        <v>4.6386203292396067E-2</v>
      </c>
    </row>
    <row r="113" spans="1:24">
      <c r="A113" s="139" t="s">
        <v>320</v>
      </c>
      <c r="B113" s="139" t="s">
        <v>209</v>
      </c>
      <c r="C113" s="851">
        <v>0.307</v>
      </c>
      <c r="D113" s="851">
        <v>0.30499999999999999</v>
      </c>
      <c r="E113" s="851">
        <v>0.32</v>
      </c>
      <c r="F113" s="851">
        <v>0.33400000000000002</v>
      </c>
      <c r="G113" s="851">
        <v>0.34699999999999998</v>
      </c>
      <c r="H113" s="851">
        <v>0.35799999999999998</v>
      </c>
      <c r="I113" s="851">
        <v>0.36899999999999999</v>
      </c>
      <c r="J113" s="851">
        <v>0.38</v>
      </c>
      <c r="K113" s="851">
        <v>0.39</v>
      </c>
      <c r="L113" s="851">
        <v>0.4</v>
      </c>
      <c r="M113" s="851">
        <v>2015</v>
      </c>
      <c r="N113" s="851"/>
      <c r="P113" s="146">
        <f t="shared" si="9"/>
        <v>-6.514657980456029E-3</v>
      </c>
      <c r="Q113" s="146">
        <f t="shared" si="10"/>
        <v>4.9180327868852514E-2</v>
      </c>
      <c r="R113" s="146">
        <f t="shared" si="11"/>
        <v>4.3749999999999956E-2</v>
      </c>
      <c r="S113" s="146">
        <f t="shared" si="12"/>
        <v>3.8922155688622562E-2</v>
      </c>
      <c r="T113" s="146">
        <f t="shared" si="13"/>
        <v>3.1700288184438152E-2</v>
      </c>
      <c r="U113" s="146">
        <f t="shared" si="14"/>
        <v>3.0726256983240274E-2</v>
      </c>
      <c r="V113" s="146">
        <f t="shared" si="15"/>
        <v>2.9810298102981081E-2</v>
      </c>
      <c r="W113" s="146">
        <f t="shared" si="16"/>
        <v>2.6315789473684292E-2</v>
      </c>
      <c r="X113" s="146">
        <f t="shared" si="16"/>
        <v>2.5641025641025772E-2</v>
      </c>
    </row>
    <row r="114" spans="1:24">
      <c r="A114" s="139" t="s">
        <v>321</v>
      </c>
      <c r="B114" s="139" t="s">
        <v>209</v>
      </c>
      <c r="C114" s="851">
        <v>16.72</v>
      </c>
      <c r="D114" s="851">
        <v>17.835999999999999</v>
      </c>
      <c r="E114" s="851">
        <v>17.957999999999998</v>
      </c>
      <c r="F114" s="851">
        <v>18.963000000000001</v>
      </c>
      <c r="G114" s="851">
        <v>20.065000000000001</v>
      </c>
      <c r="H114" s="851">
        <v>21.210999999999999</v>
      </c>
      <c r="I114" s="851">
        <v>22.486999999999998</v>
      </c>
      <c r="J114" s="851">
        <v>23.832999999999998</v>
      </c>
      <c r="K114" s="851">
        <v>25.277000000000001</v>
      </c>
      <c r="L114" s="851">
        <v>26.768000000000001</v>
      </c>
      <c r="M114" s="851">
        <v>2016</v>
      </c>
      <c r="N114" s="851"/>
      <c r="P114" s="146">
        <f t="shared" si="9"/>
        <v>6.6746411483253665E-2</v>
      </c>
      <c r="Q114" s="146">
        <f t="shared" si="10"/>
        <v>6.8400986768333283E-3</v>
      </c>
      <c r="R114" s="146">
        <f t="shared" si="11"/>
        <v>5.5963915803541653E-2</v>
      </c>
      <c r="S114" s="146">
        <f t="shared" si="12"/>
        <v>5.8113167747719352E-2</v>
      </c>
      <c r="T114" s="146">
        <f t="shared" si="13"/>
        <v>5.711437827062027E-2</v>
      </c>
      <c r="U114" s="146">
        <f t="shared" si="14"/>
        <v>6.0157465466031734E-2</v>
      </c>
      <c r="V114" s="146">
        <f t="shared" si="15"/>
        <v>5.9856806154667153E-2</v>
      </c>
      <c r="W114" s="146">
        <f t="shared" si="16"/>
        <v>6.0588259975664194E-2</v>
      </c>
      <c r="X114" s="146">
        <f t="shared" si="16"/>
        <v>5.8986430351703145E-2</v>
      </c>
    </row>
    <row r="115" spans="1:24">
      <c r="A115" s="139" t="s">
        <v>322</v>
      </c>
      <c r="B115" s="139" t="s">
        <v>209</v>
      </c>
      <c r="C115" s="851">
        <v>31.829000000000001</v>
      </c>
      <c r="D115" s="851">
        <v>34.956000000000003</v>
      </c>
      <c r="E115" s="851">
        <v>36.167000000000002</v>
      </c>
      <c r="F115" s="851">
        <v>36.985999999999997</v>
      </c>
      <c r="G115" s="851">
        <v>38.395000000000003</v>
      </c>
      <c r="H115" s="851">
        <v>40.134</v>
      </c>
      <c r="I115" s="851">
        <v>43.753999999999998</v>
      </c>
      <c r="J115" s="851">
        <v>46.887</v>
      </c>
      <c r="K115" s="851">
        <v>50.643999999999998</v>
      </c>
      <c r="L115" s="851">
        <v>55.875</v>
      </c>
      <c r="M115" s="851">
        <v>2016</v>
      </c>
      <c r="N115" s="851"/>
      <c r="P115" s="146">
        <f t="shared" si="9"/>
        <v>9.8243739985547807E-2</v>
      </c>
      <c r="Q115" s="146">
        <f t="shared" si="10"/>
        <v>3.4643551893809299E-2</v>
      </c>
      <c r="R115" s="146">
        <f t="shared" si="11"/>
        <v>2.2644952581082123E-2</v>
      </c>
      <c r="S115" s="146">
        <f t="shared" si="12"/>
        <v>3.8095495592927131E-2</v>
      </c>
      <c r="T115" s="146">
        <f t="shared" si="13"/>
        <v>4.5292355775491622E-2</v>
      </c>
      <c r="U115" s="146">
        <f t="shared" si="14"/>
        <v>9.0197837245228341E-2</v>
      </c>
      <c r="V115" s="146">
        <f t="shared" si="15"/>
        <v>7.1604881839374857E-2</v>
      </c>
      <c r="W115" s="146">
        <f t="shared" si="16"/>
        <v>8.0128820355322317E-2</v>
      </c>
      <c r="X115" s="146">
        <f t="shared" si="16"/>
        <v>0.10328962957112386</v>
      </c>
    </row>
    <row r="116" spans="1:24">
      <c r="A116" s="139" t="s">
        <v>323</v>
      </c>
      <c r="B116" s="139" t="s">
        <v>209</v>
      </c>
      <c r="C116" s="851">
        <v>9.2260000000000009</v>
      </c>
      <c r="D116" s="851">
        <v>9.5589999999999993</v>
      </c>
      <c r="E116" s="851">
        <v>9.9920000000000009</v>
      </c>
      <c r="F116" s="851">
        <v>10.368</v>
      </c>
      <c r="G116" s="851">
        <v>10.862</v>
      </c>
      <c r="H116" s="851">
        <v>11.381</v>
      </c>
      <c r="I116" s="851">
        <v>11.933</v>
      </c>
      <c r="J116" s="851">
        <v>12.457000000000001</v>
      </c>
      <c r="K116" s="851">
        <v>13.096</v>
      </c>
      <c r="L116" s="851">
        <v>13.76</v>
      </c>
      <c r="M116" s="851">
        <v>2015</v>
      </c>
      <c r="N116" s="851"/>
      <c r="P116" s="146">
        <f t="shared" si="9"/>
        <v>3.6093648384998733E-2</v>
      </c>
      <c r="Q116" s="146">
        <f t="shared" si="10"/>
        <v>4.5297625274610454E-2</v>
      </c>
      <c r="R116" s="146">
        <f t="shared" si="11"/>
        <v>3.7630104083266502E-2</v>
      </c>
      <c r="S116" s="146">
        <f t="shared" si="12"/>
        <v>4.7646604938271553E-2</v>
      </c>
      <c r="T116" s="146">
        <f t="shared" si="13"/>
        <v>4.7781255754004714E-2</v>
      </c>
      <c r="U116" s="146">
        <f t="shared" si="14"/>
        <v>4.850188911343456E-2</v>
      </c>
      <c r="V116" s="146">
        <f t="shared" si="15"/>
        <v>4.3911841112880268E-2</v>
      </c>
      <c r="W116" s="146">
        <f t="shared" si="16"/>
        <v>5.1296459821786877E-2</v>
      </c>
      <c r="X116" s="146">
        <f t="shared" si="16"/>
        <v>5.0702504581551677E-2</v>
      </c>
    </row>
    <row r="117" spans="1:24">
      <c r="A117" s="139" t="s">
        <v>324</v>
      </c>
      <c r="B117" s="139" t="s">
        <v>209</v>
      </c>
      <c r="C117" s="851">
        <v>248.542</v>
      </c>
      <c r="D117" s="851">
        <v>259.75700000000001</v>
      </c>
      <c r="E117" s="851">
        <v>274.51900000000001</v>
      </c>
      <c r="F117" s="851">
        <v>281.42</v>
      </c>
      <c r="G117" s="851">
        <v>300.13</v>
      </c>
      <c r="H117" s="851">
        <v>315.24200000000002</v>
      </c>
      <c r="I117" s="851">
        <v>334.95</v>
      </c>
      <c r="J117" s="851">
        <v>356.31099999999998</v>
      </c>
      <c r="K117" s="851">
        <v>379.90100000000001</v>
      </c>
      <c r="L117" s="851">
        <v>404.96800000000002</v>
      </c>
      <c r="M117" s="851">
        <v>2016</v>
      </c>
      <c r="N117" s="851"/>
      <c r="P117" s="146">
        <f t="shared" si="9"/>
        <v>4.51231582589664E-2</v>
      </c>
      <c r="Q117" s="146">
        <f t="shared" si="10"/>
        <v>5.6830037304095748E-2</v>
      </c>
      <c r="R117" s="146">
        <f t="shared" si="11"/>
        <v>2.5138515002604667E-2</v>
      </c>
      <c r="S117" s="146">
        <f t="shared" si="12"/>
        <v>6.6484258403809227E-2</v>
      </c>
      <c r="T117" s="146">
        <f t="shared" si="13"/>
        <v>5.0351514343784487E-2</v>
      </c>
      <c r="U117" s="146">
        <f t="shared" si="14"/>
        <v>6.2517050393031237E-2</v>
      </c>
      <c r="V117" s="146">
        <f t="shared" si="15"/>
        <v>6.3773697566801069E-2</v>
      </c>
      <c r="W117" s="146">
        <f t="shared" si="16"/>
        <v>6.6206207498505698E-2</v>
      </c>
      <c r="X117" s="146">
        <f t="shared" si="16"/>
        <v>6.5982979776310069E-2</v>
      </c>
    </row>
    <row r="118" spans="1:24">
      <c r="A118" s="139" t="s">
        <v>325</v>
      </c>
      <c r="B118" s="139" t="s">
        <v>209</v>
      </c>
      <c r="C118" s="851">
        <v>28.302</v>
      </c>
      <c r="D118" s="851">
        <v>30.954999999999998</v>
      </c>
      <c r="E118" s="851">
        <v>33.353999999999999</v>
      </c>
      <c r="F118" s="851">
        <v>35.08</v>
      </c>
      <c r="G118" s="851">
        <v>37.386000000000003</v>
      </c>
      <c r="H118" s="851">
        <v>40.125</v>
      </c>
      <c r="I118" s="851">
        <v>43.423999999999999</v>
      </c>
      <c r="J118" s="851">
        <v>47.2</v>
      </c>
      <c r="K118" s="851">
        <v>51.529000000000003</v>
      </c>
      <c r="L118" s="851">
        <v>59.866999999999997</v>
      </c>
      <c r="M118" s="851">
        <v>2016</v>
      </c>
      <c r="N118" s="851"/>
      <c r="P118" s="146">
        <f t="shared" si="9"/>
        <v>9.3738958377499682E-2</v>
      </c>
      <c r="Q118" s="146">
        <f t="shared" si="10"/>
        <v>7.7499596188014941E-2</v>
      </c>
      <c r="R118" s="146">
        <f t="shared" si="11"/>
        <v>5.174791629189901E-2</v>
      </c>
      <c r="S118" s="146">
        <f t="shared" si="12"/>
        <v>6.5735461801596395E-2</v>
      </c>
      <c r="T118" s="146">
        <f t="shared" si="13"/>
        <v>7.3262718664740767E-2</v>
      </c>
      <c r="U118" s="146">
        <f t="shared" si="14"/>
        <v>8.2218068535825584E-2</v>
      </c>
      <c r="V118" s="146">
        <f t="shared" si="15"/>
        <v>8.6956521739130599E-2</v>
      </c>
      <c r="W118" s="146">
        <f t="shared" si="16"/>
        <v>9.1716101694915286E-2</v>
      </c>
      <c r="X118" s="146">
        <f t="shared" si="16"/>
        <v>0.161811795299734</v>
      </c>
    </row>
    <row r="119" spans="1:24">
      <c r="A119" s="139" t="s">
        <v>326</v>
      </c>
      <c r="B119" s="139" t="s">
        <v>209</v>
      </c>
      <c r="C119" s="851">
        <v>237.34800000000001</v>
      </c>
      <c r="D119" s="851">
        <v>260.91500000000002</v>
      </c>
      <c r="E119" s="851">
        <v>282.18700000000001</v>
      </c>
      <c r="F119" s="851">
        <v>303.279</v>
      </c>
      <c r="G119" s="851">
        <v>330.88299999999998</v>
      </c>
      <c r="H119" s="851">
        <v>362.96899999999999</v>
      </c>
      <c r="I119" s="851">
        <v>398.43799999999999</v>
      </c>
      <c r="J119" s="851">
        <v>437.42399999999998</v>
      </c>
      <c r="K119" s="851">
        <v>480.17599999999999</v>
      </c>
      <c r="L119" s="851">
        <v>526.36300000000006</v>
      </c>
      <c r="M119" s="851">
        <v>2016</v>
      </c>
      <c r="N119" s="851"/>
      <c r="P119" s="146">
        <f t="shared" si="9"/>
        <v>9.9293021217790045E-2</v>
      </c>
      <c r="Q119" s="146">
        <f t="shared" si="10"/>
        <v>8.1528467125308923E-2</v>
      </c>
      <c r="R119" s="146">
        <f t="shared" si="11"/>
        <v>7.4744761452511854E-2</v>
      </c>
      <c r="S119" s="146">
        <f t="shared" si="12"/>
        <v>9.1018501116133965E-2</v>
      </c>
      <c r="T119" s="146">
        <f t="shared" si="13"/>
        <v>9.6970832590371758E-2</v>
      </c>
      <c r="U119" s="146">
        <f t="shared" si="14"/>
        <v>9.7719088958010181E-2</v>
      </c>
      <c r="V119" s="146">
        <f t="shared" si="15"/>
        <v>9.7847092897765719E-2</v>
      </c>
      <c r="W119" s="146">
        <f t="shared" si="16"/>
        <v>9.7735835253667025E-2</v>
      </c>
      <c r="X119" s="146">
        <f t="shared" si="16"/>
        <v>9.6187647862450598E-2</v>
      </c>
    </row>
    <row r="120" spans="1:24">
      <c r="A120" s="139" t="s">
        <v>327</v>
      </c>
      <c r="B120" s="139" t="s">
        <v>209</v>
      </c>
      <c r="C120" s="851">
        <v>22.189</v>
      </c>
      <c r="D120" s="851">
        <v>24.021000000000001</v>
      </c>
      <c r="E120" s="851">
        <v>25.736999999999998</v>
      </c>
      <c r="F120" s="851">
        <v>26.347000000000001</v>
      </c>
      <c r="G120" s="851">
        <v>27.018000000000001</v>
      </c>
      <c r="H120" s="851">
        <v>28.238</v>
      </c>
      <c r="I120" s="851">
        <v>29.83</v>
      </c>
      <c r="J120" s="851">
        <v>31.521000000000001</v>
      </c>
      <c r="K120" s="851">
        <v>33.338999999999999</v>
      </c>
      <c r="L120" s="851">
        <v>35.21</v>
      </c>
      <c r="M120" s="851">
        <v>2016</v>
      </c>
      <c r="N120" s="851"/>
      <c r="P120" s="146">
        <f t="shared" si="9"/>
        <v>8.256343233133534E-2</v>
      </c>
      <c r="Q120" s="146">
        <f t="shared" si="10"/>
        <v>7.1437492194329932E-2</v>
      </c>
      <c r="R120" s="146">
        <f t="shared" si="11"/>
        <v>2.3701286086179607E-2</v>
      </c>
      <c r="S120" s="146">
        <f t="shared" si="12"/>
        <v>2.5467795194898724E-2</v>
      </c>
      <c r="T120" s="146">
        <f t="shared" si="13"/>
        <v>4.5155081797320307E-2</v>
      </c>
      <c r="U120" s="146">
        <f t="shared" si="14"/>
        <v>5.6377930448332059E-2</v>
      </c>
      <c r="V120" s="146">
        <f t="shared" si="15"/>
        <v>5.6687898089172073E-2</v>
      </c>
      <c r="W120" s="146">
        <f t="shared" si="16"/>
        <v>5.7675835157513955E-2</v>
      </c>
      <c r="X120" s="146">
        <f t="shared" si="16"/>
        <v>5.6120459521881383E-2</v>
      </c>
    </row>
    <row r="121" spans="1:24">
      <c r="A121" s="139" t="s">
        <v>328</v>
      </c>
      <c r="B121" s="139" t="s">
        <v>209</v>
      </c>
      <c r="C121" s="851">
        <v>62.67</v>
      </c>
      <c r="D121" s="851">
        <v>67.616</v>
      </c>
      <c r="E121" s="851">
        <v>70.62</v>
      </c>
      <c r="F121" s="851">
        <v>71.816999999999993</v>
      </c>
      <c r="G121" s="851">
        <v>78.546999999999997</v>
      </c>
      <c r="H121" s="851">
        <v>84.043999999999997</v>
      </c>
      <c r="I121" s="851">
        <v>89.114000000000004</v>
      </c>
      <c r="J121" s="851">
        <v>94.444999999999993</v>
      </c>
      <c r="K121" s="851">
        <v>100.084</v>
      </c>
      <c r="L121" s="851">
        <v>105.919</v>
      </c>
      <c r="M121" s="851">
        <v>2016</v>
      </c>
      <c r="N121" s="851"/>
      <c r="P121" s="146">
        <f t="shared" si="9"/>
        <v>7.8921333971597285E-2</v>
      </c>
      <c r="Q121" s="146">
        <f t="shared" si="10"/>
        <v>4.4427354472314384E-2</v>
      </c>
      <c r="R121" s="146">
        <f t="shared" si="11"/>
        <v>1.6949872557348922E-2</v>
      </c>
      <c r="S121" s="146">
        <f t="shared" si="12"/>
        <v>9.3710402829413786E-2</v>
      </c>
      <c r="T121" s="146">
        <f t="shared" si="13"/>
        <v>6.9983576712032258E-2</v>
      </c>
      <c r="U121" s="146">
        <f t="shared" si="14"/>
        <v>6.0325543762790979E-2</v>
      </c>
      <c r="V121" s="146">
        <f t="shared" si="15"/>
        <v>5.9822250151491119E-2</v>
      </c>
      <c r="W121" s="146">
        <f t="shared" si="16"/>
        <v>5.9706707607602327E-2</v>
      </c>
      <c r="X121" s="146">
        <f t="shared" si="16"/>
        <v>5.8301027137204642E-2</v>
      </c>
    </row>
    <row r="122" spans="1:24">
      <c r="A122" s="139" t="s">
        <v>329</v>
      </c>
      <c r="B122" s="139" t="s">
        <v>209</v>
      </c>
      <c r="C122" s="851">
        <v>790.04499999999996</v>
      </c>
      <c r="D122" s="851">
        <v>815.654</v>
      </c>
      <c r="E122" s="851">
        <v>843.12900000000002</v>
      </c>
      <c r="F122" s="851">
        <v>872.76199999999994</v>
      </c>
      <c r="G122" s="851">
        <v>915.17499999999995</v>
      </c>
      <c r="H122" s="851">
        <v>957.05600000000004</v>
      </c>
      <c r="I122" s="851">
        <v>995.68499999999995</v>
      </c>
      <c r="J122" s="1168">
        <v>1035.69</v>
      </c>
      <c r="K122" s="1168">
        <v>1076.18</v>
      </c>
      <c r="L122" s="1168">
        <v>1116.3599999999999</v>
      </c>
      <c r="M122" s="851">
        <v>2016</v>
      </c>
      <c r="N122" s="851"/>
      <c r="P122" s="146">
        <f t="shared" si="9"/>
        <v>3.2414609294407315E-2</v>
      </c>
      <c r="Q122" s="146">
        <f t="shared" si="10"/>
        <v>3.3684626079195423E-2</v>
      </c>
      <c r="R122" s="146">
        <f t="shared" si="11"/>
        <v>3.5146460387437628E-2</v>
      </c>
      <c r="S122" s="146">
        <f t="shared" si="12"/>
        <v>4.8596295439077286E-2</v>
      </c>
      <c r="T122" s="146">
        <f t="shared" si="13"/>
        <v>4.5762832245199059E-2</v>
      </c>
      <c r="U122" s="146">
        <f t="shared" si="14"/>
        <v>4.0362319446301864E-2</v>
      </c>
      <c r="V122" s="146">
        <f t="shared" si="15"/>
        <v>4.0178369665105018E-2</v>
      </c>
      <c r="W122" s="146">
        <f t="shared" si="16"/>
        <v>3.9094709806988481E-2</v>
      </c>
      <c r="X122" s="146">
        <f t="shared" si="16"/>
        <v>3.7335761675556078E-2</v>
      </c>
    </row>
    <row r="123" spans="1:24">
      <c r="A123" s="139" t="s">
        <v>330</v>
      </c>
      <c r="B123" s="139" t="s">
        <v>209</v>
      </c>
      <c r="C123" s="851">
        <v>154.02500000000001</v>
      </c>
      <c r="D123" s="851">
        <v>161.227</v>
      </c>
      <c r="E123" s="851">
        <v>168.179</v>
      </c>
      <c r="F123" s="851">
        <v>176.42699999999999</v>
      </c>
      <c r="G123" s="851">
        <v>185.74799999999999</v>
      </c>
      <c r="H123" s="851">
        <v>195.10300000000001</v>
      </c>
      <c r="I123" s="851">
        <v>204.31200000000001</v>
      </c>
      <c r="J123" s="851">
        <v>213.858</v>
      </c>
      <c r="K123" s="851">
        <v>223.864</v>
      </c>
      <c r="L123" s="851">
        <v>233.69499999999999</v>
      </c>
      <c r="M123" s="851">
        <v>2016</v>
      </c>
      <c r="N123" s="851"/>
      <c r="P123" s="146">
        <f t="shared" si="9"/>
        <v>4.6758643077422501E-2</v>
      </c>
      <c r="Q123" s="146">
        <f t="shared" si="10"/>
        <v>4.3119328648427269E-2</v>
      </c>
      <c r="R123" s="146">
        <f t="shared" si="11"/>
        <v>4.9042983963514919E-2</v>
      </c>
      <c r="S123" s="146">
        <f t="shared" si="12"/>
        <v>5.2832049516230439E-2</v>
      </c>
      <c r="T123" s="146">
        <f t="shared" si="13"/>
        <v>5.0363933931993898E-2</v>
      </c>
      <c r="U123" s="146">
        <f t="shared" si="14"/>
        <v>4.7200709368897531E-2</v>
      </c>
      <c r="V123" s="146">
        <f t="shared" si="15"/>
        <v>4.6722659461999161E-2</v>
      </c>
      <c r="W123" s="146">
        <f t="shared" si="16"/>
        <v>4.6788055625695657E-2</v>
      </c>
      <c r="X123" s="146">
        <f t="shared" si="16"/>
        <v>4.3915055569452743E-2</v>
      </c>
    </row>
    <row r="124" spans="1:24">
      <c r="A124" s="139" t="s">
        <v>331</v>
      </c>
      <c r="B124" s="139" t="s">
        <v>209</v>
      </c>
      <c r="C124" s="851">
        <v>28.419</v>
      </c>
      <c r="D124" s="851">
        <v>30.314</v>
      </c>
      <c r="E124" s="851">
        <v>32.130000000000003</v>
      </c>
      <c r="F124" s="851">
        <v>34.07</v>
      </c>
      <c r="G124" s="851">
        <v>36.222999999999999</v>
      </c>
      <c r="H124" s="851">
        <v>38.514000000000003</v>
      </c>
      <c r="I124" s="851">
        <v>41.106000000000002</v>
      </c>
      <c r="J124" s="851">
        <v>43.859000000000002</v>
      </c>
      <c r="K124" s="851">
        <v>46.784999999999997</v>
      </c>
      <c r="L124" s="851">
        <v>49.831000000000003</v>
      </c>
      <c r="M124" s="851">
        <v>2016</v>
      </c>
      <c r="N124" s="851"/>
      <c r="P124" s="146">
        <f t="shared" si="9"/>
        <v>6.6680741757275008E-2</v>
      </c>
      <c r="Q124" s="146">
        <f t="shared" si="10"/>
        <v>5.9906313914363185E-2</v>
      </c>
      <c r="R124" s="146">
        <f t="shared" si="11"/>
        <v>6.0379707438530827E-2</v>
      </c>
      <c r="S124" s="146">
        <f t="shared" si="12"/>
        <v>6.3193425300851258E-2</v>
      </c>
      <c r="T124" s="146">
        <f t="shared" si="13"/>
        <v>6.3247108190928492E-2</v>
      </c>
      <c r="U124" s="146">
        <f t="shared" si="14"/>
        <v>6.7300202523757457E-2</v>
      </c>
      <c r="V124" s="146">
        <f t="shared" si="15"/>
        <v>6.6973191261616272E-2</v>
      </c>
      <c r="W124" s="146">
        <f t="shared" si="16"/>
        <v>6.6713787364052868E-2</v>
      </c>
      <c r="X124" s="146">
        <f t="shared" si="16"/>
        <v>6.5106337501336098E-2</v>
      </c>
    </row>
    <row r="125" spans="1:24">
      <c r="A125" s="139" t="s">
        <v>332</v>
      </c>
      <c r="B125" s="139" t="s">
        <v>209</v>
      </c>
      <c r="C125" s="851">
        <v>16.667999999999999</v>
      </c>
      <c r="D125" s="851">
        <v>18.244</v>
      </c>
      <c r="E125" s="851">
        <v>19.172999999999998</v>
      </c>
      <c r="F125" s="851">
        <v>20.393999999999998</v>
      </c>
      <c r="G125" s="851">
        <v>21.622</v>
      </c>
      <c r="H125" s="851">
        <v>23.085000000000001</v>
      </c>
      <c r="I125" s="851">
        <v>24.797999999999998</v>
      </c>
      <c r="J125" s="851">
        <v>27.015999999999998</v>
      </c>
      <c r="K125" s="851">
        <v>29.256</v>
      </c>
      <c r="L125" s="851">
        <v>31.675999999999998</v>
      </c>
      <c r="M125" s="851">
        <v>2016</v>
      </c>
      <c r="N125" s="851"/>
      <c r="P125" s="146">
        <f t="shared" si="9"/>
        <v>9.4552435805135726E-2</v>
      </c>
      <c r="Q125" s="146">
        <f t="shared" si="10"/>
        <v>5.0920850690638009E-2</v>
      </c>
      <c r="R125" s="146">
        <f t="shared" si="11"/>
        <v>6.3683304647160099E-2</v>
      </c>
      <c r="S125" s="146">
        <f t="shared" si="12"/>
        <v>6.0213788369128274E-2</v>
      </c>
      <c r="T125" s="146">
        <f t="shared" si="13"/>
        <v>6.7662565905096672E-2</v>
      </c>
      <c r="U125" s="146">
        <f t="shared" si="14"/>
        <v>7.420402858999342E-2</v>
      </c>
      <c r="V125" s="146">
        <f t="shared" si="15"/>
        <v>8.9442696991692827E-2</v>
      </c>
      <c r="W125" s="146">
        <f t="shared" si="16"/>
        <v>8.2913828842167581E-2</v>
      </c>
      <c r="X125" s="146">
        <f t="shared" si="16"/>
        <v>8.2718074924801765E-2</v>
      </c>
    </row>
    <row r="126" spans="1:24">
      <c r="A126" s="139" t="s">
        <v>333</v>
      </c>
      <c r="B126" s="139" t="s">
        <v>209</v>
      </c>
      <c r="C126" s="851">
        <v>974.29</v>
      </c>
      <c r="D126" s="1168">
        <v>1054.3499999999999</v>
      </c>
      <c r="E126" s="1168">
        <v>1094.06</v>
      </c>
      <c r="F126" s="1168">
        <v>1090.0999999999999</v>
      </c>
      <c r="G126" s="1168">
        <v>1118.43</v>
      </c>
      <c r="H126" s="1168">
        <v>1161.69</v>
      </c>
      <c r="I126" s="1168">
        <v>1206.0999999999999</v>
      </c>
      <c r="J126" s="1168">
        <v>1252.95</v>
      </c>
      <c r="K126" s="1168">
        <v>1300.8699999999999</v>
      </c>
      <c r="L126" s="1168">
        <v>1349.05</v>
      </c>
      <c r="M126" s="851">
        <v>2016</v>
      </c>
      <c r="N126" s="851"/>
      <c r="P126" s="146">
        <f t="shared" si="9"/>
        <v>8.2172659064549514E-2</v>
      </c>
      <c r="Q126" s="146">
        <f t="shared" si="10"/>
        <v>3.76630151278039E-2</v>
      </c>
      <c r="R126" s="146">
        <f t="shared" si="11"/>
        <v>-3.6195455459481218E-3</v>
      </c>
      <c r="S126" s="146">
        <f t="shared" si="12"/>
        <v>2.5988441427392095E-2</v>
      </c>
      <c r="T126" s="146">
        <f t="shared" si="13"/>
        <v>3.8679219978004831E-2</v>
      </c>
      <c r="U126" s="146">
        <f t="shared" si="14"/>
        <v>3.8228787370124362E-2</v>
      </c>
      <c r="V126" s="146">
        <f t="shared" si="15"/>
        <v>3.8844208606251707E-2</v>
      </c>
      <c r="W126" s="146">
        <f t="shared" si="16"/>
        <v>3.8245740053473698E-2</v>
      </c>
      <c r="X126" s="146">
        <f t="shared" si="16"/>
        <v>3.7036752327288758E-2</v>
      </c>
    </row>
    <row r="127" spans="1:24">
      <c r="A127" s="139" t="s">
        <v>334</v>
      </c>
      <c r="B127" s="139" t="s">
        <v>209</v>
      </c>
      <c r="C127" s="851">
        <v>334.17500000000001</v>
      </c>
      <c r="D127" s="851">
        <v>346.7</v>
      </c>
      <c r="E127" s="851">
        <v>356.10500000000002</v>
      </c>
      <c r="F127" s="851">
        <v>364.536</v>
      </c>
      <c r="G127" s="851">
        <v>375.94200000000001</v>
      </c>
      <c r="H127" s="851">
        <v>389.447</v>
      </c>
      <c r="I127" s="851">
        <v>405.21899999999999</v>
      </c>
      <c r="J127" s="851">
        <v>421.42700000000002</v>
      </c>
      <c r="K127" s="851">
        <v>438.11</v>
      </c>
      <c r="L127" s="851">
        <v>454.82400000000001</v>
      </c>
      <c r="M127" s="851">
        <v>2016</v>
      </c>
      <c r="N127" s="851"/>
      <c r="P127" s="146">
        <f t="shared" si="9"/>
        <v>3.7480362085733354E-2</v>
      </c>
      <c r="Q127" s="146">
        <f t="shared" si="10"/>
        <v>2.7127199307758865E-2</v>
      </c>
      <c r="R127" s="146">
        <f t="shared" si="11"/>
        <v>2.3675601297370008E-2</v>
      </c>
      <c r="S127" s="146">
        <f t="shared" si="12"/>
        <v>3.128909078938702E-2</v>
      </c>
      <c r="T127" s="146">
        <f t="shared" si="13"/>
        <v>3.592309451989939E-2</v>
      </c>
      <c r="U127" s="146">
        <f t="shared" si="14"/>
        <v>4.0498450366802219E-2</v>
      </c>
      <c r="V127" s="146">
        <f t="shared" si="15"/>
        <v>3.9998124470965069E-2</v>
      </c>
      <c r="W127" s="146">
        <f t="shared" si="16"/>
        <v>3.9586927273288053E-2</v>
      </c>
      <c r="X127" s="146">
        <f t="shared" si="16"/>
        <v>3.8150236242039615E-2</v>
      </c>
    </row>
    <row r="128" spans="1:24">
      <c r="A128" s="139" t="s">
        <v>335</v>
      </c>
      <c r="B128" s="139" t="s">
        <v>209</v>
      </c>
      <c r="C128" s="851">
        <v>161.02600000000001</v>
      </c>
      <c r="D128" s="851">
        <v>168.08199999999999</v>
      </c>
      <c r="E128" s="851">
        <v>177.00200000000001</v>
      </c>
      <c r="F128" s="851">
        <v>184.69499999999999</v>
      </c>
      <c r="G128" s="851">
        <v>187.88200000000001</v>
      </c>
      <c r="H128" s="851">
        <v>198.69900000000001</v>
      </c>
      <c r="I128" s="851">
        <v>208.81299999999999</v>
      </c>
      <c r="J128" s="851">
        <v>217.892</v>
      </c>
      <c r="K128" s="851">
        <v>226.39099999999999</v>
      </c>
      <c r="L128" s="851">
        <v>235.804</v>
      </c>
      <c r="M128" s="851">
        <v>2016</v>
      </c>
      <c r="N128" s="851"/>
      <c r="P128" s="146">
        <f t="shared" si="9"/>
        <v>4.3819010594562169E-2</v>
      </c>
      <c r="Q128" s="146">
        <f t="shared" si="10"/>
        <v>5.3069335205435442E-2</v>
      </c>
      <c r="R128" s="146">
        <f t="shared" si="11"/>
        <v>4.3462785731234632E-2</v>
      </c>
      <c r="S128" s="146">
        <f t="shared" si="12"/>
        <v>1.725547524296811E-2</v>
      </c>
      <c r="T128" s="146">
        <f t="shared" si="13"/>
        <v>5.7573370519794276E-2</v>
      </c>
      <c r="U128" s="146">
        <f t="shared" si="14"/>
        <v>5.090111173181544E-2</v>
      </c>
      <c r="V128" s="146">
        <f t="shared" si="15"/>
        <v>4.3479093734585472E-2</v>
      </c>
      <c r="W128" s="146">
        <f t="shared" si="16"/>
        <v>3.9005562388706227E-2</v>
      </c>
      <c r="X128" s="146">
        <f t="shared" si="16"/>
        <v>4.1578507979557644E-2</v>
      </c>
    </row>
    <row r="129" spans="1:24">
      <c r="A129" s="139" t="s">
        <v>336</v>
      </c>
      <c r="B129" s="139" t="s">
        <v>209</v>
      </c>
      <c r="C129" s="851">
        <v>836.38499999999999</v>
      </c>
      <c r="D129" s="851">
        <v>885.90599999999995</v>
      </c>
      <c r="E129" s="851">
        <v>931.85</v>
      </c>
      <c r="F129" s="851">
        <v>986.26</v>
      </c>
      <c r="G129" s="1168">
        <v>1056.3900000000001</v>
      </c>
      <c r="H129" s="1168">
        <v>1136.8800000000001</v>
      </c>
      <c r="I129" s="1168">
        <v>1230.81</v>
      </c>
      <c r="J129" s="1168">
        <v>1328.34</v>
      </c>
      <c r="K129" s="1168">
        <v>1435.93</v>
      </c>
      <c r="L129" s="1168">
        <v>1549.91</v>
      </c>
      <c r="M129" s="851">
        <v>2015</v>
      </c>
      <c r="N129" s="851"/>
      <c r="P129" s="146">
        <f t="shared" si="9"/>
        <v>5.9208378916407955E-2</v>
      </c>
      <c r="Q129" s="146">
        <f t="shared" si="10"/>
        <v>5.1861032660350137E-2</v>
      </c>
      <c r="R129" s="146">
        <f t="shared" si="11"/>
        <v>5.838922573375549E-2</v>
      </c>
      <c r="S129" s="146">
        <f t="shared" si="12"/>
        <v>7.1107010321821873E-2</v>
      </c>
      <c r="T129" s="146">
        <f t="shared" si="13"/>
        <v>7.61934512821969E-2</v>
      </c>
      <c r="U129" s="146">
        <f t="shared" si="14"/>
        <v>8.2620857082541521E-2</v>
      </c>
      <c r="V129" s="146">
        <f t="shared" si="15"/>
        <v>7.9240500158432203E-2</v>
      </c>
      <c r="W129" s="146">
        <f t="shared" si="16"/>
        <v>8.0995829381032003E-2</v>
      </c>
      <c r="X129" s="146">
        <f t="shared" si="16"/>
        <v>7.9377128411552089E-2</v>
      </c>
    </row>
    <row r="130" spans="1:24">
      <c r="A130" s="139" t="s">
        <v>337</v>
      </c>
      <c r="B130" s="139" t="s">
        <v>209</v>
      </c>
      <c r="C130" s="851">
        <v>0.23400000000000001</v>
      </c>
      <c r="D130" s="851">
        <v>0.252</v>
      </c>
      <c r="E130" s="851">
        <v>0.28299999999999997</v>
      </c>
      <c r="F130" s="851">
        <v>0.29199999999999998</v>
      </c>
      <c r="G130" s="851">
        <v>0.30099999999999999</v>
      </c>
      <c r="H130" s="851">
        <v>0.32300000000000001</v>
      </c>
      <c r="I130" s="851">
        <v>0.34499999999999997</v>
      </c>
      <c r="J130" s="851">
        <v>0.36299999999999999</v>
      </c>
      <c r="K130" s="851">
        <v>0.378</v>
      </c>
      <c r="L130" s="851">
        <v>0.39300000000000002</v>
      </c>
      <c r="M130" s="851">
        <v>2016</v>
      </c>
      <c r="N130" s="851"/>
      <c r="P130" s="146">
        <f t="shared" si="9"/>
        <v>7.6923076923076872E-2</v>
      </c>
      <c r="Q130" s="146">
        <f t="shared" si="10"/>
        <v>0.1230158730158728</v>
      </c>
      <c r="R130" s="146">
        <f t="shared" si="11"/>
        <v>3.180212014134276E-2</v>
      </c>
      <c r="S130" s="146">
        <f t="shared" si="12"/>
        <v>3.082191780821919E-2</v>
      </c>
      <c r="T130" s="146">
        <f t="shared" si="13"/>
        <v>7.3089700996677776E-2</v>
      </c>
      <c r="U130" s="146">
        <f t="shared" si="14"/>
        <v>6.8111455108359031E-2</v>
      </c>
      <c r="V130" s="146">
        <f t="shared" si="15"/>
        <v>5.2173913043478404E-2</v>
      </c>
      <c r="W130" s="146">
        <f t="shared" si="16"/>
        <v>4.1322314049586861E-2</v>
      </c>
      <c r="X130" s="146">
        <f t="shared" si="16"/>
        <v>3.9682539682539764E-2</v>
      </c>
    </row>
    <row r="131" spans="1:24">
      <c r="A131" s="139" t="s">
        <v>338</v>
      </c>
      <c r="B131" s="139" t="s">
        <v>209</v>
      </c>
      <c r="C131" s="851">
        <v>75.701999999999998</v>
      </c>
      <c r="D131" s="851">
        <v>81.724999999999994</v>
      </c>
      <c r="E131" s="851">
        <v>87.384</v>
      </c>
      <c r="F131" s="851">
        <v>92.808999999999997</v>
      </c>
      <c r="G131" s="851">
        <v>99.43</v>
      </c>
      <c r="H131" s="851">
        <v>107.03700000000001</v>
      </c>
      <c r="I131" s="851">
        <v>115.661</v>
      </c>
      <c r="J131" s="851">
        <v>124.70699999999999</v>
      </c>
      <c r="K131" s="851">
        <v>134.29900000000001</v>
      </c>
      <c r="L131" s="851">
        <v>144.41200000000001</v>
      </c>
      <c r="M131" s="851">
        <v>2015</v>
      </c>
      <c r="N131" s="851"/>
      <c r="P131" s="146">
        <f t="shared" ref="P131:P192" si="17">D131/C131-1</f>
        <v>7.9561966658740824E-2</v>
      </c>
      <c r="Q131" s="146">
        <f t="shared" ref="Q131:Q192" si="18">E131/D131-1</f>
        <v>6.9244417252982693E-2</v>
      </c>
      <c r="R131" s="146">
        <f t="shared" ref="R131:R192" si="19">F131/E131-1</f>
        <v>6.208230339650278E-2</v>
      </c>
      <c r="S131" s="146">
        <f t="shared" ref="S131:S192" si="20">G131/F131-1</f>
        <v>7.1340064002413772E-2</v>
      </c>
      <c r="T131" s="146">
        <f t="shared" ref="T131:T192" si="21">H131/G131-1</f>
        <v>7.6506084682691267E-2</v>
      </c>
      <c r="U131" s="146">
        <f t="shared" ref="U131:U192" si="22">I131/H131-1</f>
        <v>8.0570270093518914E-2</v>
      </c>
      <c r="V131" s="146">
        <f t="shared" ref="V131:V192" si="23">J131/I131-1</f>
        <v>7.8211324474109611E-2</v>
      </c>
      <c r="W131" s="146">
        <f t="shared" ref="W131:X192" si="24">K131/J131-1</f>
        <v>7.6916291787951119E-2</v>
      </c>
      <c r="X131" s="146">
        <f t="shared" si="24"/>
        <v>7.5302124364291512E-2</v>
      </c>
    </row>
    <row r="132" spans="1:24">
      <c r="A132" s="139" t="s">
        <v>339</v>
      </c>
      <c r="B132" s="139" t="s">
        <v>209</v>
      </c>
      <c r="C132" s="851">
        <v>22.428000000000001</v>
      </c>
      <c r="D132" s="851">
        <v>25.690999999999999</v>
      </c>
      <c r="E132" s="851">
        <v>28.355</v>
      </c>
      <c r="F132" s="851">
        <v>29.404</v>
      </c>
      <c r="G132" s="851">
        <v>30.838999999999999</v>
      </c>
      <c r="H132" s="851">
        <v>32.363</v>
      </c>
      <c r="I132" s="851">
        <v>33.917999999999999</v>
      </c>
      <c r="J132" s="851">
        <v>35.665999999999997</v>
      </c>
      <c r="K132" s="851">
        <v>37.576000000000001</v>
      </c>
      <c r="L132" s="851">
        <v>39.554000000000002</v>
      </c>
      <c r="M132" s="851">
        <v>2013</v>
      </c>
      <c r="N132" s="851"/>
      <c r="P132" s="146">
        <f t="shared" si="17"/>
        <v>0.14548778312823241</v>
      </c>
      <c r="Q132" s="146">
        <f t="shared" si="18"/>
        <v>0.10369390058775463</v>
      </c>
      <c r="R132" s="146">
        <f t="shared" si="19"/>
        <v>3.6995238934932173E-2</v>
      </c>
      <c r="S132" s="146">
        <f t="shared" si="20"/>
        <v>4.8802883961365673E-2</v>
      </c>
      <c r="T132" s="146">
        <f t="shared" si="21"/>
        <v>4.9417944810143055E-2</v>
      </c>
      <c r="U132" s="146">
        <f t="shared" si="22"/>
        <v>4.8048697586750233E-2</v>
      </c>
      <c r="V132" s="146">
        <f t="shared" si="23"/>
        <v>5.1536057550563008E-2</v>
      </c>
      <c r="W132" s="146">
        <f t="shared" si="24"/>
        <v>5.3552402848651592E-2</v>
      </c>
      <c r="X132" s="146">
        <f t="shared" si="24"/>
        <v>5.2639982967851884E-2</v>
      </c>
    </row>
    <row r="133" spans="1:24">
      <c r="A133" s="139" t="s">
        <v>340</v>
      </c>
      <c r="B133" s="139" t="s">
        <v>209</v>
      </c>
      <c r="C133" s="851">
        <v>55.05</v>
      </c>
      <c r="D133" s="851">
        <v>58.683999999999997</v>
      </c>
      <c r="E133" s="851">
        <v>61.078000000000003</v>
      </c>
      <c r="F133" s="851">
        <v>64.388000000000005</v>
      </c>
      <c r="G133" s="851">
        <v>68.045000000000002</v>
      </c>
      <c r="H133" s="851">
        <v>72.137</v>
      </c>
      <c r="I133" s="851">
        <v>76.534000000000006</v>
      </c>
      <c r="J133" s="851">
        <v>81.135000000000005</v>
      </c>
      <c r="K133" s="851">
        <v>85.986000000000004</v>
      </c>
      <c r="L133" s="851">
        <v>90.991</v>
      </c>
      <c r="M133" s="851">
        <v>2016</v>
      </c>
      <c r="N133" s="851"/>
      <c r="P133" s="146">
        <f t="shared" si="17"/>
        <v>6.6012715712988168E-2</v>
      </c>
      <c r="Q133" s="146">
        <f t="shared" si="18"/>
        <v>4.0794765183014281E-2</v>
      </c>
      <c r="R133" s="146">
        <f t="shared" si="19"/>
        <v>5.419299911588471E-2</v>
      </c>
      <c r="S133" s="146">
        <f t="shared" si="20"/>
        <v>5.6796297446729094E-2</v>
      </c>
      <c r="T133" s="146">
        <f t="shared" si="21"/>
        <v>6.0136674259681167E-2</v>
      </c>
      <c r="U133" s="146">
        <f t="shared" si="22"/>
        <v>6.0953463548525821E-2</v>
      </c>
      <c r="V133" s="146">
        <f t="shared" si="23"/>
        <v>6.0117072150939421E-2</v>
      </c>
      <c r="W133" s="146">
        <f t="shared" si="24"/>
        <v>5.978924015529663E-2</v>
      </c>
      <c r="X133" s="146">
        <f t="shared" si="24"/>
        <v>5.8207150001162944E-2</v>
      </c>
    </row>
    <row r="134" spans="1:24">
      <c r="A134" s="139" t="s">
        <v>341</v>
      </c>
      <c r="B134" s="139" t="s">
        <v>209</v>
      </c>
      <c r="C134" s="851">
        <v>354.59699999999998</v>
      </c>
      <c r="D134" s="851">
        <v>369.64400000000001</v>
      </c>
      <c r="E134" s="851">
        <v>385.96600000000001</v>
      </c>
      <c r="F134" s="851">
        <v>406.52300000000002</v>
      </c>
      <c r="G134" s="851">
        <v>424.63900000000001</v>
      </c>
      <c r="H134" s="851">
        <v>449.15300000000002</v>
      </c>
      <c r="I134" s="851">
        <v>477.05700000000002</v>
      </c>
      <c r="J134" s="851">
        <v>505.95</v>
      </c>
      <c r="K134" s="851">
        <v>536.00699999999995</v>
      </c>
      <c r="L134" s="851">
        <v>566.81899999999996</v>
      </c>
      <c r="M134" s="851">
        <v>2016</v>
      </c>
      <c r="N134" s="851"/>
      <c r="P134" s="146">
        <f t="shared" si="17"/>
        <v>4.2434087146817401E-2</v>
      </c>
      <c r="Q134" s="146">
        <f t="shared" si="18"/>
        <v>4.415599874473819E-2</v>
      </c>
      <c r="R134" s="146">
        <f t="shared" si="19"/>
        <v>5.3261168082162635E-2</v>
      </c>
      <c r="S134" s="146">
        <f t="shared" si="20"/>
        <v>4.4563284242219892E-2</v>
      </c>
      <c r="T134" s="146">
        <f t="shared" si="21"/>
        <v>5.7729035722107414E-2</v>
      </c>
      <c r="U134" s="146">
        <f t="shared" si="22"/>
        <v>6.2125823494443955E-2</v>
      </c>
      <c r="V134" s="146">
        <f t="shared" si="23"/>
        <v>6.056508970626151E-2</v>
      </c>
      <c r="W134" s="146">
        <f t="shared" si="24"/>
        <v>5.940705603320473E-2</v>
      </c>
      <c r="X134" s="146">
        <f t="shared" si="24"/>
        <v>5.7484323898755019E-2</v>
      </c>
    </row>
    <row r="135" spans="1:24">
      <c r="A135" s="139" t="s">
        <v>342</v>
      </c>
      <c r="B135" s="139" t="s">
        <v>209</v>
      </c>
      <c r="C135" s="851">
        <v>642.75099999999998</v>
      </c>
      <c r="D135" s="851">
        <v>694.495</v>
      </c>
      <c r="E135" s="851">
        <v>744.61400000000003</v>
      </c>
      <c r="F135" s="851">
        <v>806.32899999999995</v>
      </c>
      <c r="G135" s="851">
        <v>874.51800000000003</v>
      </c>
      <c r="H135" s="851">
        <v>951.22400000000005</v>
      </c>
      <c r="I135" s="1168">
        <v>1037.58</v>
      </c>
      <c r="J135" s="1168">
        <v>1131.44</v>
      </c>
      <c r="K135" s="1168">
        <v>1233.48</v>
      </c>
      <c r="L135" s="1168">
        <v>1342.7</v>
      </c>
      <c r="M135" s="851">
        <v>2016</v>
      </c>
      <c r="N135" s="851"/>
      <c r="P135" s="146">
        <f t="shared" si="17"/>
        <v>8.0503958764747141E-2</v>
      </c>
      <c r="Q135" s="146">
        <f t="shared" si="18"/>
        <v>7.2166106307460787E-2</v>
      </c>
      <c r="R135" s="146">
        <f t="shared" si="19"/>
        <v>8.2881868995210883E-2</v>
      </c>
      <c r="S135" s="146">
        <f t="shared" si="20"/>
        <v>8.4567217599764044E-2</v>
      </c>
      <c r="T135" s="146">
        <f t="shared" si="21"/>
        <v>8.7712316956311875E-2</v>
      </c>
      <c r="U135" s="146">
        <f t="shared" si="22"/>
        <v>9.0784084505857621E-2</v>
      </c>
      <c r="V135" s="146">
        <f t="shared" si="23"/>
        <v>9.0460494612463638E-2</v>
      </c>
      <c r="W135" s="146">
        <f t="shared" si="24"/>
        <v>9.0185957717598741E-2</v>
      </c>
      <c r="X135" s="146">
        <f t="shared" si="24"/>
        <v>8.8546226935175332E-2</v>
      </c>
    </row>
    <row r="136" spans="1:24">
      <c r="A136" s="139" t="s">
        <v>343</v>
      </c>
      <c r="B136" s="139" t="s">
        <v>209</v>
      </c>
      <c r="C136" s="851">
        <v>916.07799999999997</v>
      </c>
      <c r="D136" s="851">
        <v>963.13</v>
      </c>
      <c r="E136" s="1168">
        <v>1011.44</v>
      </c>
      <c r="F136" s="1168">
        <v>1051.33</v>
      </c>
      <c r="G136" s="1168">
        <v>1110.74</v>
      </c>
      <c r="H136" s="1168">
        <v>1170.21</v>
      </c>
      <c r="I136" s="1168">
        <v>1231.1500000000001</v>
      </c>
      <c r="J136" s="1168">
        <v>1292.1600000000001</v>
      </c>
      <c r="K136" s="1168">
        <v>1354.36</v>
      </c>
      <c r="L136" s="1168">
        <v>1415.83</v>
      </c>
      <c r="M136" s="851">
        <v>2016</v>
      </c>
      <c r="N136" s="851"/>
      <c r="P136" s="146">
        <f t="shared" si="17"/>
        <v>5.13624385696414E-2</v>
      </c>
      <c r="Q136" s="146">
        <f t="shared" si="18"/>
        <v>5.0159376200513028E-2</v>
      </c>
      <c r="R136" s="146">
        <f t="shared" si="19"/>
        <v>3.9438819900339928E-2</v>
      </c>
      <c r="S136" s="146">
        <f t="shared" si="20"/>
        <v>5.6509373840754273E-2</v>
      </c>
      <c r="T136" s="146">
        <f t="shared" si="21"/>
        <v>5.3540882654806721E-2</v>
      </c>
      <c r="U136" s="146">
        <f t="shared" si="22"/>
        <v>5.2076123089018322E-2</v>
      </c>
      <c r="V136" s="146">
        <f t="shared" si="23"/>
        <v>4.9555293830971126E-2</v>
      </c>
      <c r="W136" s="146">
        <f t="shared" si="24"/>
        <v>4.8136453689945347E-2</v>
      </c>
      <c r="X136" s="146">
        <f t="shared" si="24"/>
        <v>4.5386750937712383E-2</v>
      </c>
    </row>
    <row r="137" spans="1:24">
      <c r="A137" s="139" t="s">
        <v>344</v>
      </c>
      <c r="B137" s="139" t="s">
        <v>209</v>
      </c>
      <c r="C137" s="851">
        <v>275.64400000000001</v>
      </c>
      <c r="D137" s="851">
        <v>283.09699999999998</v>
      </c>
      <c r="E137" s="851">
        <v>290.73</v>
      </c>
      <c r="F137" s="851">
        <v>298.55700000000002</v>
      </c>
      <c r="G137" s="851">
        <v>311.32100000000003</v>
      </c>
      <c r="H137" s="851">
        <v>323.75799999999998</v>
      </c>
      <c r="I137" s="851">
        <v>336.28800000000001</v>
      </c>
      <c r="J137" s="851">
        <v>348.512</v>
      </c>
      <c r="K137" s="851">
        <v>360.02</v>
      </c>
      <c r="L137" s="851">
        <v>371.35</v>
      </c>
      <c r="M137" s="851">
        <v>2016</v>
      </c>
      <c r="N137" s="851"/>
      <c r="P137" s="146">
        <f t="shared" si="17"/>
        <v>2.7038498933406707E-2</v>
      </c>
      <c r="Q137" s="146">
        <f t="shared" si="18"/>
        <v>2.696248988862493E-2</v>
      </c>
      <c r="R137" s="146">
        <f t="shared" si="19"/>
        <v>2.6921886286245034E-2</v>
      </c>
      <c r="S137" s="146">
        <f t="shared" si="20"/>
        <v>4.2752305254943002E-2</v>
      </c>
      <c r="T137" s="146">
        <f t="shared" si="21"/>
        <v>3.9949120040086994E-2</v>
      </c>
      <c r="U137" s="146">
        <f t="shared" si="22"/>
        <v>3.870174636611301E-2</v>
      </c>
      <c r="V137" s="146">
        <f t="shared" si="23"/>
        <v>3.6349795413455066E-2</v>
      </c>
      <c r="W137" s="146">
        <f t="shared" si="24"/>
        <v>3.3020383803140207E-2</v>
      </c>
      <c r="X137" s="146">
        <f t="shared" si="24"/>
        <v>3.1470473862563297E-2</v>
      </c>
    </row>
    <row r="138" spans="1:24">
      <c r="A138" s="139" t="s">
        <v>345</v>
      </c>
      <c r="B138" s="139" t="s">
        <v>209</v>
      </c>
      <c r="C138" s="851">
        <v>129.821</v>
      </c>
      <c r="D138" s="851">
        <v>130.578</v>
      </c>
      <c r="E138" s="851">
        <v>130.52600000000001</v>
      </c>
      <c r="F138" s="851">
        <v>128.74600000000001</v>
      </c>
      <c r="G138" s="851">
        <v>127.321</v>
      </c>
      <c r="H138" s="851">
        <v>126.547</v>
      </c>
      <c r="I138" s="851">
        <v>127.438</v>
      </c>
      <c r="J138" s="851">
        <v>128.55799999999999</v>
      </c>
      <c r="K138" s="851">
        <v>129.91499999999999</v>
      </c>
      <c r="L138" s="851">
        <v>131.75299999999999</v>
      </c>
      <c r="M138" s="851">
        <v>2016</v>
      </c>
      <c r="N138" s="851"/>
      <c r="P138" s="146">
        <f t="shared" si="17"/>
        <v>5.8311059073647975E-3</v>
      </c>
      <c r="Q138" s="146">
        <f t="shared" si="18"/>
        <v>-3.9822941077360952E-4</v>
      </c>
      <c r="R138" s="146">
        <f t="shared" si="19"/>
        <v>-1.3637129767249401E-2</v>
      </c>
      <c r="S138" s="146">
        <f t="shared" si="20"/>
        <v>-1.1068305034719561E-2</v>
      </c>
      <c r="T138" s="146">
        <f t="shared" si="21"/>
        <v>-6.079122846977314E-3</v>
      </c>
      <c r="U138" s="146">
        <f t="shared" si="22"/>
        <v>7.0408622883197935E-3</v>
      </c>
      <c r="V138" s="146">
        <f t="shared" si="23"/>
        <v>8.7885873915158896E-3</v>
      </c>
      <c r="W138" s="146">
        <f t="shared" si="24"/>
        <v>1.055554691267746E-2</v>
      </c>
      <c r="X138" s="146">
        <f t="shared" si="24"/>
        <v>1.4147711965515786E-2</v>
      </c>
    </row>
    <row r="139" spans="1:24">
      <c r="A139" s="139" t="s">
        <v>346</v>
      </c>
      <c r="B139" s="139" t="s">
        <v>209</v>
      </c>
      <c r="C139" s="851">
        <v>285.61399999999998</v>
      </c>
      <c r="D139" s="851">
        <v>302.30900000000003</v>
      </c>
      <c r="E139" s="851">
        <v>316.43799999999999</v>
      </c>
      <c r="F139" s="851">
        <v>327.62299999999999</v>
      </c>
      <c r="G139" s="851">
        <v>341.73</v>
      </c>
      <c r="H139" s="851">
        <v>359.16300000000001</v>
      </c>
      <c r="I139" s="851">
        <v>376.65800000000002</v>
      </c>
      <c r="J139" s="851">
        <v>395.30700000000002</v>
      </c>
      <c r="K139" s="851">
        <v>415.85700000000003</v>
      </c>
      <c r="L139" s="851">
        <v>437.46100000000001</v>
      </c>
      <c r="M139" s="851">
        <v>2015</v>
      </c>
      <c r="N139" s="851"/>
      <c r="P139" s="146">
        <f t="shared" si="17"/>
        <v>5.845301700897032E-2</v>
      </c>
      <c r="Q139" s="146">
        <f t="shared" si="18"/>
        <v>4.6736947957222386E-2</v>
      </c>
      <c r="R139" s="146">
        <f t="shared" si="19"/>
        <v>3.5346576580562283E-2</v>
      </c>
      <c r="S139" s="146">
        <f t="shared" si="20"/>
        <v>4.3058637519344023E-2</v>
      </c>
      <c r="T139" s="146">
        <f t="shared" si="21"/>
        <v>5.1013958388201219E-2</v>
      </c>
      <c r="U139" s="146">
        <f t="shared" si="22"/>
        <v>4.8710474074445287E-2</v>
      </c>
      <c r="V139" s="146">
        <f t="shared" si="23"/>
        <v>4.9511758677633244E-2</v>
      </c>
      <c r="W139" s="146">
        <f t="shared" si="24"/>
        <v>5.1984912991674959E-2</v>
      </c>
      <c r="X139" s="146">
        <f t="shared" si="24"/>
        <v>5.1950550309361132E-2</v>
      </c>
    </row>
    <row r="140" spans="1:24">
      <c r="A140" s="139" t="s">
        <v>347</v>
      </c>
      <c r="B140" s="139" t="s">
        <v>209</v>
      </c>
      <c r="C140" s="851">
        <v>377.37200000000001</v>
      </c>
      <c r="D140" s="851">
        <v>395.96199999999999</v>
      </c>
      <c r="E140" s="851">
        <v>416.01799999999997</v>
      </c>
      <c r="F140" s="851">
        <v>441.62599999999998</v>
      </c>
      <c r="G140" s="851">
        <v>474.03199999999998</v>
      </c>
      <c r="H140" s="851">
        <v>504.47199999999998</v>
      </c>
      <c r="I140" s="851">
        <v>534.74300000000005</v>
      </c>
      <c r="J140" s="851">
        <v>563.97500000000002</v>
      </c>
      <c r="K140" s="851">
        <v>594.65499999999997</v>
      </c>
      <c r="L140" s="851">
        <v>625.97199999999998</v>
      </c>
      <c r="M140" s="851">
        <v>2016</v>
      </c>
      <c r="N140" s="851"/>
      <c r="P140" s="146">
        <f t="shared" si="17"/>
        <v>4.9261736429835778E-2</v>
      </c>
      <c r="Q140" s="146">
        <f t="shared" si="18"/>
        <v>5.0651325127158531E-2</v>
      </c>
      <c r="R140" s="146">
        <f t="shared" si="19"/>
        <v>6.1555028868943262E-2</v>
      </c>
      <c r="S140" s="146">
        <f t="shared" si="20"/>
        <v>7.3378831862254579E-2</v>
      </c>
      <c r="T140" s="146">
        <f t="shared" si="21"/>
        <v>6.4215074087825341E-2</v>
      </c>
      <c r="U140" s="146">
        <f t="shared" si="22"/>
        <v>6.0005312485133189E-2</v>
      </c>
      <c r="V140" s="146">
        <f t="shared" si="23"/>
        <v>5.466551221801863E-2</v>
      </c>
      <c r="W140" s="146">
        <f t="shared" si="24"/>
        <v>5.4399574449222055E-2</v>
      </c>
      <c r="X140" s="146">
        <f t="shared" si="24"/>
        <v>5.266414980114531E-2</v>
      </c>
    </row>
    <row r="141" spans="1:24">
      <c r="A141" s="139" t="s">
        <v>348</v>
      </c>
      <c r="B141" s="139" t="s">
        <v>209</v>
      </c>
      <c r="C141" s="1168">
        <v>3794.61</v>
      </c>
      <c r="D141" s="1168">
        <v>3891.24</v>
      </c>
      <c r="E141" s="1168">
        <v>3822.19</v>
      </c>
      <c r="F141" s="1168">
        <v>3862.25</v>
      </c>
      <c r="G141" s="1168">
        <v>4000.1</v>
      </c>
      <c r="H141" s="1168">
        <v>4142.8500000000004</v>
      </c>
      <c r="I141" s="1168">
        <v>4294.7299999999996</v>
      </c>
      <c r="J141" s="1168">
        <v>4450.84</v>
      </c>
      <c r="K141" s="1168">
        <v>4611.43</v>
      </c>
      <c r="L141" s="1168">
        <v>4770.67</v>
      </c>
      <c r="M141" s="851">
        <v>2016</v>
      </c>
      <c r="N141" s="851"/>
      <c r="P141" s="146">
        <f t="shared" si="17"/>
        <v>2.5465067556349474E-2</v>
      </c>
      <c r="Q141" s="146">
        <f t="shared" si="18"/>
        <v>-1.7744986174072941E-2</v>
      </c>
      <c r="R141" s="146">
        <f t="shared" si="19"/>
        <v>1.048090230993215E-2</v>
      </c>
      <c r="S141" s="146">
        <f t="shared" si="20"/>
        <v>3.5691630526247575E-2</v>
      </c>
      <c r="T141" s="146">
        <f t="shared" si="21"/>
        <v>3.5686607834804152E-2</v>
      </c>
      <c r="U141" s="146">
        <f t="shared" si="22"/>
        <v>3.6660752863366897E-2</v>
      </c>
      <c r="V141" s="146">
        <f t="shared" si="23"/>
        <v>3.6349200066127629E-2</v>
      </c>
      <c r="W141" s="146">
        <f t="shared" si="24"/>
        <v>3.6080829686081728E-2</v>
      </c>
      <c r="X141" s="146">
        <f t="shared" si="24"/>
        <v>3.4531587815493259E-2</v>
      </c>
    </row>
    <row r="142" spans="1:24">
      <c r="A142" s="139" t="s">
        <v>349</v>
      </c>
      <c r="B142" s="139" t="s">
        <v>209</v>
      </c>
      <c r="C142" s="851">
        <v>17.617000000000001</v>
      </c>
      <c r="D142" s="851">
        <v>19.3</v>
      </c>
      <c r="E142" s="851">
        <v>21.24</v>
      </c>
      <c r="F142" s="851">
        <v>22.786999999999999</v>
      </c>
      <c r="G142" s="851">
        <v>24.611999999999998</v>
      </c>
      <c r="H142" s="851">
        <v>26.800999999999998</v>
      </c>
      <c r="I142" s="851">
        <v>29.358000000000001</v>
      </c>
      <c r="J142" s="851">
        <v>32.223999999999997</v>
      </c>
      <c r="K142" s="851">
        <v>35.353000000000002</v>
      </c>
      <c r="L142" s="851">
        <v>38.728999999999999</v>
      </c>
      <c r="M142" s="851">
        <v>2016</v>
      </c>
      <c r="N142" s="851"/>
      <c r="P142" s="146">
        <f t="shared" si="17"/>
        <v>9.5532724073338349E-2</v>
      </c>
      <c r="Q142" s="146">
        <f t="shared" si="18"/>
        <v>0.10051813471502569</v>
      </c>
      <c r="R142" s="146">
        <f t="shared" si="19"/>
        <v>7.2834274952919165E-2</v>
      </c>
      <c r="S142" s="146">
        <f t="shared" si="20"/>
        <v>8.0089524729012096E-2</v>
      </c>
      <c r="T142" s="146">
        <f t="shared" si="21"/>
        <v>8.8940354298716162E-2</v>
      </c>
      <c r="U142" s="146">
        <f t="shared" si="22"/>
        <v>9.5406887802693907E-2</v>
      </c>
      <c r="V142" s="146">
        <f t="shared" si="23"/>
        <v>9.762245384562962E-2</v>
      </c>
      <c r="W142" s="146">
        <f t="shared" si="24"/>
        <v>9.7101539225422195E-2</v>
      </c>
      <c r="X142" s="146">
        <f t="shared" si="24"/>
        <v>9.549401748083608E-2</v>
      </c>
    </row>
    <row r="143" spans="1:24">
      <c r="A143" s="139" t="s">
        <v>350</v>
      </c>
      <c r="B143" s="139" t="s">
        <v>209</v>
      </c>
      <c r="C143" s="851">
        <v>0.94699999999999995</v>
      </c>
      <c r="D143" s="851">
        <v>0.97499999999999998</v>
      </c>
      <c r="E143" s="851">
        <v>1.002</v>
      </c>
      <c r="F143" s="851">
        <v>1.087</v>
      </c>
      <c r="G143" s="851">
        <v>1.1299999999999999</v>
      </c>
      <c r="H143" s="851">
        <v>1.163</v>
      </c>
      <c r="I143" s="851">
        <v>1.208</v>
      </c>
      <c r="J143" s="851">
        <v>1.26</v>
      </c>
      <c r="K143" s="851">
        <v>1.3129999999999999</v>
      </c>
      <c r="L143" s="851">
        <v>1.367</v>
      </c>
      <c r="M143" s="851">
        <v>2016</v>
      </c>
      <c r="N143" s="851"/>
      <c r="P143" s="146">
        <f t="shared" si="17"/>
        <v>2.9567053854276715E-2</v>
      </c>
      <c r="Q143" s="146">
        <f t="shared" si="18"/>
        <v>2.7692307692307683E-2</v>
      </c>
      <c r="R143" s="146">
        <f t="shared" si="19"/>
        <v>8.4830339321357195E-2</v>
      </c>
      <c r="S143" s="146">
        <f t="shared" si="20"/>
        <v>3.9558417663293488E-2</v>
      </c>
      <c r="T143" s="146">
        <f t="shared" si="21"/>
        <v>2.920353982300905E-2</v>
      </c>
      <c r="U143" s="146">
        <f t="shared" si="22"/>
        <v>3.8693035253654307E-2</v>
      </c>
      <c r="V143" s="146">
        <f t="shared" si="23"/>
        <v>4.3046357615894149E-2</v>
      </c>
      <c r="W143" s="146">
        <f t="shared" si="24"/>
        <v>4.2063492063491914E-2</v>
      </c>
      <c r="X143" s="146">
        <f t="shared" si="24"/>
        <v>4.1127189642041095E-2</v>
      </c>
    </row>
    <row r="144" spans="1:24">
      <c r="A144" s="139" t="s">
        <v>351</v>
      </c>
      <c r="B144" s="139" t="s">
        <v>209</v>
      </c>
      <c r="C144" s="851">
        <v>1.931</v>
      </c>
      <c r="D144" s="851">
        <v>1.9470000000000001</v>
      </c>
      <c r="E144" s="851">
        <v>1.978</v>
      </c>
      <c r="F144" s="851">
        <v>2.0230000000000001</v>
      </c>
      <c r="G144" s="851">
        <v>2.0830000000000002</v>
      </c>
      <c r="H144" s="851">
        <v>2.1509999999999998</v>
      </c>
      <c r="I144" s="851">
        <v>2.2250000000000001</v>
      </c>
      <c r="J144" s="851">
        <v>2.3010000000000002</v>
      </c>
      <c r="K144" s="851">
        <v>2.379</v>
      </c>
      <c r="L144" s="851">
        <v>2.4569999999999999</v>
      </c>
      <c r="M144" s="851">
        <v>2015</v>
      </c>
      <c r="N144" s="851"/>
      <c r="P144" s="146">
        <f t="shared" si="17"/>
        <v>8.2858622475401322E-3</v>
      </c>
      <c r="Q144" s="146">
        <f t="shared" si="18"/>
        <v>1.5921931176168469E-2</v>
      </c>
      <c r="R144" s="146">
        <f t="shared" si="19"/>
        <v>2.2750252780586511E-2</v>
      </c>
      <c r="S144" s="146">
        <f t="shared" si="20"/>
        <v>2.9658922392486353E-2</v>
      </c>
      <c r="T144" s="146">
        <f t="shared" si="21"/>
        <v>3.2645223235717502E-2</v>
      </c>
      <c r="U144" s="146">
        <f t="shared" si="22"/>
        <v>3.4402603440260471E-2</v>
      </c>
      <c r="V144" s="146">
        <f t="shared" si="23"/>
        <v>3.4157303370786485E-2</v>
      </c>
      <c r="W144" s="146">
        <f t="shared" si="24"/>
        <v>3.3898305084745672E-2</v>
      </c>
      <c r="X144" s="146">
        <f t="shared" si="24"/>
        <v>3.2786885245901676E-2</v>
      </c>
    </row>
    <row r="145" spans="1:24">
      <c r="A145" s="139" t="s">
        <v>352</v>
      </c>
      <c r="B145" s="139" t="s">
        <v>209</v>
      </c>
      <c r="C145" s="851">
        <v>0.54400000000000004</v>
      </c>
      <c r="D145" s="851">
        <v>0.57599999999999996</v>
      </c>
      <c r="E145" s="851">
        <v>0.60599999999999998</v>
      </c>
      <c r="F145" s="851">
        <v>0.63800000000000001</v>
      </c>
      <c r="G145" s="851">
        <v>0.68200000000000005</v>
      </c>
      <c r="H145" s="851">
        <v>0.73299999999999998</v>
      </c>
      <c r="I145" s="851">
        <v>0.79</v>
      </c>
      <c r="J145" s="851">
        <v>0.85099999999999998</v>
      </c>
      <c r="K145" s="851">
        <v>0.91700000000000004</v>
      </c>
      <c r="L145" s="851">
        <v>0.98599999999999999</v>
      </c>
      <c r="M145" s="851">
        <v>2015</v>
      </c>
      <c r="N145" s="851"/>
      <c r="P145" s="146">
        <f t="shared" si="17"/>
        <v>5.8823529411764497E-2</v>
      </c>
      <c r="Q145" s="146">
        <f t="shared" si="18"/>
        <v>5.2083333333333481E-2</v>
      </c>
      <c r="R145" s="146">
        <f t="shared" si="19"/>
        <v>5.2805280528052778E-2</v>
      </c>
      <c r="S145" s="146">
        <f t="shared" si="20"/>
        <v>6.8965517241379448E-2</v>
      </c>
      <c r="T145" s="146">
        <f t="shared" si="21"/>
        <v>7.4780058651026327E-2</v>
      </c>
      <c r="U145" s="146">
        <f t="shared" si="22"/>
        <v>7.776261937244211E-2</v>
      </c>
      <c r="V145" s="146">
        <f t="shared" si="23"/>
        <v>7.7215189873417689E-2</v>
      </c>
      <c r="W145" s="146">
        <f t="shared" si="24"/>
        <v>7.7555816686251555E-2</v>
      </c>
      <c r="X145" s="146">
        <f t="shared" si="24"/>
        <v>7.5245365321701119E-2</v>
      </c>
    </row>
    <row r="146" spans="1:24">
      <c r="A146" s="139" t="s">
        <v>353</v>
      </c>
      <c r="B146" s="139" t="s">
        <v>209</v>
      </c>
      <c r="C146" s="1168">
        <v>1534.71</v>
      </c>
      <c r="D146" s="1168">
        <v>1619.73</v>
      </c>
      <c r="E146" s="1168">
        <v>1704.52</v>
      </c>
      <c r="F146" s="1168">
        <v>1756.33</v>
      </c>
      <c r="G146" s="1168">
        <v>1789.26</v>
      </c>
      <c r="H146" s="1168">
        <v>1844.56</v>
      </c>
      <c r="I146" s="1168">
        <v>1914.64</v>
      </c>
      <c r="J146" s="1168">
        <v>1990.99</v>
      </c>
      <c r="K146" s="1168">
        <v>2072.8000000000002</v>
      </c>
      <c r="L146" s="1168">
        <v>2154.94</v>
      </c>
      <c r="M146" s="851">
        <v>2016</v>
      </c>
      <c r="N146" s="851"/>
      <c r="P146" s="146">
        <f t="shared" si="17"/>
        <v>5.539808823816883E-2</v>
      </c>
      <c r="Q146" s="146">
        <f t="shared" si="18"/>
        <v>5.2348230877985902E-2</v>
      </c>
      <c r="R146" s="146">
        <f t="shared" si="19"/>
        <v>3.0395653908431575E-2</v>
      </c>
      <c r="S146" s="146">
        <f t="shared" si="20"/>
        <v>1.8749323874215129E-2</v>
      </c>
      <c r="T146" s="146">
        <f t="shared" si="21"/>
        <v>3.0906631791913997E-2</v>
      </c>
      <c r="U146" s="146">
        <f t="shared" si="22"/>
        <v>3.799280045105613E-2</v>
      </c>
      <c r="V146" s="146">
        <f t="shared" si="23"/>
        <v>3.9876948146910118E-2</v>
      </c>
      <c r="W146" s="146">
        <f t="shared" si="24"/>
        <v>4.1090110949829173E-2</v>
      </c>
      <c r="X146" s="146">
        <f t="shared" si="24"/>
        <v>3.9627556927827046E-2</v>
      </c>
    </row>
    <row r="147" spans="1:24">
      <c r="A147" s="139" t="s">
        <v>354</v>
      </c>
      <c r="B147" s="139" t="s">
        <v>209</v>
      </c>
      <c r="C147" s="851">
        <v>32.151000000000003</v>
      </c>
      <c r="D147" s="851">
        <v>34.07</v>
      </c>
      <c r="E147" s="851">
        <v>36.664999999999999</v>
      </c>
      <c r="F147" s="851">
        <v>39.637</v>
      </c>
      <c r="G147" s="851">
        <v>43.07</v>
      </c>
      <c r="H147" s="851">
        <v>46.994999999999997</v>
      </c>
      <c r="I147" s="851">
        <v>51.387999999999998</v>
      </c>
      <c r="J147" s="851">
        <v>56.167999999999999</v>
      </c>
      <c r="K147" s="851">
        <v>61.408999999999999</v>
      </c>
      <c r="L147" s="851">
        <v>66.578000000000003</v>
      </c>
      <c r="M147" s="851">
        <v>2016</v>
      </c>
      <c r="N147" s="851"/>
      <c r="P147" s="146">
        <f t="shared" si="17"/>
        <v>5.9687101489844796E-2</v>
      </c>
      <c r="Q147" s="146">
        <f t="shared" si="18"/>
        <v>7.6166715585559208E-2</v>
      </c>
      <c r="R147" s="146">
        <f t="shared" si="19"/>
        <v>8.1058229919541924E-2</v>
      </c>
      <c r="S147" s="146">
        <f t="shared" si="20"/>
        <v>8.6610994777606809E-2</v>
      </c>
      <c r="T147" s="146">
        <f t="shared" si="21"/>
        <v>9.1130717436730846E-2</v>
      </c>
      <c r="U147" s="146">
        <f t="shared" si="22"/>
        <v>9.3478029577614752E-2</v>
      </c>
      <c r="V147" s="146">
        <f t="shared" si="23"/>
        <v>9.3017825173192126E-2</v>
      </c>
      <c r="W147" s="146">
        <f t="shared" si="24"/>
        <v>9.3309357641361723E-2</v>
      </c>
      <c r="X147" s="146">
        <f t="shared" si="24"/>
        <v>8.4173329642234895E-2</v>
      </c>
    </row>
    <row r="148" spans="1:24">
      <c r="A148" s="139" t="s">
        <v>355</v>
      </c>
      <c r="B148" s="139" t="s">
        <v>209</v>
      </c>
      <c r="C148" s="851">
        <v>96.019000000000005</v>
      </c>
      <c r="D148" s="851">
        <v>95.953000000000003</v>
      </c>
      <c r="E148" s="851">
        <v>97.727999999999994</v>
      </c>
      <c r="F148" s="851">
        <v>101.72499999999999</v>
      </c>
      <c r="G148" s="851">
        <v>106.602</v>
      </c>
      <c r="H148" s="851">
        <v>112.47499999999999</v>
      </c>
      <c r="I148" s="851">
        <v>118.896</v>
      </c>
      <c r="J148" s="851">
        <v>126.252</v>
      </c>
      <c r="K148" s="851">
        <v>134.03</v>
      </c>
      <c r="L148" s="851">
        <v>142.07300000000001</v>
      </c>
      <c r="M148" s="851">
        <v>2016</v>
      </c>
      <c r="N148" s="851"/>
      <c r="P148" s="146">
        <f t="shared" si="17"/>
        <v>-6.873639592164249E-4</v>
      </c>
      <c r="Q148" s="146">
        <f t="shared" si="18"/>
        <v>1.8498639959146468E-2</v>
      </c>
      <c r="R148" s="146">
        <f t="shared" si="19"/>
        <v>4.0899230517354335E-2</v>
      </c>
      <c r="S148" s="146">
        <f t="shared" si="20"/>
        <v>4.794298353403792E-2</v>
      </c>
      <c r="T148" s="146">
        <f t="shared" si="21"/>
        <v>5.5092774994840443E-2</v>
      </c>
      <c r="U148" s="146">
        <f t="shared" si="22"/>
        <v>5.7088241831518172E-2</v>
      </c>
      <c r="V148" s="146">
        <f t="shared" si="23"/>
        <v>6.1869196608800969E-2</v>
      </c>
      <c r="W148" s="146">
        <f t="shared" si="24"/>
        <v>6.1606944840477906E-2</v>
      </c>
      <c r="X148" s="146">
        <f t="shared" si="24"/>
        <v>6.0008953219428562E-2</v>
      </c>
    </row>
    <row r="149" spans="1:24">
      <c r="A149" s="139" t="s">
        <v>356</v>
      </c>
      <c r="B149" s="139" t="s">
        <v>209</v>
      </c>
      <c r="C149" s="851">
        <v>2.1440000000000001</v>
      </c>
      <c r="D149" s="851">
        <v>2.2810000000000001</v>
      </c>
      <c r="E149" s="851">
        <v>2.4209999999999998</v>
      </c>
      <c r="F149" s="851">
        <v>2.5609999999999999</v>
      </c>
      <c r="G149" s="851">
        <v>2.7120000000000002</v>
      </c>
      <c r="H149" s="851">
        <v>2.8570000000000002</v>
      </c>
      <c r="I149" s="851">
        <v>3.0139999999999998</v>
      </c>
      <c r="J149" s="851">
        <v>3.1779999999999999</v>
      </c>
      <c r="K149" s="851">
        <v>3.3769999999999998</v>
      </c>
      <c r="L149" s="851">
        <v>3.5790000000000002</v>
      </c>
      <c r="M149" s="851">
        <v>2015</v>
      </c>
      <c r="N149" s="851"/>
      <c r="P149" s="146">
        <f t="shared" si="17"/>
        <v>6.3899253731343197E-2</v>
      </c>
      <c r="Q149" s="146">
        <f t="shared" si="18"/>
        <v>6.1376589215256239E-2</v>
      </c>
      <c r="R149" s="146">
        <f t="shared" si="19"/>
        <v>5.7827344072697295E-2</v>
      </c>
      <c r="S149" s="146">
        <f t="shared" si="20"/>
        <v>5.8961343225302665E-2</v>
      </c>
      <c r="T149" s="146">
        <f t="shared" si="21"/>
        <v>5.346607669616521E-2</v>
      </c>
      <c r="U149" s="146">
        <f t="shared" si="22"/>
        <v>5.4952747637381671E-2</v>
      </c>
      <c r="V149" s="146">
        <f t="shared" si="23"/>
        <v>5.441274054412748E-2</v>
      </c>
      <c r="W149" s="146">
        <f t="shared" si="24"/>
        <v>6.2617998741346659E-2</v>
      </c>
      <c r="X149" s="146">
        <f t="shared" si="24"/>
        <v>5.9816405093278124E-2</v>
      </c>
    </row>
    <row r="150" spans="1:24">
      <c r="A150" s="139" t="s">
        <v>357</v>
      </c>
      <c r="B150" s="139" t="s">
        <v>209</v>
      </c>
      <c r="C150" s="851">
        <v>11.856</v>
      </c>
      <c r="D150" s="851">
        <v>12.619</v>
      </c>
      <c r="E150" s="851">
        <v>10.141999999999999</v>
      </c>
      <c r="F150" s="851">
        <v>10.895</v>
      </c>
      <c r="G150" s="851">
        <v>11.753</v>
      </c>
      <c r="H150" s="851">
        <v>12.712</v>
      </c>
      <c r="I150" s="851">
        <v>13.861000000000001</v>
      </c>
      <c r="J150" s="851">
        <v>15.112</v>
      </c>
      <c r="K150" s="851">
        <v>16.523</v>
      </c>
      <c r="L150" s="851">
        <v>18.082000000000001</v>
      </c>
      <c r="M150" s="851">
        <v>2016</v>
      </c>
      <c r="N150" s="851"/>
      <c r="P150" s="146">
        <f t="shared" si="17"/>
        <v>6.4355600539811153E-2</v>
      </c>
      <c r="Q150" s="146">
        <f t="shared" si="18"/>
        <v>-0.19629130675964823</v>
      </c>
      <c r="R150" s="146">
        <f t="shared" si="19"/>
        <v>7.4245710905146867E-2</v>
      </c>
      <c r="S150" s="146">
        <f t="shared" si="20"/>
        <v>7.8751720972923378E-2</v>
      </c>
      <c r="T150" s="146">
        <f t="shared" si="21"/>
        <v>8.1596188207266218E-2</v>
      </c>
      <c r="U150" s="146">
        <f t="shared" si="22"/>
        <v>9.0387035871617449E-2</v>
      </c>
      <c r="V150" s="146">
        <f t="shared" si="23"/>
        <v>9.0253228482793491E-2</v>
      </c>
      <c r="W150" s="146">
        <f t="shared" si="24"/>
        <v>9.3369507676019037E-2</v>
      </c>
      <c r="X150" s="146">
        <f t="shared" si="24"/>
        <v>9.4353325667251742E-2</v>
      </c>
    </row>
    <row r="151" spans="1:24">
      <c r="A151" s="139" t="s">
        <v>358</v>
      </c>
      <c r="B151" s="139" t="s">
        <v>209</v>
      </c>
      <c r="C151" s="851">
        <v>438.88600000000002</v>
      </c>
      <c r="D151" s="851">
        <v>462.72300000000001</v>
      </c>
      <c r="E151" s="851">
        <v>476.78</v>
      </c>
      <c r="F151" s="851">
        <v>492.50200000000001</v>
      </c>
      <c r="G151" s="851">
        <v>513.74400000000003</v>
      </c>
      <c r="H151" s="851">
        <v>537.447</v>
      </c>
      <c r="I151" s="851">
        <v>563.36199999999997</v>
      </c>
      <c r="J151" s="851">
        <v>590.39800000000002</v>
      </c>
      <c r="K151" s="851">
        <v>618.51300000000003</v>
      </c>
      <c r="L151" s="851">
        <v>646.88099999999997</v>
      </c>
      <c r="M151" s="851">
        <v>2016</v>
      </c>
      <c r="N151" s="851"/>
      <c r="P151" s="146">
        <f t="shared" si="17"/>
        <v>5.431250939879595E-2</v>
      </c>
      <c r="Q151" s="146">
        <f t="shared" si="18"/>
        <v>3.0378865973811564E-2</v>
      </c>
      <c r="R151" s="146">
        <f t="shared" si="19"/>
        <v>3.297537648391291E-2</v>
      </c>
      <c r="S151" s="146">
        <f t="shared" si="20"/>
        <v>4.3130789316591756E-2</v>
      </c>
      <c r="T151" s="146">
        <f t="shared" si="21"/>
        <v>4.6137765112585161E-2</v>
      </c>
      <c r="U151" s="146">
        <f t="shared" si="22"/>
        <v>4.8218708077261585E-2</v>
      </c>
      <c r="V151" s="146">
        <f t="shared" si="23"/>
        <v>4.7990457290339128E-2</v>
      </c>
      <c r="W151" s="146">
        <f t="shared" si="24"/>
        <v>4.762041876835621E-2</v>
      </c>
      <c r="X151" s="146">
        <f t="shared" si="24"/>
        <v>4.5864840350970715E-2</v>
      </c>
    </row>
    <row r="152" spans="1:24">
      <c r="A152" s="139" t="s">
        <v>359</v>
      </c>
      <c r="B152" s="139" t="s">
        <v>209</v>
      </c>
      <c r="C152" s="851">
        <v>148.30799999999999</v>
      </c>
      <c r="D152" s="851">
        <v>154.851</v>
      </c>
      <c r="E152" s="851">
        <v>162.52699999999999</v>
      </c>
      <c r="F152" s="851">
        <v>170.00800000000001</v>
      </c>
      <c r="G152" s="851">
        <v>178.66</v>
      </c>
      <c r="H152" s="851">
        <v>188.86699999999999</v>
      </c>
      <c r="I152" s="851">
        <v>200.42</v>
      </c>
      <c r="J152" s="851">
        <v>211.798</v>
      </c>
      <c r="K152" s="851">
        <v>223.547</v>
      </c>
      <c r="L152" s="851">
        <v>235.596</v>
      </c>
      <c r="M152" s="851">
        <v>2016</v>
      </c>
      <c r="N152" s="851"/>
      <c r="P152" s="146">
        <f t="shared" si="17"/>
        <v>4.4117647058823595E-2</v>
      </c>
      <c r="Q152" s="146">
        <f t="shared" si="18"/>
        <v>4.9570232029499284E-2</v>
      </c>
      <c r="R152" s="146">
        <f t="shared" si="19"/>
        <v>4.6029275135823777E-2</v>
      </c>
      <c r="S152" s="146">
        <f t="shared" si="20"/>
        <v>5.0891722742459011E-2</v>
      </c>
      <c r="T152" s="146">
        <f t="shared" si="21"/>
        <v>5.7130863091906292E-2</v>
      </c>
      <c r="U152" s="146">
        <f t="shared" si="22"/>
        <v>6.1170029703442097E-2</v>
      </c>
      <c r="V152" s="146">
        <f t="shared" si="23"/>
        <v>5.6770781359145817E-2</v>
      </c>
      <c r="W152" s="146">
        <f t="shared" si="24"/>
        <v>5.5472667352855165E-2</v>
      </c>
      <c r="X152" s="146">
        <f t="shared" si="24"/>
        <v>5.3899180038202266E-2</v>
      </c>
    </row>
    <row r="153" spans="1:24">
      <c r="A153" s="139" t="s">
        <v>360</v>
      </c>
      <c r="B153" s="139" t="s">
        <v>209</v>
      </c>
      <c r="C153" s="851">
        <v>58.747</v>
      </c>
      <c r="D153" s="851">
        <v>61.584000000000003</v>
      </c>
      <c r="E153" s="851">
        <v>63.658000000000001</v>
      </c>
      <c r="F153" s="851">
        <v>66.498999999999995</v>
      </c>
      <c r="G153" s="851">
        <v>70.358999999999995</v>
      </c>
      <c r="H153" s="851">
        <v>73.534999999999997</v>
      </c>
      <c r="I153" s="851">
        <v>76.667000000000002</v>
      </c>
      <c r="J153" s="851">
        <v>79.662000000000006</v>
      </c>
      <c r="K153" s="851">
        <v>82.775000000000006</v>
      </c>
      <c r="L153" s="851">
        <v>85.88</v>
      </c>
      <c r="M153" s="851">
        <v>2016</v>
      </c>
      <c r="N153" s="851"/>
      <c r="P153" s="146">
        <f t="shared" si="17"/>
        <v>4.8291827667795939E-2</v>
      </c>
      <c r="Q153" s="146">
        <f t="shared" si="18"/>
        <v>3.367757859184195E-2</v>
      </c>
      <c r="R153" s="146">
        <f t="shared" si="19"/>
        <v>4.4629111816268052E-2</v>
      </c>
      <c r="S153" s="146">
        <f t="shared" si="20"/>
        <v>5.8045985653919496E-2</v>
      </c>
      <c r="T153" s="146">
        <f t="shared" si="21"/>
        <v>4.5139925240551992E-2</v>
      </c>
      <c r="U153" s="146">
        <f t="shared" si="22"/>
        <v>4.259196301081114E-2</v>
      </c>
      <c r="V153" s="146">
        <f t="shared" si="23"/>
        <v>3.9065047543271669E-2</v>
      </c>
      <c r="W153" s="146">
        <f t="shared" si="24"/>
        <v>3.9077602872134687E-2</v>
      </c>
      <c r="X153" s="146">
        <f t="shared" si="24"/>
        <v>3.7511325883418767E-2</v>
      </c>
    </row>
    <row r="154" spans="1:24">
      <c r="A154" s="139" t="s">
        <v>361</v>
      </c>
      <c r="B154" s="139" t="s">
        <v>209</v>
      </c>
      <c r="C154" s="851">
        <v>1.1140000000000001</v>
      </c>
      <c r="D154" s="851">
        <v>1.1599999999999999</v>
      </c>
      <c r="E154" s="851">
        <v>1.202</v>
      </c>
      <c r="F154" s="851">
        <v>1.2569999999999999</v>
      </c>
      <c r="G154" s="851">
        <v>1.3169999999999999</v>
      </c>
      <c r="H154" s="851">
        <v>1.3839999999999999</v>
      </c>
      <c r="I154" s="851">
        <v>1.4530000000000001</v>
      </c>
      <c r="J154" s="851">
        <v>1.524</v>
      </c>
      <c r="K154" s="851">
        <v>1.597</v>
      </c>
      <c r="L154" s="851">
        <v>1.671</v>
      </c>
      <c r="M154" s="851">
        <v>2016</v>
      </c>
      <c r="N154" s="851"/>
      <c r="P154" s="146">
        <f t="shared" si="17"/>
        <v>4.1292639138240439E-2</v>
      </c>
      <c r="Q154" s="146">
        <f t="shared" si="18"/>
        <v>3.6206896551724155E-2</v>
      </c>
      <c r="R154" s="146">
        <f t="shared" si="19"/>
        <v>4.5757071547420924E-2</v>
      </c>
      <c r="S154" s="146">
        <f t="shared" si="20"/>
        <v>4.7732696897374804E-2</v>
      </c>
      <c r="T154" s="146">
        <f t="shared" si="21"/>
        <v>5.0873196659073638E-2</v>
      </c>
      <c r="U154" s="146">
        <f t="shared" si="22"/>
        <v>4.9855491329479973E-2</v>
      </c>
      <c r="V154" s="146">
        <f t="shared" si="23"/>
        <v>4.8864418444597435E-2</v>
      </c>
      <c r="W154" s="146">
        <f t="shared" si="24"/>
        <v>4.790026246719159E-2</v>
      </c>
      <c r="X154" s="146">
        <f t="shared" si="24"/>
        <v>4.6336881653099571E-2</v>
      </c>
    </row>
    <row r="155" spans="1:24">
      <c r="A155" s="139" t="s">
        <v>362</v>
      </c>
      <c r="B155" s="139" t="s">
        <v>209</v>
      </c>
      <c r="C155" s="851">
        <v>14.523999999999999</v>
      </c>
      <c r="D155" s="851">
        <v>15.317</v>
      </c>
      <c r="E155" s="851">
        <v>16.041</v>
      </c>
      <c r="F155" s="851">
        <v>16.765000000000001</v>
      </c>
      <c r="G155" s="851">
        <v>17.471</v>
      </c>
      <c r="H155" s="851">
        <v>18.437999999999999</v>
      </c>
      <c r="I155" s="851">
        <v>19.489999999999998</v>
      </c>
      <c r="J155" s="851">
        <v>20.597000000000001</v>
      </c>
      <c r="K155" s="851">
        <v>21.824000000000002</v>
      </c>
      <c r="L155" s="851">
        <v>23.09</v>
      </c>
      <c r="M155" s="851">
        <v>2015</v>
      </c>
      <c r="N155" s="851"/>
      <c r="P155" s="146">
        <f t="shared" si="17"/>
        <v>5.459928394381719E-2</v>
      </c>
      <c r="Q155" s="146">
        <f t="shared" si="18"/>
        <v>4.7267741724880796E-2</v>
      </c>
      <c r="R155" s="146">
        <f t="shared" si="19"/>
        <v>4.5134343245433639E-2</v>
      </c>
      <c r="S155" s="146">
        <f t="shared" si="20"/>
        <v>4.2111541902773553E-2</v>
      </c>
      <c r="T155" s="146">
        <f t="shared" si="21"/>
        <v>5.5348863831492068E-2</v>
      </c>
      <c r="U155" s="146">
        <f t="shared" si="22"/>
        <v>5.7056079835123175E-2</v>
      </c>
      <c r="V155" s="146">
        <f t="shared" si="23"/>
        <v>5.6798358132375659E-2</v>
      </c>
      <c r="W155" s="146">
        <f t="shared" si="24"/>
        <v>5.9571782298392995E-2</v>
      </c>
      <c r="X155" s="146">
        <f t="shared" si="24"/>
        <v>5.8009530791788722E-2</v>
      </c>
    </row>
    <row r="156" spans="1:24">
      <c r="A156" s="139" t="s">
        <v>363</v>
      </c>
      <c r="B156" s="139" t="s">
        <v>209</v>
      </c>
      <c r="C156" s="851">
        <v>686.63599999999997</v>
      </c>
      <c r="D156" s="851">
        <v>710.83900000000006</v>
      </c>
      <c r="E156" s="851">
        <v>727.88</v>
      </c>
      <c r="F156" s="851">
        <v>739.226</v>
      </c>
      <c r="G156" s="851">
        <v>757.33399999999995</v>
      </c>
      <c r="H156" s="851">
        <v>780.14700000000005</v>
      </c>
      <c r="I156" s="851">
        <v>809.39599999999996</v>
      </c>
      <c r="J156" s="851">
        <v>844.58799999999997</v>
      </c>
      <c r="K156" s="851">
        <v>881.08399999999995</v>
      </c>
      <c r="L156" s="851">
        <v>917.78200000000004</v>
      </c>
      <c r="M156" s="851">
        <v>2016</v>
      </c>
      <c r="N156" s="851"/>
      <c r="P156" s="146">
        <f t="shared" si="17"/>
        <v>3.5248661590711938E-2</v>
      </c>
      <c r="Q156" s="146">
        <f t="shared" si="18"/>
        <v>2.3973079698778488E-2</v>
      </c>
      <c r="R156" s="146">
        <f t="shared" si="19"/>
        <v>1.5587734241907958E-2</v>
      </c>
      <c r="S156" s="146">
        <f t="shared" si="20"/>
        <v>2.4495891648832702E-2</v>
      </c>
      <c r="T156" s="146">
        <f t="shared" si="21"/>
        <v>3.0122772779249463E-2</v>
      </c>
      <c r="U156" s="146">
        <f t="shared" si="22"/>
        <v>3.7491652214262094E-2</v>
      </c>
      <c r="V156" s="146">
        <f t="shared" si="23"/>
        <v>4.3479335207982306E-2</v>
      </c>
      <c r="W156" s="146">
        <f t="shared" si="24"/>
        <v>4.321160139618363E-2</v>
      </c>
      <c r="X156" s="146">
        <f t="shared" si="24"/>
        <v>4.1650966309682236E-2</v>
      </c>
    </row>
    <row r="157" spans="1:24">
      <c r="A157" s="139" t="s">
        <v>364</v>
      </c>
      <c r="B157" s="139" t="s">
        <v>209</v>
      </c>
      <c r="C157" s="851">
        <v>22.446000000000002</v>
      </c>
      <c r="D157" s="851">
        <v>23.515000000000001</v>
      </c>
      <c r="E157" s="851">
        <v>23.728999999999999</v>
      </c>
      <c r="F157" s="851">
        <v>20.707000000000001</v>
      </c>
      <c r="G157" s="851">
        <v>19.75</v>
      </c>
      <c r="H157" s="851">
        <v>19.446000000000002</v>
      </c>
      <c r="I157" s="851">
        <v>19.96</v>
      </c>
      <c r="J157" s="851">
        <v>21.564</v>
      </c>
      <c r="K157" s="851">
        <v>24.716999999999999</v>
      </c>
      <c r="L157" s="851">
        <v>26.17</v>
      </c>
      <c r="M157" s="851">
        <v>2015</v>
      </c>
      <c r="N157" s="851"/>
      <c r="P157" s="146">
        <f t="shared" si="17"/>
        <v>4.7625412100151365E-2</v>
      </c>
      <c r="Q157" s="146">
        <f t="shared" si="18"/>
        <v>9.1005741016372266E-3</v>
      </c>
      <c r="R157" s="146">
        <f t="shared" si="19"/>
        <v>-0.12735471364153561</v>
      </c>
      <c r="S157" s="146">
        <f t="shared" si="20"/>
        <v>-4.621625537257934E-2</v>
      </c>
      <c r="T157" s="146">
        <f t="shared" si="21"/>
        <v>-1.5392405063291092E-2</v>
      </c>
      <c r="U157" s="146">
        <f t="shared" si="22"/>
        <v>2.6432171140594374E-2</v>
      </c>
      <c r="V157" s="146">
        <f t="shared" si="23"/>
        <v>8.0360721442885641E-2</v>
      </c>
      <c r="W157" s="146">
        <f t="shared" si="24"/>
        <v>0.1462159154145799</v>
      </c>
      <c r="X157" s="146">
        <f t="shared" si="24"/>
        <v>5.8785451308815961E-2</v>
      </c>
    </row>
    <row r="158" spans="1:24">
      <c r="A158" s="139" t="s">
        <v>365</v>
      </c>
      <c r="B158" s="139" t="s">
        <v>209</v>
      </c>
      <c r="C158" s="1168">
        <v>1498.26</v>
      </c>
      <c r="D158" s="1168">
        <v>1546.19</v>
      </c>
      <c r="E158" s="1168">
        <v>1613.01</v>
      </c>
      <c r="F158" s="1168">
        <v>1686.45</v>
      </c>
      <c r="G158" s="1168">
        <v>1768.57</v>
      </c>
      <c r="H158" s="1168">
        <v>1848.13</v>
      </c>
      <c r="I158" s="1168">
        <v>1925.59</v>
      </c>
      <c r="J158" s="1168">
        <v>2002.75</v>
      </c>
      <c r="K158" s="1168">
        <v>2078.25</v>
      </c>
      <c r="L158" s="1168">
        <v>2153.88</v>
      </c>
      <c r="M158" s="851">
        <v>2016</v>
      </c>
      <c r="N158" s="851"/>
      <c r="P158" s="146">
        <f t="shared" si="17"/>
        <v>3.1990442246339068E-2</v>
      </c>
      <c r="Q158" s="146">
        <f t="shared" si="18"/>
        <v>4.3215904901726221E-2</v>
      </c>
      <c r="R158" s="146">
        <f t="shared" si="19"/>
        <v>4.5529785928171584E-2</v>
      </c>
      <c r="S158" s="146">
        <f t="shared" si="20"/>
        <v>4.8694002193957697E-2</v>
      </c>
      <c r="T158" s="146">
        <f t="shared" si="21"/>
        <v>4.4985496757267374E-2</v>
      </c>
      <c r="U158" s="146">
        <f t="shared" si="22"/>
        <v>4.1912636015864591E-2</v>
      </c>
      <c r="V158" s="146">
        <f t="shared" si="23"/>
        <v>4.0070835432257201E-2</v>
      </c>
      <c r="W158" s="146">
        <f t="shared" si="24"/>
        <v>3.76981650230932E-2</v>
      </c>
      <c r="X158" s="146">
        <f t="shared" si="24"/>
        <v>3.639119451461581E-2</v>
      </c>
    </row>
    <row r="159" spans="1:24">
      <c r="A159" s="139" t="s">
        <v>366</v>
      </c>
      <c r="B159" s="139" t="s">
        <v>209</v>
      </c>
      <c r="C159" s="851">
        <v>218.113</v>
      </c>
      <c r="D159" s="851">
        <v>233.041</v>
      </c>
      <c r="E159" s="851">
        <v>246.96600000000001</v>
      </c>
      <c r="F159" s="851">
        <v>261.07100000000003</v>
      </c>
      <c r="G159" s="851">
        <v>278.173</v>
      </c>
      <c r="H159" s="851">
        <v>297.18299999999999</v>
      </c>
      <c r="I159" s="851">
        <v>318.39800000000002</v>
      </c>
      <c r="J159" s="851">
        <v>341.35</v>
      </c>
      <c r="K159" s="851">
        <v>366.21</v>
      </c>
      <c r="L159" s="851">
        <v>392.666</v>
      </c>
      <c r="M159" s="851">
        <v>2016</v>
      </c>
      <c r="N159" s="851"/>
      <c r="P159" s="146">
        <f t="shared" si="17"/>
        <v>6.8441587617427579E-2</v>
      </c>
      <c r="Q159" s="146">
        <f t="shared" si="18"/>
        <v>5.9753433945099799E-2</v>
      </c>
      <c r="R159" s="146">
        <f t="shared" si="19"/>
        <v>5.7113124883587219E-2</v>
      </c>
      <c r="S159" s="146">
        <f t="shared" si="20"/>
        <v>6.5507084279755157E-2</v>
      </c>
      <c r="T159" s="146">
        <f t="shared" si="21"/>
        <v>6.8338767601456629E-2</v>
      </c>
      <c r="U159" s="146">
        <f t="shared" si="22"/>
        <v>7.1386990507532611E-2</v>
      </c>
      <c r="V159" s="146">
        <f t="shared" si="23"/>
        <v>7.2085879936431674E-2</v>
      </c>
      <c r="W159" s="146">
        <f t="shared" si="24"/>
        <v>7.2828475172110663E-2</v>
      </c>
      <c r="X159" s="146">
        <f t="shared" si="24"/>
        <v>7.2242702274651238E-2</v>
      </c>
    </row>
    <row r="160" spans="1:24">
      <c r="A160" s="139" t="s">
        <v>367</v>
      </c>
      <c r="B160" s="139" t="s">
        <v>209</v>
      </c>
      <c r="C160" s="851">
        <v>1.234</v>
      </c>
      <c r="D160" s="851">
        <v>1.321</v>
      </c>
      <c r="E160" s="851">
        <v>1.4</v>
      </c>
      <c r="F160" s="851">
        <v>1.4630000000000001</v>
      </c>
      <c r="G160" s="851">
        <v>1.528</v>
      </c>
      <c r="H160" s="851">
        <v>1.6120000000000001</v>
      </c>
      <c r="I160" s="851">
        <v>1.6990000000000001</v>
      </c>
      <c r="J160" s="851">
        <v>1.7869999999999999</v>
      </c>
      <c r="K160" s="851">
        <v>1.8740000000000001</v>
      </c>
      <c r="L160" s="851">
        <v>1.962</v>
      </c>
      <c r="M160" s="851">
        <v>2016</v>
      </c>
      <c r="N160" s="851"/>
      <c r="P160" s="146">
        <f t="shared" si="17"/>
        <v>7.0502431118314446E-2</v>
      </c>
      <c r="Q160" s="146">
        <f t="shared" si="18"/>
        <v>5.9803179409538165E-2</v>
      </c>
      <c r="R160" s="146">
        <f t="shared" si="19"/>
        <v>4.5000000000000151E-2</v>
      </c>
      <c r="S160" s="146">
        <f t="shared" si="20"/>
        <v>4.4429254955570707E-2</v>
      </c>
      <c r="T160" s="146">
        <f t="shared" si="21"/>
        <v>5.4973821989528826E-2</v>
      </c>
      <c r="U160" s="146">
        <f t="shared" si="22"/>
        <v>5.3970223325062072E-2</v>
      </c>
      <c r="V160" s="146">
        <f t="shared" si="23"/>
        <v>5.1795173631547842E-2</v>
      </c>
      <c r="W160" s="146">
        <f t="shared" si="24"/>
        <v>4.8684946838276622E-2</v>
      </c>
      <c r="X160" s="146">
        <f t="shared" si="24"/>
        <v>4.6958377801494144E-2</v>
      </c>
    </row>
    <row r="161" spans="1:24">
      <c r="A161" s="139" t="s">
        <v>368</v>
      </c>
      <c r="B161" s="139" t="s">
        <v>209</v>
      </c>
      <c r="C161" s="851">
        <v>2.1680000000000001</v>
      </c>
      <c r="D161" s="851">
        <v>2.1869999999999998</v>
      </c>
      <c r="E161" s="851">
        <v>2.254</v>
      </c>
      <c r="F161" s="851">
        <v>2.306</v>
      </c>
      <c r="G161" s="851">
        <v>2.3839999999999999</v>
      </c>
      <c r="H161" s="851">
        <v>2.4969999999999999</v>
      </c>
      <c r="I161" s="851">
        <v>2.6040000000000001</v>
      </c>
      <c r="J161" s="851">
        <v>2.698</v>
      </c>
      <c r="K161" s="851">
        <v>2.794</v>
      </c>
      <c r="L161" s="851">
        <v>2.89</v>
      </c>
      <c r="M161" s="851">
        <v>2016</v>
      </c>
      <c r="N161" s="851"/>
      <c r="P161" s="146">
        <f t="shared" si="17"/>
        <v>8.7638376383762928E-3</v>
      </c>
      <c r="Q161" s="146">
        <f t="shared" si="18"/>
        <v>3.0635573845450459E-2</v>
      </c>
      <c r="R161" s="146">
        <f t="shared" si="19"/>
        <v>2.3070097604259043E-2</v>
      </c>
      <c r="S161" s="146">
        <f t="shared" si="20"/>
        <v>3.3824804856894986E-2</v>
      </c>
      <c r="T161" s="146">
        <f t="shared" si="21"/>
        <v>4.7399328859060397E-2</v>
      </c>
      <c r="U161" s="146">
        <f t="shared" si="22"/>
        <v>4.2851421706047388E-2</v>
      </c>
      <c r="V161" s="146">
        <f t="shared" si="23"/>
        <v>3.6098310291858615E-2</v>
      </c>
      <c r="W161" s="146">
        <f t="shared" si="24"/>
        <v>3.5581912527798298E-2</v>
      </c>
      <c r="X161" s="146">
        <f t="shared" si="24"/>
        <v>3.435934144595576E-2</v>
      </c>
    </row>
    <row r="162" spans="1:24">
      <c r="A162" s="139" t="s">
        <v>369</v>
      </c>
      <c r="B162" s="139" t="s">
        <v>209</v>
      </c>
      <c r="C162" s="851">
        <v>1.1599999999999999</v>
      </c>
      <c r="D162" s="851">
        <v>1.1839999999999999</v>
      </c>
      <c r="E162" s="851">
        <v>1.2070000000000001</v>
      </c>
      <c r="F162" s="851">
        <v>1.232</v>
      </c>
      <c r="G162" s="851">
        <v>1.2809999999999999</v>
      </c>
      <c r="H162" s="851">
        <v>1.3420000000000001</v>
      </c>
      <c r="I162" s="851">
        <v>1.411</v>
      </c>
      <c r="J162" s="851">
        <v>1.4830000000000001</v>
      </c>
      <c r="K162" s="851">
        <v>1.56</v>
      </c>
      <c r="L162" s="851">
        <v>1.6379999999999999</v>
      </c>
      <c r="M162" s="851">
        <v>2016</v>
      </c>
      <c r="N162" s="851"/>
      <c r="P162" s="146">
        <f t="shared" si="17"/>
        <v>2.0689655172413834E-2</v>
      </c>
      <c r="Q162" s="146">
        <f t="shared" si="18"/>
        <v>1.942567567567588E-2</v>
      </c>
      <c r="R162" s="146">
        <f t="shared" si="19"/>
        <v>2.0712510356255098E-2</v>
      </c>
      <c r="S162" s="146">
        <f t="shared" si="20"/>
        <v>3.9772727272727293E-2</v>
      </c>
      <c r="T162" s="146">
        <f t="shared" si="21"/>
        <v>4.7619047619047672E-2</v>
      </c>
      <c r="U162" s="146">
        <f t="shared" si="22"/>
        <v>5.1415797317436729E-2</v>
      </c>
      <c r="V162" s="146">
        <f t="shared" si="23"/>
        <v>5.1027639971651384E-2</v>
      </c>
      <c r="W162" s="146">
        <f t="shared" si="24"/>
        <v>5.1921780175320231E-2</v>
      </c>
      <c r="X162" s="146">
        <f t="shared" si="24"/>
        <v>4.9999999999999822E-2</v>
      </c>
    </row>
    <row r="163" spans="1:24">
      <c r="A163" s="139" t="s">
        <v>370</v>
      </c>
      <c r="B163" s="139" t="s">
        <v>209</v>
      </c>
      <c r="C163" s="851">
        <v>154.64699999999999</v>
      </c>
      <c r="D163" s="851">
        <v>159.94999999999999</v>
      </c>
      <c r="E163" s="851">
        <v>169.57400000000001</v>
      </c>
      <c r="F163" s="851">
        <v>176.97399999999999</v>
      </c>
      <c r="G163" s="851">
        <v>186.8</v>
      </c>
      <c r="H163" s="851">
        <v>197.339</v>
      </c>
      <c r="I163" s="851">
        <v>208.77600000000001</v>
      </c>
      <c r="J163" s="851">
        <v>220.82</v>
      </c>
      <c r="K163" s="851">
        <v>233.42500000000001</v>
      </c>
      <c r="L163" s="851">
        <v>246.34800000000001</v>
      </c>
      <c r="M163" s="851">
        <v>2010</v>
      </c>
      <c r="N163" s="851"/>
      <c r="P163" s="146">
        <f t="shared" si="17"/>
        <v>3.4290998208823975E-2</v>
      </c>
      <c r="Q163" s="146">
        <f t="shared" si="18"/>
        <v>6.0168802750859784E-2</v>
      </c>
      <c r="R163" s="146">
        <f t="shared" si="19"/>
        <v>4.3638765376767585E-2</v>
      </c>
      <c r="S163" s="146">
        <f t="shared" si="20"/>
        <v>5.5522280108942779E-2</v>
      </c>
      <c r="T163" s="146">
        <f t="shared" si="21"/>
        <v>5.6418629550321064E-2</v>
      </c>
      <c r="U163" s="146">
        <f t="shared" si="22"/>
        <v>5.7956105990199625E-2</v>
      </c>
      <c r="V163" s="146">
        <f t="shared" si="23"/>
        <v>5.7688623213396184E-2</v>
      </c>
      <c r="W163" s="146">
        <f t="shared" si="24"/>
        <v>5.7082691785164563E-2</v>
      </c>
      <c r="X163" s="146">
        <f t="shared" si="24"/>
        <v>5.5362536146513985E-2</v>
      </c>
    </row>
    <row r="164" spans="1:24">
      <c r="A164" s="139" t="s">
        <v>371</v>
      </c>
      <c r="B164" s="139" t="s">
        <v>209</v>
      </c>
      <c r="C164" s="851">
        <v>8.6579999999999995</v>
      </c>
      <c r="D164" s="851">
        <v>8.8450000000000006</v>
      </c>
      <c r="E164" s="851">
        <v>8.6989999999999998</v>
      </c>
      <c r="F164" s="851">
        <v>7.8849999999999998</v>
      </c>
      <c r="G164" s="851">
        <v>7.9279999999999999</v>
      </c>
      <c r="H164" s="851">
        <v>8.1760000000000002</v>
      </c>
      <c r="I164" s="851">
        <v>8.5069999999999997</v>
      </c>
      <c r="J164" s="851">
        <v>8.9120000000000008</v>
      </c>
      <c r="K164" s="851">
        <v>9.3559999999999999</v>
      </c>
      <c r="L164" s="851">
        <v>9.83</v>
      </c>
      <c r="M164" s="851">
        <v>2015</v>
      </c>
      <c r="N164" s="851"/>
      <c r="P164" s="146">
        <f t="shared" si="17"/>
        <v>2.1598521598521714E-2</v>
      </c>
      <c r="Q164" s="146">
        <f t="shared" si="18"/>
        <v>-1.6506500847936811E-2</v>
      </c>
      <c r="R164" s="146">
        <f t="shared" si="19"/>
        <v>-9.3573974020002337E-2</v>
      </c>
      <c r="S164" s="146">
        <f t="shared" si="20"/>
        <v>5.4533925174382603E-3</v>
      </c>
      <c r="T164" s="146">
        <f t="shared" si="21"/>
        <v>3.128153380423826E-2</v>
      </c>
      <c r="U164" s="146">
        <f t="shared" si="22"/>
        <v>4.0484344422700547E-2</v>
      </c>
      <c r="V164" s="146">
        <f t="shared" si="23"/>
        <v>4.7607852356882807E-2</v>
      </c>
      <c r="W164" s="146">
        <f t="shared" si="24"/>
        <v>4.9820466786355322E-2</v>
      </c>
      <c r="X164" s="146">
        <f t="shared" si="24"/>
        <v>5.0662676357417613E-2</v>
      </c>
    </row>
    <row r="165" spans="1:24">
      <c r="A165" s="139" t="s">
        <v>372</v>
      </c>
      <c r="B165" s="139" t="s">
        <v>209</v>
      </c>
      <c r="C165" s="851">
        <v>10.18</v>
      </c>
      <c r="D165" s="851">
        <v>10.738</v>
      </c>
      <c r="E165" s="851">
        <v>10.974</v>
      </c>
      <c r="F165" s="851">
        <v>11.113</v>
      </c>
      <c r="G165" s="851">
        <v>11.335000000000001</v>
      </c>
      <c r="H165" s="851">
        <v>11.45</v>
      </c>
      <c r="I165" s="851">
        <v>11.705</v>
      </c>
      <c r="J165" s="851">
        <v>12.109</v>
      </c>
      <c r="K165" s="851">
        <v>12.6</v>
      </c>
      <c r="L165" s="851">
        <v>13.122999999999999</v>
      </c>
      <c r="M165" s="851">
        <v>2015</v>
      </c>
      <c r="N165" s="851"/>
      <c r="P165" s="146">
        <f t="shared" si="17"/>
        <v>5.4813359528487204E-2</v>
      </c>
      <c r="Q165" s="146">
        <f t="shared" si="18"/>
        <v>2.1978021978022122E-2</v>
      </c>
      <c r="R165" s="146">
        <f t="shared" si="19"/>
        <v>1.2666302168762522E-2</v>
      </c>
      <c r="S165" s="146">
        <f t="shared" si="20"/>
        <v>1.9976603977323926E-2</v>
      </c>
      <c r="T165" s="146">
        <f t="shared" si="21"/>
        <v>1.0145566828407393E-2</v>
      </c>
      <c r="U165" s="146">
        <f t="shared" si="22"/>
        <v>2.2270742358078577E-2</v>
      </c>
      <c r="V165" s="146">
        <f t="shared" si="23"/>
        <v>3.4515164459632652E-2</v>
      </c>
      <c r="W165" s="146">
        <f t="shared" si="24"/>
        <v>4.0548352465108461E-2</v>
      </c>
      <c r="X165" s="146">
        <f t="shared" si="24"/>
        <v>4.1507936507936494E-2</v>
      </c>
    </row>
    <row r="166" spans="1:24">
      <c r="A166" s="139" t="s">
        <v>172</v>
      </c>
      <c r="B166" s="139" t="s">
        <v>209</v>
      </c>
      <c r="C166" s="851">
        <v>433.12099999999998</v>
      </c>
      <c r="D166" s="851">
        <v>452.37700000000001</v>
      </c>
      <c r="E166" s="851">
        <v>475.96100000000001</v>
      </c>
      <c r="F166" s="851">
        <v>497.35199999999998</v>
      </c>
      <c r="G166" s="851">
        <v>521.69299999999998</v>
      </c>
      <c r="H166" s="851">
        <v>544.51599999999996</v>
      </c>
      <c r="I166" s="851">
        <v>567.62</v>
      </c>
      <c r="J166" s="851">
        <v>590.89099999999996</v>
      </c>
      <c r="K166" s="851">
        <v>614.26499999999999</v>
      </c>
      <c r="L166" s="851">
        <v>636.84400000000005</v>
      </c>
      <c r="M166" s="851">
        <v>2016</v>
      </c>
      <c r="N166" s="851"/>
      <c r="P166" s="146">
        <f t="shared" si="17"/>
        <v>4.4458707843766598E-2</v>
      </c>
      <c r="Q166" s="146">
        <f t="shared" si="18"/>
        <v>5.2133508113807681E-2</v>
      </c>
      <c r="R166" s="146">
        <f t="shared" si="19"/>
        <v>4.4942757915039211E-2</v>
      </c>
      <c r="S166" s="146">
        <f t="shared" si="20"/>
        <v>4.8941192555775448E-2</v>
      </c>
      <c r="T166" s="146">
        <f t="shared" si="21"/>
        <v>4.3747951381367889E-2</v>
      </c>
      <c r="U166" s="146">
        <f t="shared" si="22"/>
        <v>4.2430341808137984E-2</v>
      </c>
      <c r="V166" s="146">
        <f t="shared" si="23"/>
        <v>4.0997498326345028E-2</v>
      </c>
      <c r="W166" s="146">
        <f t="shared" si="24"/>
        <v>3.9557211059230823E-2</v>
      </c>
      <c r="X166" s="146">
        <f t="shared" si="24"/>
        <v>3.6757751133468464E-2</v>
      </c>
    </row>
    <row r="167" spans="1:24">
      <c r="A167" s="139" t="s">
        <v>373</v>
      </c>
      <c r="B167" s="139" t="s">
        <v>209</v>
      </c>
      <c r="C167" s="851">
        <v>459.06099999999998</v>
      </c>
      <c r="D167" s="851">
        <v>478.74900000000002</v>
      </c>
      <c r="E167" s="851">
        <v>489.58100000000002</v>
      </c>
      <c r="F167" s="851">
        <v>502.738</v>
      </c>
      <c r="G167" s="851">
        <v>516.65</v>
      </c>
      <c r="H167" s="851">
        <v>533.68200000000002</v>
      </c>
      <c r="I167" s="851">
        <v>553.79100000000005</v>
      </c>
      <c r="J167" s="851">
        <v>575.05200000000002</v>
      </c>
      <c r="K167" s="851">
        <v>596.97400000000005</v>
      </c>
      <c r="L167" s="851">
        <v>618.80499999999995</v>
      </c>
      <c r="M167" s="851">
        <v>2016</v>
      </c>
      <c r="N167" s="851"/>
      <c r="P167" s="146">
        <f t="shared" si="17"/>
        <v>4.2887546535210097E-2</v>
      </c>
      <c r="Q167" s="146">
        <f t="shared" si="18"/>
        <v>2.2625634727174271E-2</v>
      </c>
      <c r="R167" s="146">
        <f t="shared" si="19"/>
        <v>2.6874000420767929E-2</v>
      </c>
      <c r="S167" s="146">
        <f t="shared" si="20"/>
        <v>2.7672465578492123E-2</v>
      </c>
      <c r="T167" s="146">
        <f t="shared" si="21"/>
        <v>3.2966224716926451E-2</v>
      </c>
      <c r="U167" s="146">
        <f t="shared" si="22"/>
        <v>3.7679741868753336E-2</v>
      </c>
      <c r="V167" s="146">
        <f t="shared" si="23"/>
        <v>3.839173984409272E-2</v>
      </c>
      <c r="W167" s="146">
        <f t="shared" si="24"/>
        <v>3.812176985733462E-2</v>
      </c>
      <c r="X167" s="146">
        <f t="shared" si="24"/>
        <v>3.6569431834552191E-2</v>
      </c>
    </row>
    <row r="168" spans="1:24">
      <c r="A168" s="139" t="s">
        <v>374</v>
      </c>
      <c r="B168" s="139" t="s">
        <v>209</v>
      </c>
      <c r="C168" s="1168">
        <v>1022.33</v>
      </c>
      <c r="D168" s="1168">
        <v>1082.53</v>
      </c>
      <c r="E168" s="1168">
        <v>1102.1400000000001</v>
      </c>
      <c r="F168" s="1168">
        <v>1132.72</v>
      </c>
      <c r="G168" s="1168">
        <v>1175.31</v>
      </c>
      <c r="H168" s="1168">
        <v>1220.47</v>
      </c>
      <c r="I168" s="1168">
        <v>1271.6600000000001</v>
      </c>
      <c r="J168" s="1168">
        <v>1327.92</v>
      </c>
      <c r="K168" s="1168">
        <v>1386.57</v>
      </c>
      <c r="L168" s="1168">
        <v>1444.58</v>
      </c>
      <c r="M168" s="851">
        <v>2015</v>
      </c>
      <c r="N168" s="851"/>
      <c r="P168" s="146">
        <f t="shared" si="17"/>
        <v>5.8885095810550236E-2</v>
      </c>
      <c r="Q168" s="146">
        <f t="shared" si="18"/>
        <v>1.8114971409568525E-2</v>
      </c>
      <c r="R168" s="146">
        <f t="shared" si="19"/>
        <v>2.7746021376594543E-2</v>
      </c>
      <c r="S168" s="146">
        <f t="shared" si="20"/>
        <v>3.7599759870047267E-2</v>
      </c>
      <c r="T168" s="146">
        <f t="shared" si="21"/>
        <v>3.8423905182462637E-2</v>
      </c>
      <c r="U168" s="146">
        <f t="shared" si="22"/>
        <v>4.1942858079264678E-2</v>
      </c>
      <c r="V168" s="146">
        <f t="shared" si="23"/>
        <v>4.4241385275938461E-2</v>
      </c>
      <c r="W168" s="146">
        <f t="shared" si="24"/>
        <v>4.4166817278149084E-2</v>
      </c>
      <c r="X168" s="146">
        <f t="shared" si="24"/>
        <v>4.1837051140584336E-2</v>
      </c>
    </row>
    <row r="169" spans="1:24">
      <c r="A169" s="139" t="s">
        <v>375</v>
      </c>
      <c r="B169" s="139" t="s">
        <v>209</v>
      </c>
      <c r="C169" s="851">
        <v>20.652999999999999</v>
      </c>
      <c r="D169" s="851">
        <v>22.433</v>
      </c>
      <c r="E169" s="851">
        <v>24.036000000000001</v>
      </c>
      <c r="F169" s="851">
        <v>26.023</v>
      </c>
      <c r="G169" s="851">
        <v>27.667999999999999</v>
      </c>
      <c r="H169" s="851">
        <v>29.332999999999998</v>
      </c>
      <c r="I169" s="851">
        <v>31.157</v>
      </c>
      <c r="J169" s="851">
        <v>33.085000000000001</v>
      </c>
      <c r="K169" s="851">
        <v>35.122999999999998</v>
      </c>
      <c r="L169" s="851">
        <v>37.231000000000002</v>
      </c>
      <c r="M169" s="851">
        <v>2016</v>
      </c>
      <c r="N169" s="851"/>
      <c r="P169" s="146">
        <f t="shared" si="17"/>
        <v>8.6186026243160851E-2</v>
      </c>
      <c r="Q169" s="146">
        <f t="shared" si="18"/>
        <v>7.1457228190612065E-2</v>
      </c>
      <c r="R169" s="146">
        <f t="shared" si="19"/>
        <v>8.2667665168913329E-2</v>
      </c>
      <c r="S169" s="146">
        <f t="shared" si="20"/>
        <v>6.3213311301540953E-2</v>
      </c>
      <c r="T169" s="146">
        <f t="shared" si="21"/>
        <v>6.0177822755529853E-2</v>
      </c>
      <c r="U169" s="146">
        <f t="shared" si="22"/>
        <v>6.2182524801418282E-2</v>
      </c>
      <c r="V169" s="146">
        <f t="shared" si="23"/>
        <v>6.1880155342298737E-2</v>
      </c>
      <c r="W169" s="146">
        <f t="shared" si="24"/>
        <v>6.1598911893607333E-2</v>
      </c>
      <c r="X169" s="146">
        <f t="shared" si="24"/>
        <v>6.0017652250662135E-2</v>
      </c>
    </row>
    <row r="170" spans="1:24">
      <c r="A170" s="139" t="s">
        <v>376</v>
      </c>
      <c r="B170" s="139" t="s">
        <v>209</v>
      </c>
      <c r="C170" s="851">
        <v>117.858</v>
      </c>
      <c r="D170" s="851">
        <v>128.33000000000001</v>
      </c>
      <c r="E170" s="851">
        <v>138.74299999999999</v>
      </c>
      <c r="F170" s="851">
        <v>150.28299999999999</v>
      </c>
      <c r="G170" s="851">
        <v>162.83600000000001</v>
      </c>
      <c r="H170" s="851">
        <v>177.321</v>
      </c>
      <c r="I170" s="851">
        <v>193.39500000000001</v>
      </c>
      <c r="J170" s="851">
        <v>210.84700000000001</v>
      </c>
      <c r="K170" s="851">
        <v>229.49</v>
      </c>
      <c r="L170" s="851">
        <v>249.22900000000001</v>
      </c>
      <c r="M170" s="851">
        <v>2016</v>
      </c>
      <c r="N170" s="851"/>
      <c r="P170" s="146">
        <f t="shared" si="17"/>
        <v>8.8852687131972363E-2</v>
      </c>
      <c r="Q170" s="146">
        <f t="shared" si="18"/>
        <v>8.1142367334216425E-2</v>
      </c>
      <c r="R170" s="146">
        <f t="shared" si="19"/>
        <v>8.3175367405923017E-2</v>
      </c>
      <c r="S170" s="146">
        <f t="shared" si="20"/>
        <v>8.3529075144893383E-2</v>
      </c>
      <c r="T170" s="146">
        <f t="shared" si="21"/>
        <v>8.8954530939104215E-2</v>
      </c>
      <c r="U170" s="146">
        <f t="shared" si="22"/>
        <v>9.0649161689816848E-2</v>
      </c>
      <c r="V170" s="146">
        <f t="shared" si="23"/>
        <v>9.0240182010910219E-2</v>
      </c>
      <c r="W170" s="146">
        <f t="shared" si="24"/>
        <v>8.8419564897769476E-2</v>
      </c>
      <c r="X170" s="146">
        <f t="shared" si="24"/>
        <v>8.601246241666316E-2</v>
      </c>
    </row>
    <row r="171" spans="1:24">
      <c r="A171" s="139" t="s">
        <v>377</v>
      </c>
      <c r="B171" s="139" t="s">
        <v>209</v>
      </c>
      <c r="C171" s="1168">
        <v>1042.1300000000001</v>
      </c>
      <c r="D171" s="1168">
        <v>1070.54</v>
      </c>
      <c r="E171" s="1168">
        <v>1113.97</v>
      </c>
      <c r="F171" s="1168">
        <v>1164.71</v>
      </c>
      <c r="G171" s="1168">
        <v>1228.94</v>
      </c>
      <c r="H171" s="1168">
        <v>1296.0999999999999</v>
      </c>
      <c r="I171" s="1168">
        <v>1368.66</v>
      </c>
      <c r="J171" s="1168">
        <v>1440.91</v>
      </c>
      <c r="K171" s="1168">
        <v>1515.46</v>
      </c>
      <c r="L171" s="1168">
        <v>1591.49</v>
      </c>
      <c r="M171" s="851">
        <v>2016</v>
      </c>
      <c r="N171" s="851"/>
      <c r="P171" s="146">
        <f t="shared" si="17"/>
        <v>2.7261474096321736E-2</v>
      </c>
      <c r="Q171" s="146">
        <f t="shared" si="18"/>
        <v>4.0568311319520989E-2</v>
      </c>
      <c r="R171" s="146">
        <f t="shared" si="19"/>
        <v>4.5548802930061028E-2</v>
      </c>
      <c r="S171" s="146">
        <f t="shared" si="20"/>
        <v>5.5146774733624726E-2</v>
      </c>
      <c r="T171" s="146">
        <f t="shared" si="21"/>
        <v>5.4648721662570843E-2</v>
      </c>
      <c r="U171" s="146">
        <f t="shared" si="22"/>
        <v>5.5983334619242431E-2</v>
      </c>
      <c r="V171" s="146">
        <f t="shared" si="23"/>
        <v>5.2788859176128522E-2</v>
      </c>
      <c r="W171" s="146">
        <f t="shared" si="24"/>
        <v>5.173813770464486E-2</v>
      </c>
      <c r="X171" s="146">
        <f t="shared" si="24"/>
        <v>5.0169585472397804E-2</v>
      </c>
    </row>
    <row r="172" spans="1:24">
      <c r="A172" s="139" t="s">
        <v>378</v>
      </c>
      <c r="B172" s="139" t="s">
        <v>209</v>
      </c>
      <c r="C172" s="851">
        <v>7.7110000000000003</v>
      </c>
      <c r="D172" s="851">
        <v>5.8049999999999997</v>
      </c>
      <c r="E172" s="851">
        <v>7.093</v>
      </c>
      <c r="F172" s="851">
        <v>6.5970000000000004</v>
      </c>
      <c r="G172" s="851">
        <v>6.2110000000000003</v>
      </c>
      <c r="H172" s="851">
        <v>6.3280000000000003</v>
      </c>
      <c r="I172" s="851">
        <v>6.18</v>
      </c>
      <c r="J172" s="851">
        <v>6.0810000000000004</v>
      </c>
      <c r="K172" s="851">
        <v>6.0549999999999997</v>
      </c>
      <c r="L172" s="851">
        <v>6.0149999999999997</v>
      </c>
      <c r="M172" s="851">
        <v>2015</v>
      </c>
      <c r="N172" s="851"/>
      <c r="P172" s="146">
        <f t="shared" si="17"/>
        <v>-0.24717935416936854</v>
      </c>
      <c r="Q172" s="146">
        <f t="shared" si="18"/>
        <v>0.22187769164513349</v>
      </c>
      <c r="R172" s="146">
        <f t="shared" si="19"/>
        <v>-6.9928098124911853E-2</v>
      </c>
      <c r="S172" s="146">
        <f t="shared" si="20"/>
        <v>-5.8511444596028528E-2</v>
      </c>
      <c r="T172" s="146">
        <f t="shared" si="21"/>
        <v>1.8837546288842377E-2</v>
      </c>
      <c r="U172" s="146">
        <f t="shared" si="22"/>
        <v>-2.3388116308470375E-2</v>
      </c>
      <c r="V172" s="146">
        <f t="shared" si="23"/>
        <v>-1.6019417475727993E-2</v>
      </c>
      <c r="W172" s="146">
        <f t="shared" si="24"/>
        <v>-4.275612563723219E-3</v>
      </c>
      <c r="X172" s="146">
        <f t="shared" si="24"/>
        <v>-6.6061106523533919E-3</v>
      </c>
    </row>
    <row r="173" spans="1:24">
      <c r="A173" s="139" t="s">
        <v>379</v>
      </c>
      <c r="B173" s="139" t="s">
        <v>209</v>
      </c>
      <c r="C173" s="851">
        <v>9.5830000000000002</v>
      </c>
      <c r="D173" s="851">
        <v>10.282</v>
      </c>
      <c r="E173" s="851">
        <v>10.945</v>
      </c>
      <c r="F173" s="851">
        <v>11.638</v>
      </c>
      <c r="G173" s="851">
        <v>12.433</v>
      </c>
      <c r="H173" s="851">
        <v>13.346</v>
      </c>
      <c r="I173" s="851">
        <v>14.367000000000001</v>
      </c>
      <c r="J173" s="851">
        <v>15.491</v>
      </c>
      <c r="K173" s="851">
        <v>16.698</v>
      </c>
      <c r="L173" s="851">
        <v>17.972999999999999</v>
      </c>
      <c r="M173" s="851">
        <v>2013</v>
      </c>
      <c r="N173" s="851"/>
      <c r="P173" s="146">
        <f t="shared" si="17"/>
        <v>7.2941667536262189E-2</v>
      </c>
      <c r="Q173" s="146">
        <f t="shared" si="18"/>
        <v>6.4481618362186355E-2</v>
      </c>
      <c r="R173" s="146">
        <f t="shared" si="19"/>
        <v>6.3316582914572761E-2</v>
      </c>
      <c r="S173" s="146">
        <f t="shared" si="20"/>
        <v>6.8310706306925484E-2</v>
      </c>
      <c r="T173" s="146">
        <f t="shared" si="21"/>
        <v>7.3433604118072981E-2</v>
      </c>
      <c r="U173" s="146">
        <f t="shared" si="22"/>
        <v>7.6502322793346345E-2</v>
      </c>
      <c r="V173" s="146">
        <f t="shared" si="23"/>
        <v>7.823484373912426E-2</v>
      </c>
      <c r="W173" s="146">
        <f t="shared" si="24"/>
        <v>7.791620941191657E-2</v>
      </c>
      <c r="X173" s="146">
        <f t="shared" si="24"/>
        <v>7.6356449874236398E-2</v>
      </c>
    </row>
    <row r="174" spans="1:24">
      <c r="A174" s="139" t="s">
        <v>380</v>
      </c>
      <c r="B174" s="139" t="s">
        <v>209</v>
      </c>
      <c r="C174" s="851">
        <v>0.48899999999999999</v>
      </c>
      <c r="D174" s="851">
        <v>0.51200000000000001</v>
      </c>
      <c r="E174" s="851">
        <v>0.53600000000000003</v>
      </c>
      <c r="F174" s="851">
        <v>0.56000000000000005</v>
      </c>
      <c r="G174" s="851">
        <v>0.58699999999999997</v>
      </c>
      <c r="H174" s="851">
        <v>0.61699999999999999</v>
      </c>
      <c r="I174" s="851">
        <v>0.64900000000000002</v>
      </c>
      <c r="J174" s="851">
        <v>0.67800000000000005</v>
      </c>
      <c r="K174" s="851">
        <v>0.70399999999999996</v>
      </c>
      <c r="L174" s="851">
        <v>0.72799999999999998</v>
      </c>
      <c r="M174" s="851">
        <v>2016</v>
      </c>
      <c r="N174" s="851"/>
      <c r="P174" s="146">
        <f t="shared" si="17"/>
        <v>4.7034764826175968E-2</v>
      </c>
      <c r="Q174" s="146">
        <f t="shared" si="18"/>
        <v>4.6875E-2</v>
      </c>
      <c r="R174" s="146">
        <f t="shared" si="19"/>
        <v>4.4776119402985204E-2</v>
      </c>
      <c r="S174" s="146">
        <f t="shared" si="20"/>
        <v>4.8214285714285543E-2</v>
      </c>
      <c r="T174" s="146">
        <f t="shared" si="21"/>
        <v>5.110732538330498E-2</v>
      </c>
      <c r="U174" s="146">
        <f t="shared" si="22"/>
        <v>5.1863857374392364E-2</v>
      </c>
      <c r="V174" s="146">
        <f t="shared" si="23"/>
        <v>4.4684129429892083E-2</v>
      </c>
      <c r="W174" s="146">
        <f t="shared" si="24"/>
        <v>3.834808259586997E-2</v>
      </c>
      <c r="X174" s="146">
        <f t="shared" si="24"/>
        <v>3.4090909090909172E-2</v>
      </c>
    </row>
    <row r="175" spans="1:24">
      <c r="A175" s="139" t="s">
        <v>381</v>
      </c>
      <c r="B175" s="139" t="s">
        <v>209</v>
      </c>
      <c r="C175" s="851">
        <v>44.545000000000002</v>
      </c>
      <c r="D175" s="851">
        <v>45.082999999999998</v>
      </c>
      <c r="E175" s="851">
        <v>45.308</v>
      </c>
      <c r="F175" s="851">
        <v>43.423000000000002</v>
      </c>
      <c r="G175" s="851">
        <v>42.777000000000001</v>
      </c>
      <c r="H175" s="851">
        <v>44.415999999999997</v>
      </c>
      <c r="I175" s="851">
        <v>46.356999999999999</v>
      </c>
      <c r="J175" s="851">
        <v>48.112000000000002</v>
      </c>
      <c r="K175" s="851">
        <v>49.783999999999999</v>
      </c>
      <c r="L175" s="851">
        <v>51.444000000000003</v>
      </c>
      <c r="M175" s="851">
        <v>2016</v>
      </c>
      <c r="N175" s="851"/>
      <c r="P175" s="146">
        <f t="shared" si="17"/>
        <v>1.2077674261982141E-2</v>
      </c>
      <c r="Q175" s="146">
        <f t="shared" si="18"/>
        <v>4.9907947563383459E-3</v>
      </c>
      <c r="R175" s="146">
        <f t="shared" si="19"/>
        <v>-4.1604131720667348E-2</v>
      </c>
      <c r="S175" s="146">
        <f t="shared" si="20"/>
        <v>-1.4876908550768064E-2</v>
      </c>
      <c r="T175" s="146">
        <f t="shared" si="21"/>
        <v>3.8314982350328375E-2</v>
      </c>
      <c r="U175" s="146">
        <f t="shared" si="22"/>
        <v>4.370046829971197E-2</v>
      </c>
      <c r="V175" s="146">
        <f t="shared" si="23"/>
        <v>3.7858360118212975E-2</v>
      </c>
      <c r="W175" s="146">
        <f t="shared" si="24"/>
        <v>3.4752244762221496E-2</v>
      </c>
      <c r="X175" s="146">
        <f t="shared" si="24"/>
        <v>3.3344046279929263E-2</v>
      </c>
    </row>
    <row r="176" spans="1:24">
      <c r="A176" s="139" t="s">
        <v>382</v>
      </c>
      <c r="B176" s="139" t="s">
        <v>209</v>
      </c>
      <c r="C176" s="851">
        <v>119.97</v>
      </c>
      <c r="D176" s="851">
        <v>124.878</v>
      </c>
      <c r="E176" s="851">
        <v>127.621</v>
      </c>
      <c r="F176" s="851">
        <v>130.542</v>
      </c>
      <c r="G176" s="851">
        <v>135.91399999999999</v>
      </c>
      <c r="H176" s="851">
        <v>142.755</v>
      </c>
      <c r="I176" s="851">
        <v>150.965</v>
      </c>
      <c r="J176" s="851">
        <v>160.49199999999999</v>
      </c>
      <c r="K176" s="851">
        <v>170.869</v>
      </c>
      <c r="L176" s="851">
        <v>181.64599999999999</v>
      </c>
      <c r="M176" s="851">
        <v>2014</v>
      </c>
      <c r="N176" s="851"/>
      <c r="P176" s="146">
        <f t="shared" si="17"/>
        <v>4.0910227556889334E-2</v>
      </c>
      <c r="Q176" s="146">
        <f t="shared" si="18"/>
        <v>2.1965438267749215E-2</v>
      </c>
      <c r="R176" s="146">
        <f t="shared" si="19"/>
        <v>2.2888082682317235E-2</v>
      </c>
      <c r="S176" s="146">
        <f t="shared" si="20"/>
        <v>4.1151506794747883E-2</v>
      </c>
      <c r="T176" s="146">
        <f t="shared" si="21"/>
        <v>5.0333298997895737E-2</v>
      </c>
      <c r="U176" s="146">
        <f t="shared" si="22"/>
        <v>5.7511120451122499E-2</v>
      </c>
      <c r="V176" s="146">
        <f t="shared" si="23"/>
        <v>6.3107342761567153E-2</v>
      </c>
      <c r="W176" s="146">
        <f t="shared" si="24"/>
        <v>6.4657428407646655E-2</v>
      </c>
      <c r="X176" s="146">
        <f t="shared" si="24"/>
        <v>6.3071709906419526E-2</v>
      </c>
    </row>
    <row r="177" spans="1:24">
      <c r="A177" s="139" t="s">
        <v>383</v>
      </c>
      <c r="B177" s="139" t="s">
        <v>209</v>
      </c>
      <c r="C177" s="1168">
        <v>1662.36</v>
      </c>
      <c r="D177" s="1168">
        <v>1779.62</v>
      </c>
      <c r="E177" s="1168">
        <v>1908.4</v>
      </c>
      <c r="F177" s="1168">
        <v>1994.28</v>
      </c>
      <c r="G177" s="1168">
        <v>2132.7199999999998</v>
      </c>
      <c r="H177" s="1168">
        <v>2249.86</v>
      </c>
      <c r="I177" s="1168">
        <v>2378.23</v>
      </c>
      <c r="J177" s="1168">
        <v>2513.5</v>
      </c>
      <c r="K177" s="1168">
        <v>2657.83</v>
      </c>
      <c r="L177" s="1168">
        <v>2806.34</v>
      </c>
      <c r="M177" s="851">
        <v>2016</v>
      </c>
      <c r="N177" s="851"/>
      <c r="P177" s="146">
        <f t="shared" si="17"/>
        <v>7.0538270891984833E-2</v>
      </c>
      <c r="Q177" s="146">
        <f t="shared" si="18"/>
        <v>7.2363763050538932E-2</v>
      </c>
      <c r="R177" s="146">
        <f t="shared" si="19"/>
        <v>4.5001047998323163E-2</v>
      </c>
      <c r="S177" s="146">
        <f t="shared" si="20"/>
        <v>6.9418537015865311E-2</v>
      </c>
      <c r="T177" s="146">
        <f t="shared" si="21"/>
        <v>5.4925165985221014E-2</v>
      </c>
      <c r="U177" s="146">
        <f t="shared" si="22"/>
        <v>5.7056883539420289E-2</v>
      </c>
      <c r="V177" s="146">
        <f t="shared" si="23"/>
        <v>5.6878434802352995E-2</v>
      </c>
      <c r="W177" s="146">
        <f t="shared" si="24"/>
        <v>5.7421921623234562E-2</v>
      </c>
      <c r="X177" s="146">
        <f t="shared" si="24"/>
        <v>5.5876410455145908E-2</v>
      </c>
    </row>
    <row r="178" spans="1:24">
      <c r="A178" s="139" t="s">
        <v>384</v>
      </c>
      <c r="B178" s="139" t="s">
        <v>209</v>
      </c>
      <c r="C178" s="851">
        <v>73.447999999999993</v>
      </c>
      <c r="D178" s="851">
        <v>82.501000000000005</v>
      </c>
      <c r="E178" s="851">
        <v>88.777000000000001</v>
      </c>
      <c r="F178" s="851">
        <v>95.501000000000005</v>
      </c>
      <c r="G178" s="851">
        <v>103.485</v>
      </c>
      <c r="H178" s="851">
        <v>112.125</v>
      </c>
      <c r="I178" s="851">
        <v>120.38200000000001</v>
      </c>
      <c r="J178" s="851">
        <v>129.06899999999999</v>
      </c>
      <c r="K178" s="851">
        <v>138.70400000000001</v>
      </c>
      <c r="L178" s="851">
        <v>148.95400000000001</v>
      </c>
      <c r="M178" s="851">
        <v>2015</v>
      </c>
      <c r="N178" s="851"/>
      <c r="P178" s="146">
        <f t="shared" si="17"/>
        <v>0.12325727044984225</v>
      </c>
      <c r="Q178" s="146">
        <f t="shared" si="18"/>
        <v>7.6071805190240038E-2</v>
      </c>
      <c r="R178" s="146">
        <f t="shared" si="19"/>
        <v>7.574033815064718E-2</v>
      </c>
      <c r="S178" s="146">
        <f t="shared" si="20"/>
        <v>8.3601218835404723E-2</v>
      </c>
      <c r="T178" s="146">
        <f t="shared" si="21"/>
        <v>8.3490360921872675E-2</v>
      </c>
      <c r="U178" s="146">
        <f t="shared" si="22"/>
        <v>7.3641025641025593E-2</v>
      </c>
      <c r="V178" s="146">
        <f t="shared" si="23"/>
        <v>7.2161951122260648E-2</v>
      </c>
      <c r="W178" s="146">
        <f t="shared" si="24"/>
        <v>7.4649993414375393E-2</v>
      </c>
      <c r="X178" s="146">
        <f t="shared" si="24"/>
        <v>7.3898373514822868E-2</v>
      </c>
    </row>
    <row r="179" spans="1:24">
      <c r="A179" s="139" t="s">
        <v>385</v>
      </c>
      <c r="B179" s="139" t="s">
        <v>209</v>
      </c>
      <c r="C179" s="851">
        <v>3.3000000000000002E-2</v>
      </c>
      <c r="D179" s="851">
        <v>3.4000000000000002E-2</v>
      </c>
      <c r="E179" s="851">
        <v>3.7999999999999999E-2</v>
      </c>
      <c r="F179" s="851">
        <v>0.04</v>
      </c>
      <c r="G179" s="851">
        <v>4.2000000000000003E-2</v>
      </c>
      <c r="H179" s="851">
        <v>4.2999999999999997E-2</v>
      </c>
      <c r="I179" s="851">
        <v>4.4999999999999998E-2</v>
      </c>
      <c r="J179" s="851">
        <v>4.7E-2</v>
      </c>
      <c r="K179" s="851">
        <v>4.9000000000000002E-2</v>
      </c>
      <c r="L179" s="851">
        <v>5.0999999999999997E-2</v>
      </c>
      <c r="M179" s="851">
        <v>2015</v>
      </c>
      <c r="N179" s="851"/>
      <c r="P179" s="146">
        <f t="shared" si="17"/>
        <v>3.0303030303030276E-2</v>
      </c>
      <c r="Q179" s="146">
        <f t="shared" si="18"/>
        <v>0.11764705882352922</v>
      </c>
      <c r="R179" s="146">
        <f t="shared" si="19"/>
        <v>5.2631578947368363E-2</v>
      </c>
      <c r="S179" s="146">
        <f t="shared" si="20"/>
        <v>5.0000000000000044E-2</v>
      </c>
      <c r="T179" s="146">
        <f t="shared" si="21"/>
        <v>2.3809523809523725E-2</v>
      </c>
      <c r="U179" s="146">
        <f t="shared" si="22"/>
        <v>4.6511627906976827E-2</v>
      </c>
      <c r="V179" s="146">
        <f t="shared" si="23"/>
        <v>4.4444444444444509E-2</v>
      </c>
      <c r="W179" s="146">
        <f t="shared" si="24"/>
        <v>4.2553191489361764E-2</v>
      </c>
      <c r="X179" s="146">
        <f t="shared" si="24"/>
        <v>4.0816326530612068E-2</v>
      </c>
    </row>
    <row r="180" spans="1:24">
      <c r="A180" s="139" t="s">
        <v>386</v>
      </c>
      <c r="B180" s="139" t="s">
        <v>209</v>
      </c>
      <c r="C180" s="851">
        <v>70.777000000000001</v>
      </c>
      <c r="D180" s="851">
        <v>75.334000000000003</v>
      </c>
      <c r="E180" s="851">
        <v>80.468000000000004</v>
      </c>
      <c r="F180" s="851">
        <v>83.388000000000005</v>
      </c>
      <c r="G180" s="851">
        <v>88.61</v>
      </c>
      <c r="H180" s="851">
        <v>95.066999999999993</v>
      </c>
      <c r="I180" s="851">
        <v>102.65900000000001</v>
      </c>
      <c r="J180" s="851">
        <v>111.349</v>
      </c>
      <c r="K180" s="851">
        <v>121.033</v>
      </c>
      <c r="L180" s="851">
        <v>132.428</v>
      </c>
      <c r="M180" s="851">
        <v>2016</v>
      </c>
      <c r="N180" s="851"/>
      <c r="P180" s="146">
        <f t="shared" si="17"/>
        <v>6.4385322915636367E-2</v>
      </c>
      <c r="Q180" s="146">
        <f t="shared" si="18"/>
        <v>6.8149839381952404E-2</v>
      </c>
      <c r="R180" s="146">
        <f t="shared" si="19"/>
        <v>3.6287716856390206E-2</v>
      </c>
      <c r="S180" s="146">
        <f t="shared" si="20"/>
        <v>6.2622919364896612E-2</v>
      </c>
      <c r="T180" s="146">
        <f t="shared" si="21"/>
        <v>7.2869879246134639E-2</v>
      </c>
      <c r="U180" s="146">
        <f t="shared" si="22"/>
        <v>7.9859467533423878E-2</v>
      </c>
      <c r="V180" s="146">
        <f t="shared" si="23"/>
        <v>8.4649178347733667E-2</v>
      </c>
      <c r="W180" s="146">
        <f t="shared" si="24"/>
        <v>8.6969797663203119E-2</v>
      </c>
      <c r="X180" s="146">
        <f t="shared" si="24"/>
        <v>9.4147877025274163E-2</v>
      </c>
    </row>
    <row r="181" spans="1:24">
      <c r="A181" s="139" t="s">
        <v>387</v>
      </c>
      <c r="B181" s="139" t="s">
        <v>209</v>
      </c>
      <c r="C181" s="851">
        <v>392.56</v>
      </c>
      <c r="D181" s="851">
        <v>373.42099999999999</v>
      </c>
      <c r="E181" s="851">
        <v>340.58</v>
      </c>
      <c r="F181" s="851">
        <v>352.88499999999999</v>
      </c>
      <c r="G181" s="851">
        <v>366.35700000000003</v>
      </c>
      <c r="H181" s="851">
        <v>385.41899999999998</v>
      </c>
      <c r="I181" s="851">
        <v>407.57799999999997</v>
      </c>
      <c r="J181" s="851">
        <v>431.71600000000001</v>
      </c>
      <c r="K181" s="851">
        <v>458.51100000000002</v>
      </c>
      <c r="L181" s="851">
        <v>486.19499999999999</v>
      </c>
      <c r="M181" s="851">
        <v>2016</v>
      </c>
      <c r="N181" s="851"/>
      <c r="P181" s="146">
        <f t="shared" si="17"/>
        <v>-4.8754330548196445E-2</v>
      </c>
      <c r="Q181" s="146">
        <f t="shared" si="18"/>
        <v>-8.7946312606950405E-2</v>
      </c>
      <c r="R181" s="146">
        <f t="shared" si="19"/>
        <v>3.6129543719537249E-2</v>
      </c>
      <c r="S181" s="146">
        <f t="shared" si="20"/>
        <v>3.8176743131615121E-2</v>
      </c>
      <c r="T181" s="146">
        <f t="shared" si="21"/>
        <v>5.2031215453778534E-2</v>
      </c>
      <c r="U181" s="146">
        <f t="shared" si="22"/>
        <v>5.7493273554235724E-2</v>
      </c>
      <c r="V181" s="146">
        <f t="shared" si="23"/>
        <v>5.9223019888217765E-2</v>
      </c>
      <c r="W181" s="146">
        <f t="shared" si="24"/>
        <v>6.2066265785840624E-2</v>
      </c>
      <c r="X181" s="146">
        <f t="shared" si="24"/>
        <v>6.0378049817779722E-2</v>
      </c>
    </row>
    <row r="182" spans="1:24">
      <c r="A182" s="139" t="s">
        <v>388</v>
      </c>
      <c r="B182" s="139" t="s">
        <v>209</v>
      </c>
      <c r="C182" s="851">
        <v>582.82299999999998</v>
      </c>
      <c r="D182" s="851">
        <v>612.77300000000002</v>
      </c>
      <c r="E182" s="851">
        <v>643.13400000000001</v>
      </c>
      <c r="F182" s="851">
        <v>671.11699999999996</v>
      </c>
      <c r="G182" s="851">
        <v>691.94799999999998</v>
      </c>
      <c r="H182" s="851">
        <v>729.04300000000001</v>
      </c>
      <c r="I182" s="851">
        <v>768.31700000000001</v>
      </c>
      <c r="J182" s="851">
        <v>808.67700000000002</v>
      </c>
      <c r="K182" s="851">
        <v>850.65200000000004</v>
      </c>
      <c r="L182" s="851">
        <v>893.71</v>
      </c>
      <c r="M182" s="851">
        <v>2016</v>
      </c>
      <c r="N182" s="851"/>
      <c r="P182" s="146">
        <f t="shared" si="17"/>
        <v>5.1387814139112642E-2</v>
      </c>
      <c r="Q182" s="146">
        <f t="shared" si="18"/>
        <v>4.9546895832551341E-2</v>
      </c>
      <c r="R182" s="146">
        <f t="shared" si="19"/>
        <v>4.3510372643958961E-2</v>
      </c>
      <c r="S182" s="146">
        <f t="shared" si="20"/>
        <v>3.1039297171730151E-2</v>
      </c>
      <c r="T182" s="146">
        <f t="shared" si="21"/>
        <v>5.3609519790504434E-2</v>
      </c>
      <c r="U182" s="146">
        <f t="shared" si="22"/>
        <v>5.387062217180616E-2</v>
      </c>
      <c r="V182" s="146">
        <f t="shared" si="23"/>
        <v>5.25304008631855E-2</v>
      </c>
      <c r="W182" s="146">
        <f t="shared" si="24"/>
        <v>5.1905767073874953E-2</v>
      </c>
      <c r="X182" s="146">
        <f t="shared" si="24"/>
        <v>5.0617643877872487E-2</v>
      </c>
    </row>
    <row r="183" spans="1:24">
      <c r="A183" s="139" t="s">
        <v>389</v>
      </c>
      <c r="B183" s="139" t="s">
        <v>209</v>
      </c>
      <c r="C183" s="1168">
        <v>2492.0100000000002</v>
      </c>
      <c r="D183" s="1168">
        <v>2614.63</v>
      </c>
      <c r="E183" s="1168">
        <v>2700.97</v>
      </c>
      <c r="F183" s="1168">
        <v>2784.83</v>
      </c>
      <c r="G183" s="1168">
        <v>2880.25</v>
      </c>
      <c r="H183" s="1168">
        <v>2980.09</v>
      </c>
      <c r="I183" s="1168">
        <v>3091.26</v>
      </c>
      <c r="J183" s="1168">
        <v>3210.51</v>
      </c>
      <c r="K183" s="1168">
        <v>3333.38</v>
      </c>
      <c r="L183" s="1168">
        <v>3456.2</v>
      </c>
      <c r="M183" s="851">
        <v>2016</v>
      </c>
      <c r="N183" s="851"/>
      <c r="P183" s="146">
        <f t="shared" si="17"/>
        <v>4.9205260010995122E-2</v>
      </c>
      <c r="Q183" s="146">
        <f t="shared" si="18"/>
        <v>3.3021880724997343E-2</v>
      </c>
      <c r="R183" s="146">
        <f t="shared" si="19"/>
        <v>3.1048104940077037E-2</v>
      </c>
      <c r="S183" s="146">
        <f t="shared" si="20"/>
        <v>3.4264210023592145E-2</v>
      </c>
      <c r="T183" s="146">
        <f t="shared" si="21"/>
        <v>3.4663657668605241E-2</v>
      </c>
      <c r="U183" s="146">
        <f t="shared" si="22"/>
        <v>3.7304242489320849E-2</v>
      </c>
      <c r="V183" s="146">
        <f t="shared" si="23"/>
        <v>3.8576502785272027E-2</v>
      </c>
      <c r="W183" s="146">
        <f t="shared" si="24"/>
        <v>3.8271178099429592E-2</v>
      </c>
      <c r="X183" s="146">
        <f t="shared" si="24"/>
        <v>3.6845484163221531E-2</v>
      </c>
    </row>
    <row r="184" spans="1:24">
      <c r="A184" s="139" t="s">
        <v>390</v>
      </c>
      <c r="B184" s="139" t="s">
        <v>209</v>
      </c>
      <c r="C184" s="1168">
        <v>16691.5</v>
      </c>
      <c r="D184" s="1168">
        <v>17427.599999999999</v>
      </c>
      <c r="E184" s="1168">
        <v>18120.7</v>
      </c>
      <c r="F184" s="1168">
        <v>18624.45</v>
      </c>
      <c r="G184" s="1168">
        <v>19362.13</v>
      </c>
      <c r="H184" s="1168">
        <v>20199.96</v>
      </c>
      <c r="I184" s="1168">
        <v>21024.42</v>
      </c>
      <c r="J184" s="1168">
        <v>21846.33</v>
      </c>
      <c r="K184" s="1168">
        <v>22680.52</v>
      </c>
      <c r="L184" s="1168">
        <v>23505.31</v>
      </c>
      <c r="M184" s="851">
        <v>2016</v>
      </c>
      <c r="N184" s="851"/>
      <c r="P184" s="146">
        <f t="shared" si="17"/>
        <v>4.4100290567055112E-2</v>
      </c>
      <c r="Q184" s="146">
        <f t="shared" si="18"/>
        <v>3.9770249489315956E-2</v>
      </c>
      <c r="R184" s="146">
        <f t="shared" si="19"/>
        <v>2.779969868713672E-2</v>
      </c>
      <c r="S184" s="146">
        <f t="shared" si="20"/>
        <v>3.9608149502401435E-2</v>
      </c>
      <c r="T184" s="146">
        <f t="shared" si="21"/>
        <v>4.3271582207122794E-2</v>
      </c>
      <c r="U184" s="146">
        <f t="shared" si="22"/>
        <v>4.0814932306796559E-2</v>
      </c>
      <c r="V184" s="146">
        <f t="shared" si="23"/>
        <v>3.9093111724366469E-2</v>
      </c>
      <c r="W184" s="146">
        <f t="shared" si="24"/>
        <v>3.8184445625420782E-2</v>
      </c>
      <c r="X184" s="146">
        <f t="shared" si="24"/>
        <v>3.6365568337939358E-2</v>
      </c>
    </row>
    <row r="185" spans="1:24">
      <c r="A185" s="139" t="s">
        <v>391</v>
      </c>
      <c r="B185" s="139" t="s">
        <v>209</v>
      </c>
      <c r="C185" s="851">
        <v>67.963999999999999</v>
      </c>
      <c r="D185" s="851">
        <v>71.424999999999997</v>
      </c>
      <c r="E185" s="851">
        <v>72.466999999999999</v>
      </c>
      <c r="F185" s="851">
        <v>74.457999999999998</v>
      </c>
      <c r="G185" s="851">
        <v>78.406999999999996</v>
      </c>
      <c r="H185" s="851">
        <v>82.406000000000006</v>
      </c>
      <c r="I185" s="851">
        <v>86.774000000000001</v>
      </c>
      <c r="J185" s="851">
        <v>91.346000000000004</v>
      </c>
      <c r="K185" s="851">
        <v>96.04</v>
      </c>
      <c r="L185" s="851">
        <v>100.825</v>
      </c>
      <c r="M185" s="851">
        <v>2016</v>
      </c>
      <c r="N185" s="851"/>
      <c r="P185" s="146">
        <f t="shared" si="17"/>
        <v>5.0924018598081267E-2</v>
      </c>
      <c r="Q185" s="146">
        <f t="shared" si="18"/>
        <v>1.4588729436471937E-2</v>
      </c>
      <c r="R185" s="146">
        <f t="shared" si="19"/>
        <v>2.7474574633971294E-2</v>
      </c>
      <c r="S185" s="146">
        <f t="shared" si="20"/>
        <v>5.3036611243922671E-2</v>
      </c>
      <c r="T185" s="146">
        <f t="shared" si="21"/>
        <v>5.1003099213080549E-2</v>
      </c>
      <c r="U185" s="146">
        <f t="shared" si="22"/>
        <v>5.3005849088658463E-2</v>
      </c>
      <c r="V185" s="146">
        <f t="shared" si="23"/>
        <v>5.2688593357457236E-2</v>
      </c>
      <c r="W185" s="146">
        <f t="shared" si="24"/>
        <v>5.1387033915004432E-2</v>
      </c>
      <c r="X185" s="146">
        <f t="shared" si="24"/>
        <v>4.9822990420657964E-2</v>
      </c>
    </row>
    <row r="186" spans="1:24">
      <c r="A186" s="139" t="s">
        <v>392</v>
      </c>
      <c r="B186" s="139" t="s">
        <v>209</v>
      </c>
      <c r="C186" s="851">
        <v>156.78800000000001</v>
      </c>
      <c r="D186" s="851">
        <v>172.53</v>
      </c>
      <c r="E186" s="851">
        <v>188.35300000000001</v>
      </c>
      <c r="F186" s="851">
        <v>205.63499999999999</v>
      </c>
      <c r="G186" s="851">
        <v>221.71600000000001</v>
      </c>
      <c r="H186" s="851">
        <v>239.66399999999999</v>
      </c>
      <c r="I186" s="851">
        <v>259.46499999999997</v>
      </c>
      <c r="J186" s="851">
        <v>280.81799999999998</v>
      </c>
      <c r="K186" s="851">
        <v>303.84899999999999</v>
      </c>
      <c r="L186" s="851">
        <v>328.27699999999999</v>
      </c>
      <c r="M186" s="851">
        <v>2016</v>
      </c>
      <c r="N186" s="851"/>
      <c r="P186" s="146">
        <f t="shared" si="17"/>
        <v>0.10040309207337295</v>
      </c>
      <c r="Q186" s="146">
        <f t="shared" si="18"/>
        <v>9.1711586390772704E-2</v>
      </c>
      <c r="R186" s="146">
        <f t="shared" si="19"/>
        <v>9.1753250545518084E-2</v>
      </c>
      <c r="S186" s="146">
        <f t="shared" si="20"/>
        <v>7.8201668003987646E-2</v>
      </c>
      <c r="T186" s="146">
        <f t="shared" si="21"/>
        <v>8.0950405022641503E-2</v>
      </c>
      <c r="U186" s="146">
        <f t="shared" si="22"/>
        <v>8.2619834434875417E-2</v>
      </c>
      <c r="V186" s="146">
        <f t="shared" si="23"/>
        <v>8.2296263465207353E-2</v>
      </c>
      <c r="W186" s="146">
        <f t="shared" si="24"/>
        <v>8.2013973463239465E-2</v>
      </c>
      <c r="X186" s="146">
        <f t="shared" si="24"/>
        <v>8.0395196298161276E-2</v>
      </c>
    </row>
    <row r="187" spans="1:24">
      <c r="A187" s="139" t="s">
        <v>393</v>
      </c>
      <c r="B187" s="139" t="s">
        <v>209</v>
      </c>
      <c r="C187" s="851">
        <v>0.65700000000000003</v>
      </c>
      <c r="D187" s="851">
        <v>0.68400000000000005</v>
      </c>
      <c r="E187" s="851">
        <v>0.70299999999999996</v>
      </c>
      <c r="F187" s="851">
        <v>0.74</v>
      </c>
      <c r="G187" s="851">
        <v>0.78700000000000003</v>
      </c>
      <c r="H187" s="851">
        <v>0.83399999999999996</v>
      </c>
      <c r="I187" s="851">
        <v>0.88200000000000001</v>
      </c>
      <c r="J187" s="851">
        <v>0.92800000000000005</v>
      </c>
      <c r="K187" s="851">
        <v>0.97499999999999998</v>
      </c>
      <c r="L187" s="851">
        <v>1.024</v>
      </c>
      <c r="M187" s="851">
        <v>2015</v>
      </c>
      <c r="N187" s="851"/>
      <c r="P187" s="146">
        <f t="shared" si="17"/>
        <v>4.1095890410958846E-2</v>
      </c>
      <c r="Q187" s="146">
        <f t="shared" si="18"/>
        <v>2.7777777777777679E-2</v>
      </c>
      <c r="R187" s="146">
        <f t="shared" si="19"/>
        <v>5.2631578947368363E-2</v>
      </c>
      <c r="S187" s="146">
        <f t="shared" si="20"/>
        <v>6.3513513513513642E-2</v>
      </c>
      <c r="T187" s="146">
        <f t="shared" si="21"/>
        <v>5.9720457433290797E-2</v>
      </c>
      <c r="U187" s="146">
        <f t="shared" si="22"/>
        <v>5.755395683453246E-2</v>
      </c>
      <c r="V187" s="146">
        <f t="shared" si="23"/>
        <v>5.2154195011338E-2</v>
      </c>
      <c r="W187" s="146">
        <f t="shared" si="24"/>
        <v>5.06465517241379E-2</v>
      </c>
      <c r="X187" s="146">
        <f t="shared" si="24"/>
        <v>5.0256410256410255E-2</v>
      </c>
    </row>
    <row r="188" spans="1:24">
      <c r="A188" s="139" t="s">
        <v>394</v>
      </c>
      <c r="B188" s="139" t="s">
        <v>209</v>
      </c>
      <c r="C188" s="851">
        <v>554.24699999999996</v>
      </c>
      <c r="D188" s="851">
        <v>542.22199999999998</v>
      </c>
      <c r="E188" s="851">
        <v>514.00199999999995</v>
      </c>
      <c r="F188" s="851">
        <v>434.899</v>
      </c>
      <c r="G188" s="851">
        <v>389.37799999999999</v>
      </c>
      <c r="H188" s="851">
        <v>373.11900000000003</v>
      </c>
      <c r="I188" s="851">
        <v>373.46</v>
      </c>
      <c r="J188" s="851">
        <v>375.97699999999998</v>
      </c>
      <c r="K188" s="851">
        <v>378.41300000000001</v>
      </c>
      <c r="L188" s="851">
        <v>380.68</v>
      </c>
      <c r="M188" s="851">
        <v>2016</v>
      </c>
      <c r="N188" s="851"/>
      <c r="P188" s="146">
        <f t="shared" si="17"/>
        <v>-2.1696103001008549E-2</v>
      </c>
      <c r="Q188" s="146">
        <f t="shared" si="18"/>
        <v>-5.2045103297173489E-2</v>
      </c>
      <c r="R188" s="146">
        <f t="shared" si="19"/>
        <v>-0.15389628834129043</v>
      </c>
      <c r="S188" s="146">
        <f t="shared" si="20"/>
        <v>-0.10467027976610666</v>
      </c>
      <c r="T188" s="146">
        <f t="shared" si="21"/>
        <v>-4.1756339598025494E-2</v>
      </c>
      <c r="U188" s="146">
        <f t="shared" si="22"/>
        <v>9.1391754373248979E-4</v>
      </c>
      <c r="V188" s="146">
        <f t="shared" si="23"/>
        <v>6.7396776093824329E-3</v>
      </c>
      <c r="W188" s="146">
        <f t="shared" si="24"/>
        <v>6.4791197333879946E-3</v>
      </c>
      <c r="X188" s="146">
        <f t="shared" si="24"/>
        <v>5.9908089838351941E-3</v>
      </c>
    </row>
    <row r="189" spans="1:24">
      <c r="A189" s="139" t="s">
        <v>395</v>
      </c>
      <c r="B189" s="139" t="s">
        <v>209</v>
      </c>
      <c r="C189" s="851">
        <v>475.75400000000002</v>
      </c>
      <c r="D189" s="851">
        <v>513.27099999999996</v>
      </c>
      <c r="E189" s="851">
        <v>553.49099999999999</v>
      </c>
      <c r="F189" s="851">
        <v>595.36800000000005</v>
      </c>
      <c r="G189" s="851">
        <v>643.90200000000004</v>
      </c>
      <c r="H189" s="851">
        <v>697.75199999999995</v>
      </c>
      <c r="I189" s="851">
        <v>756.82600000000002</v>
      </c>
      <c r="J189" s="851">
        <v>820.65599999999995</v>
      </c>
      <c r="K189" s="851">
        <v>889.63699999999994</v>
      </c>
      <c r="L189" s="851">
        <v>962.97400000000005</v>
      </c>
      <c r="M189" s="851">
        <v>2016</v>
      </c>
      <c r="N189" s="851"/>
      <c r="P189" s="146">
        <f t="shared" si="17"/>
        <v>7.8857981225591178E-2</v>
      </c>
      <c r="Q189" s="146">
        <f t="shared" si="18"/>
        <v>7.8360164513483266E-2</v>
      </c>
      <c r="R189" s="146">
        <f t="shared" si="19"/>
        <v>7.5659766825477037E-2</v>
      </c>
      <c r="S189" s="146">
        <f t="shared" si="20"/>
        <v>8.1519329221590553E-2</v>
      </c>
      <c r="T189" s="146">
        <f t="shared" si="21"/>
        <v>8.3630738839139962E-2</v>
      </c>
      <c r="U189" s="146">
        <f t="shared" si="22"/>
        <v>8.4663318772286056E-2</v>
      </c>
      <c r="V189" s="146">
        <f t="shared" si="23"/>
        <v>8.4339068689500474E-2</v>
      </c>
      <c r="W189" s="146">
        <f t="shared" si="24"/>
        <v>8.4055925990914604E-2</v>
      </c>
      <c r="X189" s="146">
        <f t="shared" si="24"/>
        <v>8.2434745857018266E-2</v>
      </c>
    </row>
    <row r="190" spans="1:24">
      <c r="A190" s="139" t="s">
        <v>396</v>
      </c>
      <c r="B190" s="139" t="s">
        <v>209</v>
      </c>
      <c r="C190" s="851">
        <v>102.505</v>
      </c>
      <c r="D190" s="851">
        <v>104.148</v>
      </c>
      <c r="E190" s="851">
        <v>75.697999999999993</v>
      </c>
      <c r="F190" s="851">
        <v>69.167000000000002</v>
      </c>
      <c r="G190" s="851">
        <v>68.953999999999994</v>
      </c>
      <c r="H190" s="851">
        <v>76.296999999999997</v>
      </c>
      <c r="I190" s="851">
        <v>88.417000000000002</v>
      </c>
      <c r="J190" s="851">
        <v>96.938999999999993</v>
      </c>
      <c r="K190" s="851">
        <v>104.41500000000001</v>
      </c>
      <c r="L190" s="851">
        <v>112.26600000000001</v>
      </c>
      <c r="M190" s="851">
        <v>2008</v>
      </c>
      <c r="N190" s="851"/>
      <c r="P190" s="146">
        <f t="shared" si="17"/>
        <v>1.6028486415296861E-2</v>
      </c>
      <c r="Q190" s="146">
        <f t="shared" si="18"/>
        <v>-0.27316895187617629</v>
      </c>
      <c r="R190" s="146">
        <f t="shared" si="19"/>
        <v>-8.6277048270759993E-2</v>
      </c>
      <c r="S190" s="146">
        <f t="shared" si="20"/>
        <v>-3.0795032313098991E-3</v>
      </c>
      <c r="T190" s="146">
        <f t="shared" si="21"/>
        <v>0.10649128404443542</v>
      </c>
      <c r="U190" s="146">
        <f t="shared" si="22"/>
        <v>0.15885290378389727</v>
      </c>
      <c r="V190" s="146">
        <f t="shared" si="23"/>
        <v>9.6384179512989387E-2</v>
      </c>
      <c r="W190" s="146">
        <f t="shared" si="24"/>
        <v>7.7120663510042542E-2</v>
      </c>
      <c r="X190" s="146">
        <f t="shared" si="24"/>
        <v>7.5190346214624393E-2</v>
      </c>
    </row>
    <row r="191" spans="1:24">
      <c r="A191" s="139" t="s">
        <v>397</v>
      </c>
      <c r="B191" s="139" t="s">
        <v>209</v>
      </c>
      <c r="C191" s="851">
        <v>56.088000000000001</v>
      </c>
      <c r="D191" s="851">
        <v>59.773000000000003</v>
      </c>
      <c r="E191" s="851">
        <v>62.188000000000002</v>
      </c>
      <c r="F191" s="851">
        <v>65.132999999999996</v>
      </c>
      <c r="G191" s="851">
        <v>68.903999999999996</v>
      </c>
      <c r="H191" s="851">
        <v>73.391000000000005</v>
      </c>
      <c r="I191" s="851">
        <v>78.3</v>
      </c>
      <c r="J191" s="851">
        <v>83.519000000000005</v>
      </c>
      <c r="K191" s="851">
        <v>89.072000000000003</v>
      </c>
      <c r="L191" s="851">
        <v>94.864999999999995</v>
      </c>
      <c r="M191" s="851">
        <v>2015</v>
      </c>
      <c r="N191" s="851"/>
      <c r="P191" s="146">
        <f t="shared" si="17"/>
        <v>6.5700328055912083E-2</v>
      </c>
      <c r="Q191" s="146">
        <f t="shared" si="18"/>
        <v>4.0402857477456422E-2</v>
      </c>
      <c r="R191" s="146">
        <f t="shared" si="19"/>
        <v>4.735640316459766E-2</v>
      </c>
      <c r="S191" s="146">
        <f t="shared" si="20"/>
        <v>5.7896918612684756E-2</v>
      </c>
      <c r="T191" s="146">
        <f t="shared" si="21"/>
        <v>6.5119586671311014E-2</v>
      </c>
      <c r="U191" s="146">
        <f t="shared" si="22"/>
        <v>6.6888310555790031E-2</v>
      </c>
      <c r="V191" s="146">
        <f t="shared" si="23"/>
        <v>6.6653895274584984E-2</v>
      </c>
      <c r="W191" s="146">
        <f t="shared" si="24"/>
        <v>6.6487865036698235E-2</v>
      </c>
      <c r="X191" s="146">
        <f t="shared" si="24"/>
        <v>6.5037273217172453E-2</v>
      </c>
    </row>
    <row r="192" spans="1:24">
      <c r="A192" s="139" t="s">
        <v>398</v>
      </c>
      <c r="B192" s="139" t="s">
        <v>209</v>
      </c>
      <c r="C192" s="851">
        <v>29.619</v>
      </c>
      <c r="D192" s="851">
        <v>30.984000000000002</v>
      </c>
      <c r="E192" s="851">
        <v>31.765999999999998</v>
      </c>
      <c r="F192" s="851">
        <v>32.381</v>
      </c>
      <c r="G192" s="851">
        <v>33.872</v>
      </c>
      <c r="H192" s="851">
        <v>34.822000000000003</v>
      </c>
      <c r="I192" s="851">
        <v>35.671999999999997</v>
      </c>
      <c r="J192" s="851">
        <v>36.325000000000003</v>
      </c>
      <c r="K192" s="851">
        <v>36.811999999999998</v>
      </c>
      <c r="L192" s="851">
        <v>37.164000000000001</v>
      </c>
      <c r="M192" s="851">
        <v>2013</v>
      </c>
      <c r="N192" s="851"/>
      <c r="P192" s="146">
        <f t="shared" si="17"/>
        <v>4.6085283095310459E-2</v>
      </c>
      <c r="Q192" s="146">
        <f t="shared" si="18"/>
        <v>2.523883294603646E-2</v>
      </c>
      <c r="R192" s="146">
        <f t="shared" si="19"/>
        <v>1.9360322357237392E-2</v>
      </c>
      <c r="S192" s="146">
        <f t="shared" si="20"/>
        <v>4.6045520521293293E-2</v>
      </c>
      <c r="T192" s="146">
        <f t="shared" si="21"/>
        <v>2.8046764289088477E-2</v>
      </c>
      <c r="U192" s="146">
        <f t="shared" si="22"/>
        <v>2.440985583826305E-2</v>
      </c>
      <c r="V192" s="146">
        <f t="shared" si="23"/>
        <v>1.8305673917919041E-2</v>
      </c>
      <c r="W192" s="146">
        <f t="shared" si="24"/>
        <v>1.3406744666207615E-2</v>
      </c>
      <c r="X192" s="146">
        <f t="shared" si="24"/>
        <v>9.5620993154408307E-3</v>
      </c>
    </row>
    <row r="193" spans="14:14">
      <c r="N193" s="851"/>
    </row>
    <row r="214" spans="1:1">
      <c r="A214" s="156"/>
    </row>
    <row r="345" spans="1:3">
      <c r="A345" s="156"/>
      <c r="C345" s="156"/>
    </row>
    <row r="346" spans="1:3">
      <c r="A346" s="156"/>
      <c r="C346" s="156"/>
    </row>
    <row r="347" spans="1:3">
      <c r="A347" s="156"/>
    </row>
  </sheetData>
  <conditionalFormatting sqref="A345:A346">
    <cfRule type="duplicateValues" dxfId="3" priority="2"/>
  </conditionalFormatting>
  <conditionalFormatting sqref="A347">
    <cfRule type="duplicateValues" dxfId="2" priority="1"/>
  </conditionalFormatting>
  <conditionalFormatting sqref="C345:C346">
    <cfRule type="duplicateValues" dxfId="1" priority="986"/>
  </conditionalFormatting>
  <conditionalFormatting sqref="A348:A370 A1:A344">
    <cfRule type="duplicateValues" dxfId="0" priority="998"/>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Y190"/>
  <sheetViews>
    <sheetView topLeftCell="M1" workbookViewId="0">
      <selection activeCell="W1" sqref="W1"/>
    </sheetView>
  </sheetViews>
  <sheetFormatPr defaultColWidth="11" defaultRowHeight="15.75"/>
  <cols>
    <col min="11" max="11" width="11" style="851"/>
    <col min="14" max="14" width="11" style="851"/>
  </cols>
  <sheetData>
    <row r="1" spans="1:25">
      <c r="A1" s="139" t="s">
        <v>205</v>
      </c>
      <c r="B1" s="139">
        <v>2013</v>
      </c>
      <c r="C1" s="139">
        <v>2014</v>
      </c>
      <c r="D1" s="139">
        <v>2015</v>
      </c>
      <c r="E1" s="139">
        <v>2016</v>
      </c>
      <c r="F1" s="139">
        <v>2017</v>
      </c>
      <c r="G1" s="139">
        <v>2018</v>
      </c>
      <c r="H1" s="139">
        <v>2019</v>
      </c>
      <c r="I1" s="139">
        <v>2020</v>
      </c>
      <c r="J1" s="139">
        <v>2021</v>
      </c>
      <c r="K1" s="851">
        <v>2022</v>
      </c>
      <c r="L1" s="139" t="s">
        <v>207</v>
      </c>
      <c r="O1" s="156" t="s">
        <v>400</v>
      </c>
      <c r="P1" s="156">
        <v>2013</v>
      </c>
      <c r="Q1" s="156">
        <v>2014</v>
      </c>
      <c r="R1" s="156">
        <v>2015</v>
      </c>
      <c r="S1" s="156">
        <v>2016</v>
      </c>
      <c r="T1" s="156">
        <v>2017</v>
      </c>
      <c r="U1" s="156">
        <v>2018</v>
      </c>
      <c r="V1" s="156">
        <v>2019</v>
      </c>
      <c r="W1" s="156">
        <v>2020</v>
      </c>
      <c r="X1" s="156">
        <v>2021</v>
      </c>
      <c r="Y1" s="851">
        <v>2021</v>
      </c>
    </row>
    <row r="2" spans="1:25">
      <c r="A2" s="851" t="s">
        <v>208</v>
      </c>
      <c r="B2" s="851">
        <v>660.221</v>
      </c>
      <c r="C2" s="851">
        <v>659.1</v>
      </c>
      <c r="D2" s="851">
        <v>627.34400000000005</v>
      </c>
      <c r="E2" s="851">
        <v>582.46100000000001</v>
      </c>
      <c r="F2" s="851">
        <v>572.16300000000001</v>
      </c>
      <c r="G2" s="851">
        <v>610.23500000000001</v>
      </c>
      <c r="H2" s="851">
        <v>647.27800000000002</v>
      </c>
      <c r="I2" s="851">
        <v>690.375</v>
      </c>
      <c r="J2" s="851">
        <v>730.70699999999999</v>
      </c>
      <c r="K2" s="851">
        <v>778.69299999999998</v>
      </c>
      <c r="L2" s="851">
        <v>2013</v>
      </c>
      <c r="O2" s="156"/>
      <c r="P2" s="156"/>
      <c r="Q2" s="146">
        <f>C2/B2-1</f>
        <v>-1.6979163037831313E-3</v>
      </c>
      <c r="R2" s="146">
        <f t="shared" ref="R2:Y17" si="0">D2/C2-1</f>
        <v>-4.818085267789407E-2</v>
      </c>
      <c r="S2" s="146">
        <f t="shared" si="0"/>
        <v>-7.1544479583769083E-2</v>
      </c>
      <c r="T2" s="146">
        <f t="shared" si="0"/>
        <v>-1.7680153692693601E-2</v>
      </c>
      <c r="U2" s="146">
        <f t="shared" si="0"/>
        <v>6.6540478849558715E-2</v>
      </c>
      <c r="V2" s="146">
        <f t="shared" si="0"/>
        <v>6.0702843986333077E-2</v>
      </c>
      <c r="W2" s="146">
        <f t="shared" si="0"/>
        <v>6.6581901439566993E-2</v>
      </c>
      <c r="X2" s="146">
        <f t="shared" si="0"/>
        <v>5.8420423682780998E-2</v>
      </c>
      <c r="Y2" s="146">
        <f t="shared" si="0"/>
        <v>6.5670645005453609E-2</v>
      </c>
    </row>
    <row r="3" spans="1:25">
      <c r="A3" s="851" t="s">
        <v>210</v>
      </c>
      <c r="B3" s="1168">
        <v>4415.66</v>
      </c>
      <c r="C3" s="1168">
        <v>4584.91</v>
      </c>
      <c r="D3" s="1168">
        <v>3935.67</v>
      </c>
      <c r="E3" s="1168">
        <v>4125.7</v>
      </c>
      <c r="F3" s="1168">
        <v>4520.2700000000004</v>
      </c>
      <c r="G3" s="1168">
        <v>4912.45</v>
      </c>
      <c r="H3" s="1168">
        <v>5184.18</v>
      </c>
      <c r="I3" s="1168">
        <v>5518.14</v>
      </c>
      <c r="J3" s="1168">
        <v>5852.77</v>
      </c>
      <c r="K3" s="1168">
        <v>6206.26</v>
      </c>
      <c r="L3" s="851">
        <v>2011</v>
      </c>
      <c r="O3" s="156"/>
      <c r="P3" s="156"/>
      <c r="Q3" s="146">
        <f t="shared" ref="Q3:X47" si="1">C3/B3-1</f>
        <v>3.8329490948125544E-2</v>
      </c>
      <c r="R3" s="146">
        <f t="shared" si="0"/>
        <v>-0.1416036519800824</v>
      </c>
      <c r="S3" s="146">
        <f t="shared" si="0"/>
        <v>4.8284027878353619E-2</v>
      </c>
      <c r="T3" s="146">
        <f t="shared" si="0"/>
        <v>9.5637104006592866E-2</v>
      </c>
      <c r="U3" s="146">
        <f t="shared" si="0"/>
        <v>8.6760304141124234E-2</v>
      </c>
      <c r="V3" s="146">
        <f t="shared" si="0"/>
        <v>5.5314557908986428E-2</v>
      </c>
      <c r="W3" s="146">
        <f t="shared" si="0"/>
        <v>6.4419059523396216E-2</v>
      </c>
      <c r="X3" s="146">
        <f t="shared" si="0"/>
        <v>6.0641810465120516E-2</v>
      </c>
      <c r="Y3" s="146">
        <f t="shared" si="0"/>
        <v>6.0397042767783349E-2</v>
      </c>
    </row>
    <row r="4" spans="1:25">
      <c r="A4" s="851" t="s">
        <v>211</v>
      </c>
      <c r="B4" s="1168">
        <v>5477.06</v>
      </c>
      <c r="C4" s="1168">
        <v>5466.33</v>
      </c>
      <c r="D4" s="1168">
        <v>4150.6899999999996</v>
      </c>
      <c r="E4" s="1168">
        <v>3901.81</v>
      </c>
      <c r="F4" s="1168">
        <v>4225</v>
      </c>
      <c r="G4" s="1168">
        <v>4249.68</v>
      </c>
      <c r="H4" s="1168">
        <v>4302.75</v>
      </c>
      <c r="I4" s="1168">
        <v>4371.4399999999996</v>
      </c>
      <c r="J4" s="1168">
        <v>4475.3599999999997</v>
      </c>
      <c r="K4" s="1168">
        <v>4573.62</v>
      </c>
      <c r="L4" s="851">
        <v>2016</v>
      </c>
      <c r="O4" s="156"/>
      <c r="P4" s="156"/>
      <c r="Q4" s="146">
        <f t="shared" si="1"/>
        <v>-1.9590802364772841E-3</v>
      </c>
      <c r="R4" s="146">
        <f t="shared" si="0"/>
        <v>-0.24068067606602606</v>
      </c>
      <c r="S4" s="146">
        <f t="shared" si="0"/>
        <v>-5.9961114898968493E-2</v>
      </c>
      <c r="T4" s="146">
        <f t="shared" si="0"/>
        <v>8.2830788787767728E-2</v>
      </c>
      <c r="U4" s="146">
        <f t="shared" si="0"/>
        <v>5.8414201183432102E-3</v>
      </c>
      <c r="V4" s="146">
        <f t="shared" si="0"/>
        <v>1.2487999096402413E-2</v>
      </c>
      <c r="W4" s="146">
        <f t="shared" si="0"/>
        <v>1.5964208936145363E-2</v>
      </c>
      <c r="X4" s="146">
        <f t="shared" si="0"/>
        <v>2.3772486869315435E-2</v>
      </c>
      <c r="Y4" s="146">
        <f t="shared" si="0"/>
        <v>2.195577562475437E-2</v>
      </c>
    </row>
    <row r="5" spans="1:25">
      <c r="A5" s="851" t="s">
        <v>212</v>
      </c>
      <c r="B5" s="1168">
        <v>4988.92</v>
      </c>
      <c r="C5" s="1168">
        <v>4915.92</v>
      </c>
      <c r="D5" s="1168">
        <v>3876.2</v>
      </c>
      <c r="E5" s="1168">
        <v>3484.53</v>
      </c>
      <c r="F5" s="1168">
        <v>4401.43</v>
      </c>
      <c r="G5" s="1168">
        <v>4762.6000000000004</v>
      </c>
      <c r="H5" s="1168">
        <v>4692.21</v>
      </c>
      <c r="I5" s="1168">
        <v>4714.03</v>
      </c>
      <c r="J5" s="1168">
        <v>4741.24</v>
      </c>
      <c r="K5" s="1168">
        <v>4728.13</v>
      </c>
      <c r="L5" s="851">
        <v>2015</v>
      </c>
      <c r="O5" s="156"/>
      <c r="P5" s="156"/>
      <c r="Q5" s="146">
        <f t="shared" si="1"/>
        <v>-1.4632425454807807E-2</v>
      </c>
      <c r="R5" s="146">
        <f t="shared" si="0"/>
        <v>-0.21150059398851084</v>
      </c>
      <c r="S5" s="146">
        <f t="shared" si="0"/>
        <v>-0.10104483772767137</v>
      </c>
      <c r="T5" s="146">
        <f t="shared" si="0"/>
        <v>0.26313448298622766</v>
      </c>
      <c r="U5" s="146">
        <f t="shared" si="0"/>
        <v>8.2057422246860634E-2</v>
      </c>
      <c r="V5" s="146">
        <f t="shared" si="0"/>
        <v>-1.4779742157645104E-2</v>
      </c>
      <c r="W5" s="146">
        <f t="shared" si="0"/>
        <v>4.6502607513303484E-3</v>
      </c>
      <c r="X5" s="146">
        <f t="shared" si="0"/>
        <v>5.7721312762115673E-3</v>
      </c>
      <c r="Y5" s="146">
        <f t="shared" si="0"/>
        <v>-2.765099425466655E-3</v>
      </c>
    </row>
    <row r="6" spans="1:25">
      <c r="A6" s="851" t="s">
        <v>213</v>
      </c>
      <c r="B6" s="1168">
        <v>13646.31</v>
      </c>
      <c r="C6" s="1168">
        <v>14488.09</v>
      </c>
      <c r="D6" s="1168">
        <v>15282.67</v>
      </c>
      <c r="E6" s="1168">
        <v>16175.59</v>
      </c>
      <c r="F6" s="1168">
        <v>16826.189999999999</v>
      </c>
      <c r="G6" s="1168">
        <v>17354.939999999999</v>
      </c>
      <c r="H6" s="1168">
        <v>17951.84</v>
      </c>
      <c r="I6" s="1168">
        <v>18478.91</v>
      </c>
      <c r="J6" s="1168">
        <v>19021.46</v>
      </c>
      <c r="K6" s="1168">
        <v>19579.939999999999</v>
      </c>
      <c r="L6" s="851">
        <v>2011</v>
      </c>
      <c r="O6" s="156"/>
      <c r="P6" s="156"/>
      <c r="Q6" s="146">
        <f t="shared" si="1"/>
        <v>6.1685539900529829E-2</v>
      </c>
      <c r="R6" s="146">
        <f t="shared" si="0"/>
        <v>5.4843668143972124E-2</v>
      </c>
      <c r="S6" s="146">
        <f t="shared" si="0"/>
        <v>5.8426963351299266E-2</v>
      </c>
      <c r="T6" s="146">
        <f t="shared" si="0"/>
        <v>4.022109858125722E-2</v>
      </c>
      <c r="U6" s="146">
        <f t="shared" si="0"/>
        <v>3.1424226161715696E-2</v>
      </c>
      <c r="V6" s="146">
        <f t="shared" si="0"/>
        <v>3.4393665434740761E-2</v>
      </c>
      <c r="W6" s="146">
        <f t="shared" si="0"/>
        <v>2.9360221570602141E-2</v>
      </c>
      <c r="X6" s="146">
        <f t="shared" si="0"/>
        <v>2.9360497994741053E-2</v>
      </c>
      <c r="Y6" s="146">
        <f t="shared" si="0"/>
        <v>2.9360522273264023E-2</v>
      </c>
    </row>
    <row r="7" spans="1:25">
      <c r="A7" s="851" t="s">
        <v>214</v>
      </c>
      <c r="B7" s="1168">
        <v>14488.83</v>
      </c>
      <c r="C7" s="1168">
        <v>13208.83</v>
      </c>
      <c r="D7" s="1168">
        <v>14643.92</v>
      </c>
      <c r="E7" s="1168">
        <v>12493.91</v>
      </c>
      <c r="F7" s="1168">
        <v>14061.75</v>
      </c>
      <c r="G7" s="1168">
        <v>14342.15</v>
      </c>
      <c r="H7" s="1168">
        <v>15801.16</v>
      </c>
      <c r="I7" s="1168">
        <v>16792.87</v>
      </c>
      <c r="J7" s="1168">
        <v>17718.14</v>
      </c>
      <c r="K7" s="1168">
        <v>18678.400000000001</v>
      </c>
      <c r="L7" s="851">
        <v>2013</v>
      </c>
      <c r="O7" s="156"/>
      <c r="P7" s="156"/>
      <c r="Q7" s="146">
        <f t="shared" si="1"/>
        <v>-8.8343917348743806E-2</v>
      </c>
      <c r="R7" s="146">
        <f t="shared" si="0"/>
        <v>0.10864626162953117</v>
      </c>
      <c r="S7" s="146">
        <f t="shared" si="0"/>
        <v>-0.14681929428732199</v>
      </c>
      <c r="T7" s="146">
        <f t="shared" si="0"/>
        <v>0.12548833791823388</v>
      </c>
      <c r="U7" s="146">
        <f t="shared" si="0"/>
        <v>1.9940619055238473E-2</v>
      </c>
      <c r="V7" s="146">
        <f t="shared" si="0"/>
        <v>0.10172882029542296</v>
      </c>
      <c r="W7" s="146">
        <f t="shared" si="0"/>
        <v>6.2761847864333919E-2</v>
      </c>
      <c r="X7" s="146">
        <f t="shared" si="0"/>
        <v>5.5098979507374191E-2</v>
      </c>
      <c r="Y7" s="146">
        <f t="shared" si="0"/>
        <v>5.419643371143934E-2</v>
      </c>
    </row>
    <row r="8" spans="1:25">
      <c r="A8" s="851" t="s">
        <v>215</v>
      </c>
      <c r="B8" s="1168">
        <v>3732.04</v>
      </c>
      <c r="C8" s="1168">
        <v>3889</v>
      </c>
      <c r="D8" s="1168">
        <v>3529.03</v>
      </c>
      <c r="E8" s="1168">
        <v>3532.63</v>
      </c>
      <c r="F8" s="1168">
        <v>3690.3</v>
      </c>
      <c r="G8" s="1168">
        <v>3852.85</v>
      </c>
      <c r="H8" s="1168">
        <v>4045.93</v>
      </c>
      <c r="I8" s="1168">
        <v>4248.59</v>
      </c>
      <c r="J8" s="1168">
        <v>4479.3</v>
      </c>
      <c r="K8" s="1168">
        <v>4759.55</v>
      </c>
      <c r="L8" s="851">
        <v>2014</v>
      </c>
      <c r="O8" s="156"/>
      <c r="P8" s="156"/>
      <c r="Q8" s="146">
        <f t="shared" si="1"/>
        <v>4.2057427037223594E-2</v>
      </c>
      <c r="R8" s="146">
        <f t="shared" si="0"/>
        <v>-9.2561069683723241E-2</v>
      </c>
      <c r="S8" s="146">
        <f t="shared" si="0"/>
        <v>1.0201103419353874E-3</v>
      </c>
      <c r="T8" s="146">
        <f t="shared" si="0"/>
        <v>4.4632469293415911E-2</v>
      </c>
      <c r="U8" s="146">
        <f t="shared" si="0"/>
        <v>4.404790938406089E-2</v>
      </c>
      <c r="V8" s="146">
        <f t="shared" si="0"/>
        <v>5.0113552305436126E-2</v>
      </c>
      <c r="W8" s="146">
        <f t="shared" si="0"/>
        <v>5.0089843373464227E-2</v>
      </c>
      <c r="X8" s="146">
        <f t="shared" si="0"/>
        <v>5.4302721608816107E-2</v>
      </c>
      <c r="Y8" s="146">
        <f t="shared" si="0"/>
        <v>6.2565579443216501E-2</v>
      </c>
    </row>
    <row r="9" spans="1:25">
      <c r="A9" s="851" t="s">
        <v>216</v>
      </c>
      <c r="B9" s="1168">
        <v>64733.89</v>
      </c>
      <c r="C9" s="1168">
        <v>61231.97</v>
      </c>
      <c r="D9" s="1168">
        <v>51220.04</v>
      </c>
      <c r="E9" s="1168">
        <v>51737.23</v>
      </c>
      <c r="F9" s="1168">
        <v>56135.42</v>
      </c>
      <c r="G9" s="1168">
        <v>58940.72</v>
      </c>
      <c r="H9" s="1168">
        <v>61250.7</v>
      </c>
      <c r="I9" s="1168">
        <v>62903.4</v>
      </c>
      <c r="J9" s="1168">
        <v>64862.11</v>
      </c>
      <c r="K9" s="1168">
        <v>66783.06</v>
      </c>
      <c r="L9" s="851">
        <v>2015</v>
      </c>
      <c r="O9" s="156"/>
      <c r="P9" s="156"/>
      <c r="Q9" s="146">
        <f t="shared" si="1"/>
        <v>-5.4097166105729122E-2</v>
      </c>
      <c r="R9" s="146">
        <f t="shared" si="0"/>
        <v>-0.16350821311154939</v>
      </c>
      <c r="S9" s="146">
        <f t="shared" si="0"/>
        <v>1.009741499616168E-2</v>
      </c>
      <c r="T9" s="146">
        <f t="shared" si="0"/>
        <v>8.5010156129348147E-2</v>
      </c>
      <c r="U9" s="146">
        <f t="shared" si="0"/>
        <v>4.9973795510926955E-2</v>
      </c>
      <c r="V9" s="146">
        <f t="shared" si="0"/>
        <v>3.9191580964738737E-2</v>
      </c>
      <c r="W9" s="146">
        <f t="shared" si="0"/>
        <v>2.6982548770871251E-2</v>
      </c>
      <c r="X9" s="146">
        <f t="shared" si="0"/>
        <v>3.1138380437305546E-2</v>
      </c>
      <c r="Y9" s="146">
        <f t="shared" si="0"/>
        <v>2.9615903645441088E-2</v>
      </c>
    </row>
    <row r="10" spans="1:25">
      <c r="A10" s="851" t="s">
        <v>217</v>
      </c>
      <c r="B10" s="1168">
        <v>50533.29</v>
      </c>
      <c r="C10" s="1168">
        <v>51390</v>
      </c>
      <c r="D10" s="1168">
        <v>43705.46</v>
      </c>
      <c r="E10" s="1168">
        <v>44232.94</v>
      </c>
      <c r="F10" s="1168">
        <v>46435.93</v>
      </c>
      <c r="G10" s="1168">
        <v>49795.89</v>
      </c>
      <c r="H10" s="1168">
        <v>51375.45</v>
      </c>
      <c r="I10" s="1168">
        <v>52904.23</v>
      </c>
      <c r="J10" s="1168">
        <v>54219.360000000001</v>
      </c>
      <c r="K10" s="1168">
        <v>55500.82</v>
      </c>
      <c r="L10" s="851">
        <v>2016</v>
      </c>
      <c r="O10" s="156"/>
      <c r="P10" s="156"/>
      <c r="Q10" s="146">
        <f t="shared" si="1"/>
        <v>1.6953378653952633E-2</v>
      </c>
      <c r="R10" s="146">
        <f t="shared" si="0"/>
        <v>-0.14953376143218522</v>
      </c>
      <c r="S10" s="146">
        <f t="shared" si="0"/>
        <v>1.2068972618066498E-2</v>
      </c>
      <c r="T10" s="146">
        <f t="shared" si="0"/>
        <v>4.980428612703558E-2</v>
      </c>
      <c r="U10" s="146">
        <f t="shared" si="0"/>
        <v>7.2356901218517677E-2</v>
      </c>
      <c r="V10" s="146">
        <f t="shared" si="0"/>
        <v>3.172069020154078E-2</v>
      </c>
      <c r="W10" s="146">
        <f t="shared" si="0"/>
        <v>2.9757014293792183E-2</v>
      </c>
      <c r="X10" s="146">
        <f t="shared" si="0"/>
        <v>2.4858692773715774E-2</v>
      </c>
      <c r="Y10" s="146">
        <f t="shared" si="0"/>
        <v>2.3634731210401494E-2</v>
      </c>
    </row>
    <row r="11" spans="1:25">
      <c r="A11" s="851" t="s">
        <v>218</v>
      </c>
      <c r="B11" s="1168">
        <v>7936.51</v>
      </c>
      <c r="C11" s="1168">
        <v>8048.78</v>
      </c>
      <c r="D11" s="1168">
        <v>5396.41</v>
      </c>
      <c r="E11" s="1168">
        <v>3956.41</v>
      </c>
      <c r="F11" s="1168">
        <v>4097.58</v>
      </c>
      <c r="G11" s="1168">
        <v>4438.9799999999996</v>
      </c>
      <c r="H11" s="1168">
        <v>4752.24</v>
      </c>
      <c r="I11" s="1168">
        <v>5082.66</v>
      </c>
      <c r="J11" s="1168">
        <v>5437.73</v>
      </c>
      <c r="K11" s="1168">
        <v>5843.25</v>
      </c>
      <c r="L11" s="851">
        <v>2015</v>
      </c>
      <c r="O11" s="156"/>
      <c r="P11" s="156"/>
      <c r="Q11" s="146">
        <f t="shared" si="1"/>
        <v>1.4146016322035715E-2</v>
      </c>
      <c r="R11" s="146">
        <f t="shared" si="0"/>
        <v>-0.32953689875981207</v>
      </c>
      <c r="S11" s="146">
        <f t="shared" si="0"/>
        <v>-0.26684406855668863</v>
      </c>
      <c r="T11" s="146">
        <f t="shared" si="0"/>
        <v>3.5681337374033451E-2</v>
      </c>
      <c r="U11" s="146">
        <f t="shared" si="0"/>
        <v>8.3317470311744968E-2</v>
      </c>
      <c r="V11" s="146">
        <f t="shared" si="0"/>
        <v>7.0570266142221838E-2</v>
      </c>
      <c r="W11" s="146">
        <f t="shared" si="0"/>
        <v>6.9529316701176791E-2</v>
      </c>
      <c r="X11" s="146">
        <f t="shared" si="0"/>
        <v>6.9859089531859153E-2</v>
      </c>
      <c r="Y11" s="146">
        <f t="shared" si="0"/>
        <v>7.4575236357818486E-2</v>
      </c>
    </row>
    <row r="12" spans="1:25">
      <c r="A12" s="851" t="s">
        <v>219</v>
      </c>
      <c r="B12" s="1168">
        <v>23924.83</v>
      </c>
      <c r="C12" s="1168">
        <v>23926.42</v>
      </c>
      <c r="D12" s="1168">
        <v>24309.57</v>
      </c>
      <c r="E12" s="1168">
        <v>23670.79</v>
      </c>
      <c r="F12" s="1168">
        <v>24510.65</v>
      </c>
      <c r="G12" s="1168">
        <v>25268.57</v>
      </c>
      <c r="H12" s="1168">
        <v>26040.05</v>
      </c>
      <c r="I12" s="1168">
        <v>26668.880000000001</v>
      </c>
      <c r="J12" s="1168">
        <v>27262.85</v>
      </c>
      <c r="K12" s="1168">
        <v>27778.21</v>
      </c>
      <c r="L12" s="851">
        <v>2015</v>
      </c>
      <c r="O12" s="156"/>
      <c r="P12" s="156"/>
      <c r="Q12" s="146">
        <f t="shared" si="1"/>
        <v>6.6458152471637888E-5</v>
      </c>
      <c r="R12" s="146">
        <f t="shared" si="0"/>
        <v>1.6013678602983639E-2</v>
      </c>
      <c r="S12" s="146">
        <f t="shared" si="0"/>
        <v>-2.6276894243707272E-2</v>
      </c>
      <c r="T12" s="146">
        <f t="shared" si="0"/>
        <v>3.5480860588091856E-2</v>
      </c>
      <c r="U12" s="146">
        <f t="shared" si="0"/>
        <v>3.0922068570192973E-2</v>
      </c>
      <c r="V12" s="146">
        <f t="shared" si="0"/>
        <v>3.0531209324469177E-2</v>
      </c>
      <c r="W12" s="146">
        <f t="shared" si="0"/>
        <v>2.4148571143296715E-2</v>
      </c>
      <c r="X12" s="146">
        <f t="shared" si="0"/>
        <v>2.2272026421806812E-2</v>
      </c>
      <c r="Y12" s="146">
        <f t="shared" si="0"/>
        <v>1.8903379507278162E-2</v>
      </c>
    </row>
    <row r="13" spans="1:25">
      <c r="A13" s="851" t="s">
        <v>220</v>
      </c>
      <c r="B13" s="1168">
        <v>26171.88</v>
      </c>
      <c r="C13" s="1168">
        <v>26327.58</v>
      </c>
      <c r="D13" s="1168">
        <v>24062.74</v>
      </c>
      <c r="E13" s="1168">
        <v>24146.16</v>
      </c>
      <c r="F13" s="1168">
        <v>25169.55</v>
      </c>
      <c r="G13" s="1168">
        <v>25764.42</v>
      </c>
      <c r="H13" s="1168">
        <v>26166.9</v>
      </c>
      <c r="I13" s="1168">
        <v>26620.92</v>
      </c>
      <c r="J13" s="1168">
        <v>27096.49</v>
      </c>
      <c r="K13" s="1168">
        <v>27564.97</v>
      </c>
      <c r="L13" s="851">
        <v>2016</v>
      </c>
      <c r="O13" s="156"/>
      <c r="P13" s="156"/>
      <c r="Q13" s="146">
        <f t="shared" si="1"/>
        <v>5.9491331918073431E-3</v>
      </c>
      <c r="R13" s="146">
        <f t="shared" si="0"/>
        <v>-8.6025377190003804E-2</v>
      </c>
      <c r="S13" s="146">
        <f t="shared" si="0"/>
        <v>3.4667706171449542E-3</v>
      </c>
      <c r="T13" s="146">
        <f t="shared" si="0"/>
        <v>4.2383136697512036E-2</v>
      </c>
      <c r="U13" s="146">
        <f t="shared" si="0"/>
        <v>2.3634510748106408E-2</v>
      </c>
      <c r="V13" s="146">
        <f t="shared" si="0"/>
        <v>1.5621543197945176E-2</v>
      </c>
      <c r="W13" s="146">
        <f t="shared" si="0"/>
        <v>1.7350928080895889E-2</v>
      </c>
      <c r="X13" s="146">
        <f t="shared" si="0"/>
        <v>1.7864521586782312E-2</v>
      </c>
      <c r="Y13" s="146">
        <f t="shared" si="0"/>
        <v>1.7289324189221578E-2</v>
      </c>
    </row>
    <row r="14" spans="1:25">
      <c r="A14" s="851" t="s">
        <v>221</v>
      </c>
      <c r="B14" s="1168">
        <v>1030.03</v>
      </c>
      <c r="C14" s="1168">
        <v>1162.74</v>
      </c>
      <c r="D14" s="1168">
        <v>1293</v>
      </c>
      <c r="E14" s="1168">
        <v>1414.05</v>
      </c>
      <c r="F14" s="1168">
        <v>1532.13</v>
      </c>
      <c r="G14" s="1168">
        <v>1659.52</v>
      </c>
      <c r="H14" s="1168">
        <v>1794.53</v>
      </c>
      <c r="I14" s="1168">
        <v>1939.2</v>
      </c>
      <c r="J14" s="1168">
        <v>2094.7199999999998</v>
      </c>
      <c r="K14" s="1168">
        <v>2262.6799999999998</v>
      </c>
      <c r="L14" s="851">
        <v>2013</v>
      </c>
      <c r="O14" s="156"/>
      <c r="P14" s="156"/>
      <c r="Q14" s="146">
        <f t="shared" si="1"/>
        <v>0.12884090754638211</v>
      </c>
      <c r="R14" s="146">
        <f t="shared" si="0"/>
        <v>0.11202848444192171</v>
      </c>
      <c r="S14" s="146">
        <f t="shared" si="0"/>
        <v>9.3619489559164659E-2</v>
      </c>
      <c r="T14" s="146">
        <f t="shared" si="0"/>
        <v>8.3504826562002865E-2</v>
      </c>
      <c r="U14" s="146">
        <f t="shared" si="0"/>
        <v>8.3145686071025127E-2</v>
      </c>
      <c r="V14" s="146">
        <f t="shared" si="0"/>
        <v>8.1354849595063561E-2</v>
      </c>
      <c r="W14" s="146">
        <f t="shared" si="0"/>
        <v>8.0617208962792564E-2</v>
      </c>
      <c r="X14" s="146">
        <f t="shared" si="0"/>
        <v>8.0198019801980047E-2</v>
      </c>
      <c r="Y14" s="146">
        <f t="shared" si="0"/>
        <v>8.0182554231591929E-2</v>
      </c>
    </row>
    <row r="15" spans="1:25">
      <c r="A15" s="851" t="s">
        <v>222</v>
      </c>
      <c r="B15" s="1168">
        <v>15698.42</v>
      </c>
      <c r="C15" s="1168">
        <v>15596.61</v>
      </c>
      <c r="D15" s="1168">
        <v>15814.7</v>
      </c>
      <c r="E15" s="1168">
        <v>16236.95</v>
      </c>
      <c r="F15" s="1168">
        <v>17158.810000000001</v>
      </c>
      <c r="G15" s="1168">
        <v>18205.009999999998</v>
      </c>
      <c r="H15" s="1168">
        <v>18769.11</v>
      </c>
      <c r="I15" s="1168">
        <v>19442.22</v>
      </c>
      <c r="J15" s="1168">
        <v>20232.75</v>
      </c>
      <c r="K15" s="1168">
        <v>21065.9</v>
      </c>
      <c r="L15" s="851">
        <v>2015</v>
      </c>
      <c r="O15" s="156"/>
      <c r="P15" s="156"/>
      <c r="Q15" s="146">
        <f t="shared" si="1"/>
        <v>-6.4853660432068194E-3</v>
      </c>
      <c r="R15" s="146">
        <f t="shared" si="0"/>
        <v>1.3983166854848683E-2</v>
      </c>
      <c r="S15" s="146">
        <f t="shared" si="0"/>
        <v>2.6699842551550113E-2</v>
      </c>
      <c r="T15" s="146">
        <f t="shared" si="0"/>
        <v>5.6775441200471732E-2</v>
      </c>
      <c r="U15" s="146">
        <f t="shared" si="0"/>
        <v>6.0971594183978794E-2</v>
      </c>
      <c r="V15" s="146">
        <f t="shared" si="0"/>
        <v>3.0985975838519364E-2</v>
      </c>
      <c r="W15" s="146">
        <f t="shared" si="0"/>
        <v>3.5862648788354878E-2</v>
      </c>
      <c r="X15" s="146">
        <f t="shared" si="0"/>
        <v>4.0660480130355392E-2</v>
      </c>
      <c r="Y15" s="146">
        <f t="shared" si="0"/>
        <v>4.1178287677157144E-2</v>
      </c>
    </row>
    <row r="16" spans="1:25">
      <c r="A16" s="851" t="s">
        <v>223</v>
      </c>
      <c r="B16" s="1168">
        <v>7977.15</v>
      </c>
      <c r="C16" s="1168">
        <v>8316.01</v>
      </c>
      <c r="D16" s="1168">
        <v>5941.24</v>
      </c>
      <c r="E16" s="1168">
        <v>4989.28</v>
      </c>
      <c r="F16" s="1168">
        <v>5585.24</v>
      </c>
      <c r="G16" s="1168">
        <v>5745.15</v>
      </c>
      <c r="H16" s="1168">
        <v>6020.73</v>
      </c>
      <c r="I16" s="1168">
        <v>6329.09</v>
      </c>
      <c r="J16" s="1168">
        <v>6669.5</v>
      </c>
      <c r="K16" s="1168">
        <v>6986.24</v>
      </c>
      <c r="L16" s="851">
        <v>2016</v>
      </c>
      <c r="O16" s="156"/>
      <c r="P16" s="156"/>
      <c r="Q16" s="146">
        <f t="shared" si="1"/>
        <v>4.2478830158640735E-2</v>
      </c>
      <c r="R16" s="146">
        <f t="shared" si="0"/>
        <v>-0.285566034672878</v>
      </c>
      <c r="S16" s="146">
        <f t="shared" si="0"/>
        <v>-0.1602291777474063</v>
      </c>
      <c r="T16" s="146">
        <f t="shared" si="0"/>
        <v>0.11944809671936629</v>
      </c>
      <c r="U16" s="146">
        <f t="shared" si="0"/>
        <v>2.863081980362514E-2</v>
      </c>
      <c r="V16" s="146">
        <f t="shared" si="0"/>
        <v>4.7967415994360385E-2</v>
      </c>
      <c r="W16" s="146">
        <f t="shared" si="0"/>
        <v>5.1216380737884037E-2</v>
      </c>
      <c r="X16" s="146">
        <f t="shared" si="0"/>
        <v>5.37849833072368E-2</v>
      </c>
      <c r="Y16" s="146">
        <f t="shared" si="0"/>
        <v>4.7490816403028768E-2</v>
      </c>
    </row>
    <row r="17" spans="1:25">
      <c r="A17" s="851" t="s">
        <v>224</v>
      </c>
      <c r="B17" s="1168">
        <v>46613.2</v>
      </c>
      <c r="C17" s="1168">
        <v>47634.68</v>
      </c>
      <c r="D17" s="1168">
        <v>40509.760000000002</v>
      </c>
      <c r="E17" s="1168">
        <v>41247.86</v>
      </c>
      <c r="F17" s="1168">
        <v>43243.3</v>
      </c>
      <c r="G17" s="1168">
        <v>46315.66</v>
      </c>
      <c r="H17" s="1168">
        <v>47811.55</v>
      </c>
      <c r="I17" s="1168">
        <v>49222.11</v>
      </c>
      <c r="J17" s="1168">
        <v>50512.68</v>
      </c>
      <c r="K17" s="1168">
        <v>51804.81</v>
      </c>
      <c r="L17" s="851">
        <v>2016</v>
      </c>
      <c r="O17" s="156"/>
      <c r="P17" s="156"/>
      <c r="Q17" s="146">
        <f t="shared" si="1"/>
        <v>2.1913964284794973E-2</v>
      </c>
      <c r="R17" s="146">
        <f t="shared" si="0"/>
        <v>-0.1495742177757885</v>
      </c>
      <c r="S17" s="146">
        <f t="shared" si="0"/>
        <v>1.8220300490548347E-2</v>
      </c>
      <c r="T17" s="146">
        <f t="shared" si="0"/>
        <v>4.8376812760710486E-2</v>
      </c>
      <c r="U17" s="146">
        <f t="shared" si="0"/>
        <v>7.1048231749195834E-2</v>
      </c>
      <c r="V17" s="146">
        <f t="shared" si="0"/>
        <v>3.2297715286794926E-2</v>
      </c>
      <c r="W17" s="146">
        <f t="shared" si="0"/>
        <v>2.9502494690090586E-2</v>
      </c>
      <c r="X17" s="146">
        <f t="shared" si="0"/>
        <v>2.6219314856677167E-2</v>
      </c>
      <c r="Y17" s="146">
        <f t="shared" si="0"/>
        <v>2.5580309736090046E-2</v>
      </c>
    </row>
    <row r="18" spans="1:25">
      <c r="A18" s="851" t="s">
        <v>225</v>
      </c>
      <c r="B18" s="1168">
        <v>4614.16</v>
      </c>
      <c r="C18" s="1168">
        <v>4780.8599999999997</v>
      </c>
      <c r="D18" s="1168">
        <v>4757.1099999999997</v>
      </c>
      <c r="E18" s="1168">
        <v>4629.9799999999996</v>
      </c>
      <c r="F18" s="1168">
        <v>4698.62</v>
      </c>
      <c r="G18" s="1168">
        <v>4775.74</v>
      </c>
      <c r="H18" s="1168">
        <v>4819.26</v>
      </c>
      <c r="I18" s="1168">
        <v>4858.43</v>
      </c>
      <c r="J18" s="1168">
        <v>4896.16</v>
      </c>
      <c r="K18" s="1168">
        <v>4934.1899999999996</v>
      </c>
      <c r="L18" s="851">
        <v>2014</v>
      </c>
      <c r="O18" s="156"/>
      <c r="P18" s="156"/>
      <c r="Q18" s="146">
        <f t="shared" si="1"/>
        <v>3.6127919274580922E-2</v>
      </c>
      <c r="R18" s="146">
        <f t="shared" si="1"/>
        <v>-4.9677254719862063E-3</v>
      </c>
      <c r="S18" s="146">
        <f t="shared" si="1"/>
        <v>-2.6724208605645061E-2</v>
      </c>
      <c r="T18" s="146">
        <f t="shared" si="1"/>
        <v>1.4825118035067142E-2</v>
      </c>
      <c r="U18" s="146">
        <f t="shared" si="1"/>
        <v>1.6413329871323823E-2</v>
      </c>
      <c r="V18" s="146">
        <f t="shared" si="1"/>
        <v>9.1127238920043485E-3</v>
      </c>
      <c r="W18" s="146">
        <f t="shared" si="1"/>
        <v>8.1278038537035968E-3</v>
      </c>
      <c r="X18" s="146">
        <f t="shared" si="1"/>
        <v>7.7658832174178904E-3</v>
      </c>
      <c r="Y18" s="146">
        <f t="shared" ref="Y18:Y78" si="2">K18/J18-1</f>
        <v>7.76731152576704E-3</v>
      </c>
    </row>
    <row r="19" spans="1:25">
      <c r="A19" s="851" t="s">
        <v>226</v>
      </c>
      <c r="B19" s="851">
        <v>887.57399999999996</v>
      </c>
      <c r="C19" s="851">
        <v>918.11099999999999</v>
      </c>
      <c r="D19" s="851">
        <v>763.88199999999995</v>
      </c>
      <c r="E19" s="851">
        <v>770.81</v>
      </c>
      <c r="F19" s="851">
        <v>825.83500000000004</v>
      </c>
      <c r="G19" s="851">
        <v>910.44600000000003</v>
      </c>
      <c r="H19" s="851">
        <v>969.41200000000003</v>
      </c>
      <c r="I19" s="1168">
        <v>1031.75</v>
      </c>
      <c r="J19" s="1168">
        <v>1103.1199999999999</v>
      </c>
      <c r="K19" s="1168">
        <v>1170.47</v>
      </c>
      <c r="L19" s="851">
        <v>2014</v>
      </c>
      <c r="O19" s="156"/>
      <c r="P19" s="156"/>
      <c r="Q19" s="146">
        <f t="shared" si="1"/>
        <v>3.4405018623799188E-2</v>
      </c>
      <c r="R19" s="146">
        <f t="shared" si="1"/>
        <v>-0.16798513469504239</v>
      </c>
      <c r="S19" s="146">
        <f t="shared" si="1"/>
        <v>9.0694636082535585E-3</v>
      </c>
      <c r="T19" s="146">
        <f t="shared" si="1"/>
        <v>7.1385944655622202E-2</v>
      </c>
      <c r="U19" s="146">
        <f t="shared" si="1"/>
        <v>0.10245509090798999</v>
      </c>
      <c r="V19" s="146">
        <f t="shared" si="1"/>
        <v>6.4766059711394153E-2</v>
      </c>
      <c r="W19" s="146">
        <f t="shared" si="1"/>
        <v>6.4304960120155297E-2</v>
      </c>
      <c r="X19" s="146">
        <f t="shared" si="1"/>
        <v>6.9173733947176963E-2</v>
      </c>
      <c r="Y19" s="146">
        <f t="shared" si="2"/>
        <v>6.1054101095075808E-2</v>
      </c>
    </row>
    <row r="20" spans="1:25">
      <c r="A20" s="851" t="s">
        <v>227</v>
      </c>
      <c r="B20" s="1168">
        <v>2451.85</v>
      </c>
      <c r="C20" s="1168">
        <v>2387.86</v>
      </c>
      <c r="D20" s="1168">
        <v>2603.1</v>
      </c>
      <c r="E20" s="1168">
        <v>2681.19</v>
      </c>
      <c r="F20" s="1168">
        <v>2886.82</v>
      </c>
      <c r="G20" s="1168">
        <v>3217.32</v>
      </c>
      <c r="H20" s="1168">
        <v>3672.18</v>
      </c>
      <c r="I20" s="1168">
        <v>3999.28</v>
      </c>
      <c r="J20" s="1168">
        <v>4213.2299999999996</v>
      </c>
      <c r="K20" s="1168">
        <v>4480.32</v>
      </c>
      <c r="L20" s="851">
        <v>2015</v>
      </c>
      <c r="O20" s="156"/>
      <c r="P20" s="156"/>
      <c r="Q20" s="146">
        <f t="shared" si="1"/>
        <v>-2.6098660195362555E-2</v>
      </c>
      <c r="R20" s="146">
        <f t="shared" si="1"/>
        <v>9.0139287897950338E-2</v>
      </c>
      <c r="S20" s="146">
        <f t="shared" si="1"/>
        <v>2.999884752794757E-2</v>
      </c>
      <c r="T20" s="146">
        <f t="shared" si="1"/>
        <v>7.6693557711314808E-2</v>
      </c>
      <c r="U20" s="146">
        <f t="shared" si="1"/>
        <v>0.1144858356253593</v>
      </c>
      <c r="V20" s="146">
        <f t="shared" si="1"/>
        <v>0.14137853865950523</v>
      </c>
      <c r="W20" s="146">
        <f t="shared" si="1"/>
        <v>8.9075154268037027E-2</v>
      </c>
      <c r="X20" s="146">
        <f t="shared" si="1"/>
        <v>5.3497129483306871E-2</v>
      </c>
      <c r="Y20" s="146">
        <f t="shared" si="2"/>
        <v>6.3393168661573185E-2</v>
      </c>
    </row>
    <row r="21" spans="1:25">
      <c r="A21" s="851" t="s">
        <v>228</v>
      </c>
      <c r="B21" s="1168">
        <v>2969.52</v>
      </c>
      <c r="C21" s="1168">
        <v>3146.85</v>
      </c>
      <c r="D21" s="1168">
        <v>3099.45</v>
      </c>
      <c r="E21" s="1168">
        <v>3125.17</v>
      </c>
      <c r="F21" s="1168">
        <v>3412.24</v>
      </c>
      <c r="G21" s="1168">
        <v>3647.86</v>
      </c>
      <c r="H21" s="1168">
        <v>3878.13</v>
      </c>
      <c r="I21" s="1168">
        <v>4144.96</v>
      </c>
      <c r="J21" s="1168">
        <v>4447.72</v>
      </c>
      <c r="K21" s="1168">
        <v>4767.6400000000003</v>
      </c>
      <c r="L21" s="851">
        <v>2012</v>
      </c>
      <c r="O21" s="156"/>
      <c r="P21" s="156"/>
      <c r="Q21" s="146">
        <f t="shared" si="1"/>
        <v>5.9716721894447655E-2</v>
      </c>
      <c r="R21" s="146">
        <f t="shared" si="1"/>
        <v>-1.5062681729348437E-2</v>
      </c>
      <c r="S21" s="146">
        <f t="shared" si="1"/>
        <v>8.2982464630823038E-3</v>
      </c>
      <c r="T21" s="146">
        <f t="shared" si="1"/>
        <v>9.1857402957278955E-2</v>
      </c>
      <c r="U21" s="146">
        <f t="shared" si="1"/>
        <v>6.9051414906337261E-2</v>
      </c>
      <c r="V21" s="146">
        <f t="shared" si="1"/>
        <v>6.3124681320006815E-2</v>
      </c>
      <c r="W21" s="146">
        <f t="shared" si="1"/>
        <v>6.8803779140977683E-2</v>
      </c>
      <c r="X21" s="146">
        <f t="shared" si="1"/>
        <v>7.3042924419053579E-2</v>
      </c>
      <c r="Y21" s="146">
        <f t="shared" si="2"/>
        <v>7.1928988335596689E-2</v>
      </c>
    </row>
    <row r="22" spans="1:25">
      <c r="A22" s="851" t="s">
        <v>229</v>
      </c>
      <c r="B22" s="1168">
        <v>4681.92</v>
      </c>
      <c r="C22" s="1168">
        <v>4784.82</v>
      </c>
      <c r="D22" s="1168">
        <v>4186.67</v>
      </c>
      <c r="E22" s="1168">
        <v>4298.45</v>
      </c>
      <c r="F22" s="1168">
        <v>4540.47</v>
      </c>
      <c r="G22" s="1168">
        <v>4836.66</v>
      </c>
      <c r="H22" s="1168">
        <v>5076.0600000000004</v>
      </c>
      <c r="I22" s="1168">
        <v>5323.38</v>
      </c>
      <c r="J22" s="1168">
        <v>5563.68</v>
      </c>
      <c r="K22" s="1168">
        <v>5833.02</v>
      </c>
      <c r="L22" s="851">
        <v>2016</v>
      </c>
      <c r="O22" s="156"/>
      <c r="P22" s="156"/>
      <c r="Q22" s="146">
        <f t="shared" si="1"/>
        <v>2.1978162805003087E-2</v>
      </c>
      <c r="R22" s="146">
        <f t="shared" si="1"/>
        <v>-0.12500992722819237</v>
      </c>
      <c r="S22" s="146">
        <f t="shared" si="1"/>
        <v>2.6699023328802918E-2</v>
      </c>
      <c r="T22" s="146">
        <f t="shared" si="1"/>
        <v>5.6304016564110437E-2</v>
      </c>
      <c r="U22" s="146">
        <f t="shared" si="1"/>
        <v>6.5233334875023807E-2</v>
      </c>
      <c r="V22" s="146">
        <f t="shared" si="1"/>
        <v>4.9496966915185459E-2</v>
      </c>
      <c r="W22" s="146">
        <f t="shared" si="1"/>
        <v>4.8722828335362456E-2</v>
      </c>
      <c r="X22" s="146">
        <f t="shared" si="1"/>
        <v>4.5140493445893437E-2</v>
      </c>
      <c r="Y22" s="146">
        <f t="shared" si="2"/>
        <v>4.8410404624277481E-2</v>
      </c>
    </row>
    <row r="23" spans="1:25">
      <c r="A23" s="851" t="s">
        <v>230</v>
      </c>
      <c r="B23" s="1168">
        <v>7124.95</v>
      </c>
      <c r="C23" s="1168">
        <v>7728.45</v>
      </c>
      <c r="D23" s="1168">
        <v>6780.97</v>
      </c>
      <c r="E23" s="1168">
        <v>7227.35</v>
      </c>
      <c r="F23" s="1168">
        <v>7673.8</v>
      </c>
      <c r="G23" s="1168">
        <v>7952.19</v>
      </c>
      <c r="H23" s="1168">
        <v>8164.15</v>
      </c>
      <c r="I23" s="1168">
        <v>8376.64</v>
      </c>
      <c r="J23" s="1168">
        <v>8582.9</v>
      </c>
      <c r="K23" s="1168">
        <v>8815.36</v>
      </c>
      <c r="L23" s="851">
        <v>2008</v>
      </c>
      <c r="O23" s="156"/>
      <c r="P23" s="156"/>
      <c r="Q23" s="146">
        <f t="shared" si="1"/>
        <v>8.4702348788412651E-2</v>
      </c>
      <c r="R23" s="146">
        <f t="shared" si="1"/>
        <v>-0.12259638090432101</v>
      </c>
      <c r="S23" s="146">
        <f t="shared" si="1"/>
        <v>6.582834019321715E-2</v>
      </c>
      <c r="T23" s="146">
        <f t="shared" si="1"/>
        <v>6.1772295516337117E-2</v>
      </c>
      <c r="U23" s="146">
        <f t="shared" si="1"/>
        <v>3.6277984831504462E-2</v>
      </c>
      <c r="V23" s="146">
        <f t="shared" si="1"/>
        <v>2.6654292716849159E-2</v>
      </c>
      <c r="W23" s="146">
        <f t="shared" si="1"/>
        <v>2.6027204301733775E-2</v>
      </c>
      <c r="X23" s="146">
        <f t="shared" si="1"/>
        <v>2.4623237956985067E-2</v>
      </c>
      <c r="Y23" s="146">
        <f t="shared" si="2"/>
        <v>2.7084085798506408E-2</v>
      </c>
    </row>
    <row r="24" spans="1:25">
      <c r="A24" s="851" t="s">
        <v>231</v>
      </c>
      <c r="B24" s="1168">
        <v>12294.6</v>
      </c>
      <c r="C24" s="1168">
        <v>12111.74</v>
      </c>
      <c r="D24" s="1168">
        <v>8810.5</v>
      </c>
      <c r="E24" s="1168">
        <v>8726.9</v>
      </c>
      <c r="F24" s="1168">
        <v>10019.790000000001</v>
      </c>
      <c r="G24" s="1168">
        <v>10514.59</v>
      </c>
      <c r="H24" s="1168">
        <v>10913.42</v>
      </c>
      <c r="I24" s="1168">
        <v>11333.78</v>
      </c>
      <c r="J24" s="1168">
        <v>11773.92</v>
      </c>
      <c r="K24" s="1168">
        <v>12243.25</v>
      </c>
      <c r="L24" s="851">
        <v>2016</v>
      </c>
      <c r="O24" s="156"/>
      <c r="P24" s="156"/>
      <c r="Q24" s="146">
        <f t="shared" si="1"/>
        <v>-1.4873196362630847E-2</v>
      </c>
      <c r="R24" s="146">
        <f t="shared" si="1"/>
        <v>-0.27256529615067693</v>
      </c>
      <c r="S24" s="146">
        <f t="shared" si="1"/>
        <v>-9.4886782815958304E-3</v>
      </c>
      <c r="T24" s="146">
        <f t="shared" si="1"/>
        <v>0.14814997307176681</v>
      </c>
      <c r="U24" s="146">
        <f t="shared" si="1"/>
        <v>4.9382272482756617E-2</v>
      </c>
      <c r="V24" s="146">
        <f t="shared" si="1"/>
        <v>3.7931103352579543E-2</v>
      </c>
      <c r="W24" s="146">
        <f t="shared" si="1"/>
        <v>3.8517714886809218E-2</v>
      </c>
      <c r="X24" s="146">
        <f t="shared" si="1"/>
        <v>3.883435182260464E-2</v>
      </c>
      <c r="Y24" s="146">
        <f t="shared" si="2"/>
        <v>3.98618302145759E-2</v>
      </c>
    </row>
    <row r="25" spans="1:25">
      <c r="A25" s="851" t="s">
        <v>232</v>
      </c>
      <c r="B25" s="1168">
        <v>44540.15</v>
      </c>
      <c r="C25" s="1168">
        <v>41509.26</v>
      </c>
      <c r="D25" s="1168">
        <v>30994.98</v>
      </c>
      <c r="E25" s="1168">
        <v>26935.119999999999</v>
      </c>
      <c r="F25" s="1168">
        <v>27893.45</v>
      </c>
      <c r="G25" s="1168">
        <v>27601.24</v>
      </c>
      <c r="H25" s="1168">
        <v>29152.13</v>
      </c>
      <c r="I25" s="1168">
        <v>31007.35</v>
      </c>
      <c r="J25" s="1168">
        <v>34021.79</v>
      </c>
      <c r="K25" s="1168">
        <v>35818.9</v>
      </c>
      <c r="L25" s="851">
        <v>2015</v>
      </c>
      <c r="O25" s="156"/>
      <c r="P25" s="156"/>
      <c r="Q25" s="146">
        <f t="shared" si="1"/>
        <v>-6.8048491080519469E-2</v>
      </c>
      <c r="R25" s="146">
        <f t="shared" si="1"/>
        <v>-0.25329962519206561</v>
      </c>
      <c r="S25" s="146">
        <f t="shared" si="1"/>
        <v>-0.13098443683461003</v>
      </c>
      <c r="T25" s="146">
        <f t="shared" si="1"/>
        <v>3.5579199201637213E-2</v>
      </c>
      <c r="U25" s="146">
        <f t="shared" si="1"/>
        <v>-1.0475936106863815E-2</v>
      </c>
      <c r="V25" s="146">
        <f t="shared" si="1"/>
        <v>5.6189142226943378E-2</v>
      </c>
      <c r="W25" s="146">
        <f t="shared" si="1"/>
        <v>6.3639260664658082E-2</v>
      </c>
      <c r="X25" s="146">
        <f t="shared" si="1"/>
        <v>9.7216950174716654E-2</v>
      </c>
      <c r="Y25" s="146">
        <f t="shared" si="2"/>
        <v>5.2822323575567376E-2</v>
      </c>
    </row>
    <row r="26" spans="1:25">
      <c r="A26" s="851" t="s">
        <v>233</v>
      </c>
      <c r="B26" s="1168">
        <v>7703.48</v>
      </c>
      <c r="C26" s="1168">
        <v>7877.09</v>
      </c>
      <c r="D26" s="1168">
        <v>7017.11</v>
      </c>
      <c r="E26" s="1168">
        <v>7377</v>
      </c>
      <c r="F26" s="1168">
        <v>7923.97</v>
      </c>
      <c r="G26" s="1168">
        <v>8701.31</v>
      </c>
      <c r="H26" s="1168">
        <v>9203.85</v>
      </c>
      <c r="I26" s="1168">
        <v>9714.36</v>
      </c>
      <c r="J26" s="1168">
        <v>10192.040000000001</v>
      </c>
      <c r="K26" s="1168">
        <v>10684.7</v>
      </c>
      <c r="L26" s="851">
        <v>2016</v>
      </c>
      <c r="O26" s="156"/>
      <c r="P26" s="156"/>
      <c r="Q26" s="146">
        <f t="shared" si="1"/>
        <v>2.253656788879832E-2</v>
      </c>
      <c r="R26" s="146">
        <f t="shared" si="1"/>
        <v>-0.10917483486922208</v>
      </c>
      <c r="S26" s="146">
        <f t="shared" si="1"/>
        <v>5.1287495849430931E-2</v>
      </c>
      <c r="T26" s="146">
        <f t="shared" si="1"/>
        <v>7.4145316524332427E-2</v>
      </c>
      <c r="U26" s="146">
        <f t="shared" si="1"/>
        <v>9.8099816127521944E-2</v>
      </c>
      <c r="V26" s="146">
        <f t="shared" si="1"/>
        <v>5.7754522020247556E-2</v>
      </c>
      <c r="W26" s="146">
        <f t="shared" si="1"/>
        <v>5.5467005655242207E-2</v>
      </c>
      <c r="X26" s="146">
        <f t="shared" si="1"/>
        <v>4.9172565150972458E-2</v>
      </c>
      <c r="Y26" s="146">
        <f t="shared" si="2"/>
        <v>4.8337722379425463E-2</v>
      </c>
    </row>
    <row r="27" spans="1:25">
      <c r="A27" s="851" t="s">
        <v>234</v>
      </c>
      <c r="B27" s="851">
        <v>698.78300000000002</v>
      </c>
      <c r="C27" s="851">
        <v>700.95799999999997</v>
      </c>
      <c r="D27" s="851">
        <v>616.06700000000001</v>
      </c>
      <c r="E27" s="851">
        <v>658.16399999999999</v>
      </c>
      <c r="F27" s="851">
        <v>696.44799999999998</v>
      </c>
      <c r="G27" s="851">
        <v>753.26800000000003</v>
      </c>
      <c r="H27" s="851">
        <v>799.05899999999997</v>
      </c>
      <c r="I27" s="851">
        <v>845.80600000000004</v>
      </c>
      <c r="J27" s="851">
        <v>890.86800000000005</v>
      </c>
      <c r="K27" s="851">
        <v>933.61300000000006</v>
      </c>
      <c r="L27" s="851">
        <v>2015</v>
      </c>
      <c r="O27" s="156"/>
      <c r="P27" s="156"/>
      <c r="Q27" s="146">
        <f t="shared" si="1"/>
        <v>3.1125542550405338E-3</v>
      </c>
      <c r="R27" s="146">
        <f t="shared" si="1"/>
        <v>-0.12110711340765068</v>
      </c>
      <c r="S27" s="146">
        <f t="shared" si="1"/>
        <v>6.8331853515932517E-2</v>
      </c>
      <c r="T27" s="146">
        <f t="shared" si="1"/>
        <v>5.816787305291693E-2</v>
      </c>
      <c r="U27" s="146">
        <f t="shared" si="1"/>
        <v>8.1585416283771472E-2</v>
      </c>
      <c r="V27" s="146">
        <f t="shared" si="1"/>
        <v>6.0789785308814404E-2</v>
      </c>
      <c r="W27" s="146">
        <f t="shared" si="1"/>
        <v>5.8502563640482119E-2</v>
      </c>
      <c r="X27" s="146">
        <f t="shared" si="1"/>
        <v>5.3276992596410944E-2</v>
      </c>
      <c r="Y27" s="146">
        <f t="shared" si="2"/>
        <v>4.7981294647467365E-2</v>
      </c>
    </row>
    <row r="28" spans="1:25">
      <c r="A28" s="851" t="s">
        <v>235</v>
      </c>
      <c r="B28" s="851">
        <v>286.54700000000003</v>
      </c>
      <c r="C28" s="851">
        <v>318.89999999999998</v>
      </c>
      <c r="D28" s="851">
        <v>318.93799999999999</v>
      </c>
      <c r="E28" s="851">
        <v>325.262</v>
      </c>
      <c r="F28" s="851">
        <v>343.39299999999997</v>
      </c>
      <c r="G28" s="851">
        <v>376.738</v>
      </c>
      <c r="H28" s="851">
        <v>439.03899999999999</v>
      </c>
      <c r="I28" s="851">
        <v>499.69799999999998</v>
      </c>
      <c r="J28" s="851">
        <v>555.43100000000004</v>
      </c>
      <c r="K28" s="851">
        <v>612.09299999999996</v>
      </c>
      <c r="L28" s="851">
        <v>0</v>
      </c>
      <c r="O28" s="156"/>
      <c r="P28" s="156"/>
      <c r="Q28" s="146">
        <f t="shared" si="1"/>
        <v>0.11290643419753121</v>
      </c>
      <c r="R28" s="146">
        <f t="shared" si="1"/>
        <v>1.1915961116337748E-4</v>
      </c>
      <c r="S28" s="146">
        <f t="shared" si="1"/>
        <v>1.9828305187842288E-2</v>
      </c>
      <c r="T28" s="146">
        <f t="shared" si="1"/>
        <v>5.5742755071296335E-2</v>
      </c>
      <c r="U28" s="146">
        <f t="shared" si="1"/>
        <v>9.7104483783886142E-2</v>
      </c>
      <c r="V28" s="146">
        <f t="shared" si="1"/>
        <v>0.16536956717931295</v>
      </c>
      <c r="W28" s="146">
        <f t="shared" si="1"/>
        <v>0.1381631244604693</v>
      </c>
      <c r="X28" s="146">
        <f t="shared" si="1"/>
        <v>0.11153336615315657</v>
      </c>
      <c r="Y28" s="146">
        <f t="shared" si="2"/>
        <v>0.10201447164454258</v>
      </c>
    </row>
    <row r="29" spans="1:25">
      <c r="A29" s="851" t="s">
        <v>236</v>
      </c>
      <c r="B29" s="1168">
        <v>3614.46</v>
      </c>
      <c r="C29" s="1168">
        <v>3590.05</v>
      </c>
      <c r="D29" s="1168">
        <v>3042.98</v>
      </c>
      <c r="E29" s="1168">
        <v>3086.41</v>
      </c>
      <c r="F29" s="1168">
        <v>3212.92</v>
      </c>
      <c r="G29" s="1168">
        <v>3432.08</v>
      </c>
      <c r="H29" s="1168">
        <v>3611.83</v>
      </c>
      <c r="I29" s="1168">
        <v>3790.49</v>
      </c>
      <c r="J29" s="1168">
        <v>3960.45</v>
      </c>
      <c r="K29" s="1168">
        <v>4135.33</v>
      </c>
      <c r="L29" s="851">
        <v>2016</v>
      </c>
      <c r="O29" s="156"/>
      <c r="P29" s="156"/>
      <c r="Q29" s="146">
        <f t="shared" si="1"/>
        <v>-6.7534292812757579E-3</v>
      </c>
      <c r="R29" s="146">
        <f t="shared" si="1"/>
        <v>-0.15238506427487086</v>
      </c>
      <c r="S29" s="146">
        <f t="shared" si="1"/>
        <v>1.4272193704855107E-2</v>
      </c>
      <c r="T29" s="146">
        <f t="shared" si="1"/>
        <v>4.0989369526407859E-2</v>
      </c>
      <c r="U29" s="146">
        <f t="shared" si="1"/>
        <v>6.8212093671800034E-2</v>
      </c>
      <c r="V29" s="146">
        <f t="shared" si="1"/>
        <v>5.2373487797487295E-2</v>
      </c>
      <c r="W29" s="146">
        <f t="shared" si="1"/>
        <v>4.9465229537381195E-2</v>
      </c>
      <c r="X29" s="146">
        <f t="shared" si="1"/>
        <v>4.4838530110882679E-2</v>
      </c>
      <c r="Y29" s="146">
        <f t="shared" si="2"/>
        <v>4.4156598366347222E-2</v>
      </c>
    </row>
    <row r="30" spans="1:25">
      <c r="A30" s="851" t="s">
        <v>237</v>
      </c>
      <c r="B30" s="1168">
        <v>1010.77</v>
      </c>
      <c r="C30" s="1168">
        <v>1091.49</v>
      </c>
      <c r="D30" s="1168">
        <v>1167.72</v>
      </c>
      <c r="E30" s="1168">
        <v>1277.7</v>
      </c>
      <c r="F30" s="1168">
        <v>1389.63</v>
      </c>
      <c r="G30" s="1168">
        <v>1495.56</v>
      </c>
      <c r="H30" s="1168">
        <v>1610.36</v>
      </c>
      <c r="I30" s="1168">
        <v>1728.69</v>
      </c>
      <c r="J30" s="1168">
        <v>1852.77</v>
      </c>
      <c r="K30" s="1168">
        <v>1979.7</v>
      </c>
      <c r="L30" s="851">
        <v>2012</v>
      </c>
      <c r="O30" s="156"/>
      <c r="P30" s="156"/>
      <c r="Q30" s="146">
        <f t="shared" si="1"/>
        <v>7.9859908782413447E-2</v>
      </c>
      <c r="R30" s="146">
        <f t="shared" si="1"/>
        <v>6.9840310034906539E-2</v>
      </c>
      <c r="S30" s="146">
        <f t="shared" si="1"/>
        <v>9.418353714931671E-2</v>
      </c>
      <c r="T30" s="146">
        <f t="shared" si="1"/>
        <v>8.7602723644047975E-2</v>
      </c>
      <c r="U30" s="146">
        <f t="shared" si="1"/>
        <v>7.6228924246022123E-2</v>
      </c>
      <c r="V30" s="146">
        <f t="shared" si="1"/>
        <v>7.6760544545187104E-2</v>
      </c>
      <c r="W30" s="146">
        <f t="shared" si="1"/>
        <v>7.3480463995628353E-2</v>
      </c>
      <c r="X30" s="146">
        <f t="shared" si="1"/>
        <v>7.1776894642764155E-2</v>
      </c>
      <c r="Y30" s="146">
        <f t="shared" si="2"/>
        <v>6.8508233617772252E-2</v>
      </c>
    </row>
    <row r="31" spans="1:25">
      <c r="A31" s="851" t="s">
        <v>238</v>
      </c>
      <c r="B31" s="1168">
        <v>1344.71</v>
      </c>
      <c r="C31" s="1168">
        <v>1423.92</v>
      </c>
      <c r="D31" s="1168">
        <v>1230.3699999999999</v>
      </c>
      <c r="E31" s="1168">
        <v>1238.33</v>
      </c>
      <c r="F31" s="1168">
        <v>1262.56</v>
      </c>
      <c r="G31" s="1168">
        <v>1328.6</v>
      </c>
      <c r="H31" s="1168">
        <v>1385.8</v>
      </c>
      <c r="I31" s="1168">
        <v>1448.21</v>
      </c>
      <c r="J31" s="1168">
        <v>1511.87</v>
      </c>
      <c r="K31" s="1168">
        <v>1578.54</v>
      </c>
      <c r="L31" s="851">
        <v>2010</v>
      </c>
      <c r="O31" s="156"/>
      <c r="P31" s="156"/>
      <c r="Q31" s="146">
        <f t="shared" si="1"/>
        <v>5.8904893992013152E-2</v>
      </c>
      <c r="R31" s="146">
        <f t="shared" si="1"/>
        <v>-0.13592758020113505</v>
      </c>
      <c r="S31" s="146">
        <f t="shared" si="1"/>
        <v>6.4695985760381269E-3</v>
      </c>
      <c r="T31" s="146">
        <f t="shared" si="1"/>
        <v>1.9566674472878853E-2</v>
      </c>
      <c r="U31" s="146">
        <f t="shared" si="1"/>
        <v>5.2306425041186211E-2</v>
      </c>
      <c r="V31" s="146">
        <f t="shared" si="1"/>
        <v>4.3052837573385627E-2</v>
      </c>
      <c r="W31" s="146">
        <f t="shared" si="1"/>
        <v>4.5035358637610212E-2</v>
      </c>
      <c r="X31" s="146">
        <f t="shared" si="1"/>
        <v>4.3957713315057712E-2</v>
      </c>
      <c r="Y31" s="146">
        <f t="shared" si="2"/>
        <v>4.4097706813416515E-2</v>
      </c>
    </row>
    <row r="32" spans="1:25">
      <c r="A32" s="851" t="s">
        <v>239</v>
      </c>
      <c r="B32" s="1168">
        <v>52494.13</v>
      </c>
      <c r="C32" s="1168">
        <v>50509.59</v>
      </c>
      <c r="D32" s="1168">
        <v>43349.62</v>
      </c>
      <c r="E32" s="1168">
        <v>42224.94</v>
      </c>
      <c r="F32" s="1168">
        <v>44773.26</v>
      </c>
      <c r="G32" s="1168">
        <v>47657.64</v>
      </c>
      <c r="H32" s="1168">
        <v>49196.49</v>
      </c>
      <c r="I32" s="1168">
        <v>50525.16</v>
      </c>
      <c r="J32" s="1168">
        <v>51909.52</v>
      </c>
      <c r="K32" s="1168">
        <v>53296.77</v>
      </c>
      <c r="L32" s="851">
        <v>2016</v>
      </c>
      <c r="O32" s="156"/>
      <c r="P32" s="156"/>
      <c r="Q32" s="146">
        <f t="shared" si="1"/>
        <v>-3.7804988862564226E-2</v>
      </c>
      <c r="R32" s="146">
        <f t="shared" si="1"/>
        <v>-0.14175466480721766</v>
      </c>
      <c r="S32" s="146">
        <f t="shared" si="1"/>
        <v>-2.5944402742169359E-2</v>
      </c>
      <c r="T32" s="146">
        <f t="shared" si="1"/>
        <v>6.0351062665808364E-2</v>
      </c>
      <c r="U32" s="146">
        <f t="shared" si="1"/>
        <v>6.4421933984704305E-2</v>
      </c>
      <c r="V32" s="146">
        <f t="shared" si="1"/>
        <v>3.2289681150808214E-2</v>
      </c>
      <c r="W32" s="146">
        <f t="shared" si="1"/>
        <v>2.7007414553355424E-2</v>
      </c>
      <c r="X32" s="146">
        <f t="shared" si="1"/>
        <v>2.739941842836302E-2</v>
      </c>
      <c r="Y32" s="146">
        <f t="shared" si="2"/>
        <v>2.6724385045363563E-2</v>
      </c>
    </row>
    <row r="33" spans="1:25">
      <c r="A33" s="851" t="s">
        <v>240</v>
      </c>
      <c r="B33" s="851">
        <v>329.44400000000002</v>
      </c>
      <c r="C33" s="851">
        <v>362.87200000000001</v>
      </c>
      <c r="D33" s="851">
        <v>332.36599999999999</v>
      </c>
      <c r="E33" s="851">
        <v>364.23099999999999</v>
      </c>
      <c r="F33" s="851">
        <v>399.78699999999998</v>
      </c>
      <c r="G33" s="851">
        <v>439.51600000000002</v>
      </c>
      <c r="H33" s="851">
        <v>481.61</v>
      </c>
      <c r="I33" s="851">
        <v>529.77300000000002</v>
      </c>
      <c r="J33" s="851">
        <v>582.84299999999996</v>
      </c>
      <c r="K33" s="851">
        <v>628.19299999999998</v>
      </c>
      <c r="L33" s="851">
        <v>2004</v>
      </c>
      <c r="O33" s="156"/>
      <c r="P33" s="156"/>
      <c r="Q33" s="146">
        <f t="shared" si="1"/>
        <v>0.10146792778135283</v>
      </c>
      <c r="R33" s="146">
        <f t="shared" si="1"/>
        <v>-8.40682113803215E-2</v>
      </c>
      <c r="S33" s="146">
        <f t="shared" si="1"/>
        <v>9.5873224096327592E-2</v>
      </c>
      <c r="T33" s="146">
        <f t="shared" si="1"/>
        <v>9.7619367928594825E-2</v>
      </c>
      <c r="U33" s="146">
        <f t="shared" si="1"/>
        <v>9.9375417409770739E-2</v>
      </c>
      <c r="V33" s="146">
        <f t="shared" si="1"/>
        <v>9.577353270415645E-2</v>
      </c>
      <c r="W33" s="146">
        <f t="shared" si="1"/>
        <v>0.10000415273769225</v>
      </c>
      <c r="X33" s="146">
        <f t="shared" si="1"/>
        <v>0.10017498060490038</v>
      </c>
      <c r="Y33" s="146">
        <f t="shared" si="2"/>
        <v>7.7808260543577035E-2</v>
      </c>
    </row>
    <row r="34" spans="1:25">
      <c r="A34" s="851" t="s">
        <v>241</v>
      </c>
      <c r="B34" s="1168">
        <v>1180.3699999999999</v>
      </c>
      <c r="C34" s="1168">
        <v>1241</v>
      </c>
      <c r="D34" s="851">
        <v>946.87699999999995</v>
      </c>
      <c r="E34" s="851">
        <v>851.62400000000002</v>
      </c>
      <c r="F34" s="851">
        <v>799.35500000000002</v>
      </c>
      <c r="G34" s="851">
        <v>810.59799999999996</v>
      </c>
      <c r="H34" s="851">
        <v>834.64400000000001</v>
      </c>
      <c r="I34" s="851">
        <v>873.39200000000005</v>
      </c>
      <c r="J34" s="851">
        <v>906.649</v>
      </c>
      <c r="K34" s="851">
        <v>938.09799999999996</v>
      </c>
      <c r="L34" s="851">
        <v>2004</v>
      </c>
      <c r="O34" s="156"/>
      <c r="P34" s="156"/>
      <c r="Q34" s="146">
        <f t="shared" si="1"/>
        <v>5.1365249879275154E-2</v>
      </c>
      <c r="R34" s="146">
        <f t="shared" si="1"/>
        <v>-0.23700483481063661</v>
      </c>
      <c r="S34" s="146">
        <f t="shared" si="1"/>
        <v>-0.10059701524062781</v>
      </c>
      <c r="T34" s="146">
        <f t="shared" si="1"/>
        <v>-6.1375677529050376E-2</v>
      </c>
      <c r="U34" s="146">
        <f t="shared" si="1"/>
        <v>1.4065089978795298E-2</v>
      </c>
      <c r="V34" s="146">
        <f t="shared" si="1"/>
        <v>2.9664519280827362E-2</v>
      </c>
      <c r="W34" s="146">
        <f t="shared" si="1"/>
        <v>4.6424583415204612E-2</v>
      </c>
      <c r="X34" s="146">
        <f t="shared" si="1"/>
        <v>3.8077976441277084E-2</v>
      </c>
      <c r="Y34" s="146">
        <f t="shared" si="2"/>
        <v>3.4687072946641972E-2</v>
      </c>
    </row>
    <row r="35" spans="1:25">
      <c r="A35" s="851" t="s">
        <v>242</v>
      </c>
      <c r="B35" s="1168">
        <v>15786.47</v>
      </c>
      <c r="C35" s="1168">
        <v>14644.66</v>
      </c>
      <c r="D35" s="1168">
        <v>13469.55</v>
      </c>
      <c r="E35" s="1168">
        <v>13576</v>
      </c>
      <c r="F35" s="1168">
        <v>14314.75</v>
      </c>
      <c r="G35" s="1168">
        <v>14274.43</v>
      </c>
      <c r="H35" s="1168">
        <v>14757.2</v>
      </c>
      <c r="I35" s="1168">
        <v>15293.32</v>
      </c>
      <c r="J35" s="1168">
        <v>15881.51</v>
      </c>
      <c r="K35" s="1168">
        <v>16522.759999999998</v>
      </c>
      <c r="L35" s="851">
        <v>2015</v>
      </c>
      <c r="O35" s="156"/>
      <c r="P35" s="156"/>
      <c r="Q35" s="146">
        <f t="shared" si="1"/>
        <v>-7.2328392604553149E-2</v>
      </c>
      <c r="R35" s="146">
        <f t="shared" si="1"/>
        <v>-8.024153513977117E-2</v>
      </c>
      <c r="S35" s="146">
        <f t="shared" si="1"/>
        <v>7.903010865248028E-3</v>
      </c>
      <c r="T35" s="146">
        <f t="shared" si="1"/>
        <v>5.4415880966411256E-2</v>
      </c>
      <c r="U35" s="146">
        <f t="shared" si="1"/>
        <v>-2.8166751078433361E-3</v>
      </c>
      <c r="V35" s="146">
        <f t="shared" si="1"/>
        <v>3.3820614903712576E-2</v>
      </c>
      <c r="W35" s="146">
        <f t="shared" si="1"/>
        <v>3.6329384978180057E-2</v>
      </c>
      <c r="X35" s="146">
        <f t="shared" si="1"/>
        <v>3.8460582790394771E-2</v>
      </c>
      <c r="Y35" s="146">
        <f t="shared" si="2"/>
        <v>4.0377142979477254E-2</v>
      </c>
    </row>
    <row r="36" spans="1:25">
      <c r="A36" s="851" t="s">
        <v>243</v>
      </c>
      <c r="B36" s="1168">
        <v>7080.83</v>
      </c>
      <c r="C36" s="1168">
        <v>7701.69</v>
      </c>
      <c r="D36" s="1168">
        <v>8166.76</v>
      </c>
      <c r="E36" s="1168">
        <v>8123.26</v>
      </c>
      <c r="F36" s="1168">
        <v>8582.94</v>
      </c>
      <c r="G36" s="1168">
        <v>9376.9699999999993</v>
      </c>
      <c r="H36" s="1168">
        <v>10121.299999999999</v>
      </c>
      <c r="I36" s="1168">
        <v>10986.47</v>
      </c>
      <c r="J36" s="1168">
        <v>11887.52</v>
      </c>
      <c r="K36" s="1168">
        <v>12834.73</v>
      </c>
      <c r="L36" s="851">
        <v>2016</v>
      </c>
      <c r="O36" s="156"/>
      <c r="P36" s="156"/>
      <c r="Q36" s="146">
        <f t="shared" si="1"/>
        <v>8.7681811313080393E-2</v>
      </c>
      <c r="R36" s="146">
        <f t="shared" si="1"/>
        <v>6.0385447869234055E-2</v>
      </c>
      <c r="S36" s="146">
        <f t="shared" si="1"/>
        <v>-5.3264697383050841E-3</v>
      </c>
      <c r="T36" s="146">
        <f t="shared" si="1"/>
        <v>5.6588118563236867E-2</v>
      </c>
      <c r="U36" s="146">
        <f t="shared" si="1"/>
        <v>9.2512588926405126E-2</v>
      </c>
      <c r="V36" s="146">
        <f t="shared" si="1"/>
        <v>7.9378519927012725E-2</v>
      </c>
      <c r="W36" s="146">
        <f t="shared" si="1"/>
        <v>8.5480126070761608E-2</v>
      </c>
      <c r="X36" s="146">
        <f t="shared" si="1"/>
        <v>8.2014514216122381E-2</v>
      </c>
      <c r="Y36" s="146">
        <f t="shared" si="2"/>
        <v>7.9681043649137751E-2</v>
      </c>
    </row>
    <row r="37" spans="1:25">
      <c r="A37" s="851" t="s">
        <v>244</v>
      </c>
      <c r="B37" s="1168">
        <v>8067.94</v>
      </c>
      <c r="C37" s="1168">
        <v>7937.63</v>
      </c>
      <c r="D37" s="1168">
        <v>6047.97</v>
      </c>
      <c r="E37" s="1168">
        <v>5792.18</v>
      </c>
      <c r="F37" s="1168">
        <v>6237.59</v>
      </c>
      <c r="G37" s="1168">
        <v>6472.26</v>
      </c>
      <c r="H37" s="1168">
        <v>6766.95</v>
      </c>
      <c r="I37" s="1168">
        <v>7080.39</v>
      </c>
      <c r="J37" s="1168">
        <v>7403.87</v>
      </c>
      <c r="K37" s="1168">
        <v>7742.14</v>
      </c>
      <c r="L37" s="851">
        <v>2015</v>
      </c>
      <c r="O37" s="156"/>
      <c r="P37" s="156"/>
      <c r="Q37" s="146">
        <f t="shared" si="1"/>
        <v>-1.6151582684055588E-2</v>
      </c>
      <c r="R37" s="146">
        <f t="shared" si="1"/>
        <v>-0.23806350258200493</v>
      </c>
      <c r="S37" s="146">
        <f t="shared" si="1"/>
        <v>-4.2293529895154891E-2</v>
      </c>
      <c r="T37" s="146">
        <f t="shared" si="1"/>
        <v>7.6898507988356624E-2</v>
      </c>
      <c r="U37" s="146">
        <f t="shared" si="1"/>
        <v>3.7621902048707856E-2</v>
      </c>
      <c r="V37" s="146">
        <f t="shared" si="1"/>
        <v>4.5531236384199536E-2</v>
      </c>
      <c r="W37" s="146">
        <f t="shared" si="1"/>
        <v>4.6319242790326509E-2</v>
      </c>
      <c r="X37" s="146">
        <f t="shared" si="1"/>
        <v>4.5686748893775553E-2</v>
      </c>
      <c r="Y37" s="146">
        <f t="shared" si="2"/>
        <v>4.5688268432590107E-2</v>
      </c>
    </row>
    <row r="38" spans="1:25">
      <c r="A38" s="851" t="s">
        <v>245</v>
      </c>
      <c r="B38" s="851">
        <v>872.76499999999999</v>
      </c>
      <c r="C38" s="851">
        <v>881.952</v>
      </c>
      <c r="D38" s="851">
        <v>732.74900000000002</v>
      </c>
      <c r="E38" s="851">
        <v>744.78099999999995</v>
      </c>
      <c r="F38" s="851">
        <v>777.46799999999996</v>
      </c>
      <c r="G38" s="851">
        <v>836.88599999999997</v>
      </c>
      <c r="H38" s="851">
        <v>867.52800000000002</v>
      </c>
      <c r="I38" s="851">
        <v>897.41499999999996</v>
      </c>
      <c r="J38" s="851">
        <v>923.43100000000004</v>
      </c>
      <c r="K38" s="851">
        <v>949.41499999999996</v>
      </c>
      <c r="L38" s="851">
        <v>2015</v>
      </c>
      <c r="O38" s="156"/>
      <c r="P38" s="156"/>
      <c r="Q38" s="146">
        <f t="shared" si="1"/>
        <v>1.0526315789473717E-2</v>
      </c>
      <c r="R38" s="146">
        <f t="shared" si="1"/>
        <v>-0.16917360581981788</v>
      </c>
      <c r="S38" s="146">
        <f t="shared" si="1"/>
        <v>1.6420356766095878E-2</v>
      </c>
      <c r="T38" s="146">
        <f t="shared" si="1"/>
        <v>4.3888069110248562E-2</v>
      </c>
      <c r="U38" s="146">
        <f t="shared" si="1"/>
        <v>7.6425010418435191E-2</v>
      </c>
      <c r="V38" s="146">
        <f t="shared" si="1"/>
        <v>3.6614305891125021E-2</v>
      </c>
      <c r="W38" s="146">
        <f t="shared" si="1"/>
        <v>3.4450761243441042E-2</v>
      </c>
      <c r="X38" s="146">
        <f t="shared" si="1"/>
        <v>2.898993219413537E-2</v>
      </c>
      <c r="Y38" s="146">
        <f t="shared" si="2"/>
        <v>2.8138539858419298E-2</v>
      </c>
    </row>
    <row r="39" spans="1:25">
      <c r="A39" s="851" t="s">
        <v>246</v>
      </c>
      <c r="B39" s="851">
        <v>424.41800000000001</v>
      </c>
      <c r="C39" s="851">
        <v>452.93</v>
      </c>
      <c r="D39" s="851">
        <v>470.15100000000001</v>
      </c>
      <c r="E39" s="851">
        <v>467.41399999999999</v>
      </c>
      <c r="F39" s="851">
        <v>466.39100000000002</v>
      </c>
      <c r="G39" s="851">
        <v>466.334</v>
      </c>
      <c r="H39" s="851">
        <v>467.57100000000003</v>
      </c>
      <c r="I39" s="851">
        <v>470.86399999999998</v>
      </c>
      <c r="J39" s="851">
        <v>476.84399999999999</v>
      </c>
      <c r="K39" s="851">
        <v>484.721</v>
      </c>
      <c r="L39" s="851">
        <v>1983</v>
      </c>
      <c r="O39" s="156"/>
      <c r="P39" s="156"/>
      <c r="Q39" s="146">
        <f t="shared" si="1"/>
        <v>6.717905461125584E-2</v>
      </c>
      <c r="R39" s="146">
        <f t="shared" si="1"/>
        <v>3.8021327798997584E-2</v>
      </c>
      <c r="S39" s="146">
        <f t="shared" si="1"/>
        <v>-5.8215339327152282E-3</v>
      </c>
      <c r="T39" s="146">
        <f t="shared" si="1"/>
        <v>-2.1886379098614572E-3</v>
      </c>
      <c r="U39" s="146">
        <f t="shared" si="1"/>
        <v>-1.2221505131959631E-4</v>
      </c>
      <c r="V39" s="146">
        <f t="shared" si="1"/>
        <v>2.6526052142885614E-3</v>
      </c>
      <c r="W39" s="146">
        <f t="shared" si="1"/>
        <v>7.0427806686041983E-3</v>
      </c>
      <c r="X39" s="146">
        <f t="shared" si="1"/>
        <v>1.2700057766149131E-2</v>
      </c>
      <c r="Y39" s="146">
        <f t="shared" si="2"/>
        <v>1.651902928421034E-2</v>
      </c>
    </row>
    <row r="40" spans="1:25">
      <c r="A40" s="851" t="s">
        <v>247</v>
      </c>
      <c r="B40" s="1168">
        <v>3561.16</v>
      </c>
      <c r="C40" s="1168">
        <v>3492.5</v>
      </c>
      <c r="D40" s="1168">
        <v>2067.09</v>
      </c>
      <c r="E40" s="1168">
        <v>1854.86</v>
      </c>
      <c r="F40" s="1168">
        <v>1793.85</v>
      </c>
      <c r="G40" s="1168">
        <v>1786.37</v>
      </c>
      <c r="H40" s="1168">
        <v>1771.73</v>
      </c>
      <c r="I40" s="1168">
        <v>1812.53</v>
      </c>
      <c r="J40" s="1168">
        <v>1921.13</v>
      </c>
      <c r="K40" s="1168">
        <v>1902.28</v>
      </c>
      <c r="L40" s="851">
        <v>2004</v>
      </c>
      <c r="O40" s="156"/>
      <c r="P40" s="156"/>
      <c r="Q40" s="146">
        <f t="shared" si="1"/>
        <v>-1.9280234530321572E-2</v>
      </c>
      <c r="R40" s="146">
        <f t="shared" si="1"/>
        <v>-0.40813457408733</v>
      </c>
      <c r="S40" s="146">
        <f t="shared" si="1"/>
        <v>-0.10267090450827021</v>
      </c>
      <c r="T40" s="146">
        <f t="shared" si="1"/>
        <v>-3.2891970283471572E-2</v>
      </c>
      <c r="U40" s="146">
        <f t="shared" si="1"/>
        <v>-4.1698023803551365E-3</v>
      </c>
      <c r="V40" s="146">
        <f t="shared" si="1"/>
        <v>-8.1953906525522591E-3</v>
      </c>
      <c r="W40" s="146">
        <f t="shared" si="1"/>
        <v>2.3028339532547237E-2</v>
      </c>
      <c r="X40" s="146">
        <f t="shared" si="1"/>
        <v>5.991624966207465E-2</v>
      </c>
      <c r="Y40" s="146">
        <f t="shared" si="2"/>
        <v>-9.8119336015782821E-3</v>
      </c>
    </row>
    <row r="41" spans="1:25">
      <c r="A41" s="851" t="s">
        <v>248</v>
      </c>
      <c r="B41" s="1168">
        <v>10677.81</v>
      </c>
      <c r="C41" s="1168">
        <v>10695.65</v>
      </c>
      <c r="D41" s="1168">
        <v>11435.97</v>
      </c>
      <c r="E41" s="1168">
        <v>11836.44</v>
      </c>
      <c r="F41" s="1168">
        <v>11856.79</v>
      </c>
      <c r="G41" s="1168">
        <v>12144.51</v>
      </c>
      <c r="H41" s="1168">
        <v>12735.5</v>
      </c>
      <c r="I41" s="1168">
        <v>13361.82</v>
      </c>
      <c r="J41" s="1168">
        <v>14035.96</v>
      </c>
      <c r="K41" s="1168">
        <v>14749.32</v>
      </c>
      <c r="L41" s="851">
        <v>2016</v>
      </c>
      <c r="O41" s="156"/>
      <c r="P41" s="156"/>
      <c r="Q41" s="146">
        <f t="shared" si="1"/>
        <v>1.6707545835710214E-3</v>
      </c>
      <c r="R41" s="146">
        <f t="shared" si="1"/>
        <v>6.9216924637586219E-2</v>
      </c>
      <c r="S41" s="146">
        <f t="shared" si="1"/>
        <v>3.5018454927741249E-2</v>
      </c>
      <c r="T41" s="146">
        <f t="shared" si="1"/>
        <v>1.7192669417493978E-3</v>
      </c>
      <c r="U41" s="146">
        <f t="shared" si="1"/>
        <v>2.4266264309311225E-2</v>
      </c>
      <c r="V41" s="146">
        <f t="shared" si="1"/>
        <v>4.8663140793659077E-2</v>
      </c>
      <c r="W41" s="146">
        <f t="shared" si="1"/>
        <v>4.9179066389226866E-2</v>
      </c>
      <c r="X41" s="146">
        <f t="shared" si="1"/>
        <v>5.0452707789806928E-2</v>
      </c>
      <c r="Y41" s="146">
        <f t="shared" si="2"/>
        <v>5.0823741304477865E-2</v>
      </c>
    </row>
    <row r="42" spans="1:25">
      <c r="A42" s="851" t="s">
        <v>617</v>
      </c>
      <c r="B42" s="1168">
        <v>1388.45</v>
      </c>
      <c r="C42" s="1168">
        <v>1530.62</v>
      </c>
      <c r="D42" s="1168">
        <v>1381.39</v>
      </c>
      <c r="E42" s="1168">
        <v>1466.43</v>
      </c>
      <c r="F42" s="1168">
        <v>1598.8</v>
      </c>
      <c r="G42" s="1168">
        <v>1773.7</v>
      </c>
      <c r="H42" s="1168">
        <v>1892.59</v>
      </c>
      <c r="I42" s="1168">
        <v>2009.98</v>
      </c>
      <c r="J42" s="1168">
        <v>2119.5500000000002</v>
      </c>
      <c r="K42" s="1168">
        <v>2229.2399999999998</v>
      </c>
      <c r="L42" s="851">
        <v>2014</v>
      </c>
      <c r="O42" s="156"/>
      <c r="P42" s="156"/>
      <c r="Q42" s="146">
        <f t="shared" si="1"/>
        <v>0.1023947567431307</v>
      </c>
      <c r="R42" s="146">
        <f t="shared" si="1"/>
        <v>-9.7496439351373865E-2</v>
      </c>
      <c r="S42" s="146">
        <f t="shared" si="1"/>
        <v>6.1561181129152542E-2</v>
      </c>
      <c r="T42" s="146">
        <f t="shared" si="1"/>
        <v>9.0266838512577996E-2</v>
      </c>
      <c r="U42" s="146">
        <f t="shared" si="1"/>
        <v>0.10939454590943209</v>
      </c>
      <c r="V42" s="146">
        <f t="shared" si="1"/>
        <v>6.7029373625753896E-2</v>
      </c>
      <c r="W42" s="146">
        <f t="shared" si="1"/>
        <v>6.2026112364537589E-2</v>
      </c>
      <c r="X42" s="146">
        <f t="shared" si="1"/>
        <v>5.4512980228659025E-2</v>
      </c>
      <c r="Y42" s="146">
        <f t="shared" si="2"/>
        <v>5.1751551036776533E-2</v>
      </c>
    </row>
    <row r="43" spans="1:25">
      <c r="A43" s="851" t="s">
        <v>250</v>
      </c>
      <c r="B43" s="1168">
        <v>13573.74</v>
      </c>
      <c r="C43" s="1168">
        <v>13468.73</v>
      </c>
      <c r="D43" s="1168">
        <v>11636.95</v>
      </c>
      <c r="E43" s="1168">
        <v>12164.95</v>
      </c>
      <c r="F43" s="1168">
        <v>12862.95</v>
      </c>
      <c r="G43" s="1168">
        <v>13958.05</v>
      </c>
      <c r="H43" s="1168">
        <v>14599.55</v>
      </c>
      <c r="I43" s="1168">
        <v>15211.3</v>
      </c>
      <c r="J43" s="1168">
        <v>15757.83</v>
      </c>
      <c r="K43" s="1168">
        <v>16668.03</v>
      </c>
      <c r="L43" s="851">
        <v>2016</v>
      </c>
      <c r="O43" s="156"/>
      <c r="P43" s="156"/>
      <c r="Q43" s="146">
        <f t="shared" si="1"/>
        <v>-7.7362613399107882E-3</v>
      </c>
      <c r="R43" s="146">
        <f t="shared" si="1"/>
        <v>-0.13600242933075346</v>
      </c>
      <c r="S43" s="146">
        <f t="shared" si="1"/>
        <v>4.5372713640601692E-2</v>
      </c>
      <c r="T43" s="146">
        <f t="shared" si="1"/>
        <v>5.7377958807886653E-2</v>
      </c>
      <c r="U43" s="146">
        <f t="shared" si="1"/>
        <v>8.5135991355015594E-2</v>
      </c>
      <c r="V43" s="146">
        <f t="shared" si="1"/>
        <v>4.5959141857207841E-2</v>
      </c>
      <c r="W43" s="146">
        <f t="shared" si="1"/>
        <v>4.1901976430780419E-2</v>
      </c>
      <c r="X43" s="146">
        <f t="shared" si="1"/>
        <v>3.5929210521125743E-2</v>
      </c>
      <c r="Y43" s="146">
        <f t="shared" si="2"/>
        <v>5.7761760343905122E-2</v>
      </c>
    </row>
    <row r="44" spans="1:25">
      <c r="A44" s="851" t="s">
        <v>251</v>
      </c>
      <c r="B44" s="1168">
        <v>27791.66</v>
      </c>
      <c r="C44" s="1168">
        <v>27208.27</v>
      </c>
      <c r="D44" s="1168">
        <v>23105.27</v>
      </c>
      <c r="E44" s="1168">
        <v>23351.87</v>
      </c>
      <c r="F44" s="1168">
        <v>24740.959999999999</v>
      </c>
      <c r="G44" s="1168">
        <v>26742</v>
      </c>
      <c r="H44" s="1168">
        <v>27623.22</v>
      </c>
      <c r="I44" s="1168">
        <v>28559.99</v>
      </c>
      <c r="J44" s="1168">
        <v>29373.31</v>
      </c>
      <c r="K44" s="1168">
        <v>30224.46</v>
      </c>
      <c r="L44" s="851">
        <v>2016</v>
      </c>
      <c r="O44" s="156"/>
      <c r="P44" s="156"/>
      <c r="Q44" s="146">
        <f t="shared" si="1"/>
        <v>-2.0991549263340126E-2</v>
      </c>
      <c r="R44" s="146">
        <f t="shared" si="1"/>
        <v>-0.15079973846187211</v>
      </c>
      <c r="S44" s="146">
        <f t="shared" si="1"/>
        <v>1.0672889777959771E-2</v>
      </c>
      <c r="T44" s="146">
        <f t="shared" si="1"/>
        <v>5.9485171851333618E-2</v>
      </c>
      <c r="U44" s="146">
        <f t="shared" si="1"/>
        <v>8.0879642503767002E-2</v>
      </c>
      <c r="V44" s="146">
        <f t="shared" si="1"/>
        <v>3.2952658739062279E-2</v>
      </c>
      <c r="W44" s="146">
        <f t="shared" si="1"/>
        <v>3.3912411369854789E-2</v>
      </c>
      <c r="X44" s="146">
        <f t="shared" si="1"/>
        <v>2.8477601007563358E-2</v>
      </c>
      <c r="Y44" s="146">
        <f t="shared" si="2"/>
        <v>2.8976986250442982E-2</v>
      </c>
    </row>
    <row r="45" spans="1:25">
      <c r="A45" s="851" t="s">
        <v>252</v>
      </c>
      <c r="B45" s="1168">
        <v>19912.509999999998</v>
      </c>
      <c r="C45" s="1168">
        <v>19768.84</v>
      </c>
      <c r="D45" s="1168">
        <v>17728.7</v>
      </c>
      <c r="E45" s="1168">
        <v>18507.73</v>
      </c>
      <c r="F45" s="1168">
        <v>19818.36</v>
      </c>
      <c r="G45" s="1168">
        <v>22467.89</v>
      </c>
      <c r="H45" s="1168">
        <v>23771.4</v>
      </c>
      <c r="I45" s="1168">
        <v>25101.89</v>
      </c>
      <c r="J45" s="1168">
        <v>26404.66</v>
      </c>
      <c r="K45" s="1168">
        <v>27675.59</v>
      </c>
      <c r="L45" s="851">
        <v>2016</v>
      </c>
      <c r="O45" s="156"/>
      <c r="P45" s="156"/>
      <c r="Q45" s="146">
        <f t="shared" si="1"/>
        <v>-7.2150622899874728E-3</v>
      </c>
      <c r="R45" s="146">
        <f t="shared" si="1"/>
        <v>-0.10319978309298872</v>
      </c>
      <c r="S45" s="146">
        <f t="shared" si="1"/>
        <v>4.3941744177520059E-2</v>
      </c>
      <c r="T45" s="146">
        <f t="shared" si="1"/>
        <v>7.0815275563237634E-2</v>
      </c>
      <c r="U45" s="146">
        <f t="shared" si="1"/>
        <v>0.13369067874435614</v>
      </c>
      <c r="V45" s="146">
        <f t="shared" si="1"/>
        <v>5.8016573874983379E-2</v>
      </c>
      <c r="W45" s="146">
        <f t="shared" si="1"/>
        <v>5.5970199483412753E-2</v>
      </c>
      <c r="X45" s="146">
        <f t="shared" si="1"/>
        <v>5.1899279297295875E-2</v>
      </c>
      <c r="Y45" s="146">
        <f t="shared" si="2"/>
        <v>4.8132791711765988E-2</v>
      </c>
    </row>
    <row r="46" spans="1:25">
      <c r="A46" s="851" t="s">
        <v>253</v>
      </c>
      <c r="B46" s="1168">
        <v>61325.58</v>
      </c>
      <c r="C46" s="1168">
        <v>62605.7</v>
      </c>
      <c r="D46" s="1168">
        <v>53237.279999999999</v>
      </c>
      <c r="E46" s="1168">
        <v>53744.639999999999</v>
      </c>
      <c r="F46" s="1168">
        <v>56334.61</v>
      </c>
      <c r="G46" s="1168">
        <v>60633.82</v>
      </c>
      <c r="H46" s="1168">
        <v>62616.68</v>
      </c>
      <c r="I46" s="1168">
        <v>64615.1</v>
      </c>
      <c r="J46" s="1168">
        <v>66570.94</v>
      </c>
      <c r="K46" s="1168">
        <v>68598.73</v>
      </c>
      <c r="L46" s="851">
        <v>2015</v>
      </c>
      <c r="O46" s="156"/>
      <c r="P46" s="156"/>
      <c r="Q46" s="146">
        <f t="shared" si="1"/>
        <v>2.0874160505289785E-2</v>
      </c>
      <c r="R46" s="146">
        <f t="shared" si="1"/>
        <v>-0.14964164604820329</v>
      </c>
      <c r="S46" s="146">
        <f t="shared" si="1"/>
        <v>9.5301638250488985E-3</v>
      </c>
      <c r="T46" s="146">
        <f t="shared" si="1"/>
        <v>4.8190293953034313E-2</v>
      </c>
      <c r="U46" s="146">
        <f t="shared" si="1"/>
        <v>7.6315607758711712E-2</v>
      </c>
      <c r="V46" s="146">
        <f t="shared" si="1"/>
        <v>3.2702211406109738E-2</v>
      </c>
      <c r="W46" s="146">
        <f t="shared" si="1"/>
        <v>3.1915138266672693E-2</v>
      </c>
      <c r="X46" s="146">
        <f t="shared" si="1"/>
        <v>3.0269085709068166E-2</v>
      </c>
      <c r="Y46" s="146">
        <f t="shared" si="2"/>
        <v>3.0460588358824259E-2</v>
      </c>
    </row>
    <row r="47" spans="1:25">
      <c r="A47" s="851" t="s">
        <v>254</v>
      </c>
      <c r="B47" s="1168">
        <v>1592.86</v>
      </c>
      <c r="C47" s="1168">
        <v>1690.67</v>
      </c>
      <c r="D47" s="1168">
        <v>1788.36</v>
      </c>
      <c r="E47" s="1168">
        <v>1902.75</v>
      </c>
      <c r="F47" s="1168">
        <v>2039.91</v>
      </c>
      <c r="G47" s="1168">
        <v>2186.9499999999998</v>
      </c>
      <c r="H47" s="1168">
        <v>2344.59</v>
      </c>
      <c r="I47" s="1168">
        <v>2490.1</v>
      </c>
      <c r="J47" s="1168">
        <v>2644.64</v>
      </c>
      <c r="K47" s="1168">
        <v>2808.77</v>
      </c>
      <c r="L47" s="851">
        <v>2009</v>
      </c>
      <c r="O47" s="156"/>
      <c r="P47" s="156"/>
      <c r="Q47" s="146">
        <f t="shared" si="1"/>
        <v>6.1405271021935492E-2</v>
      </c>
      <c r="R47" s="146">
        <f t="shared" si="1"/>
        <v>5.7781826139932546E-2</v>
      </c>
      <c r="S47" s="146">
        <f t="shared" si="1"/>
        <v>6.3963631483594074E-2</v>
      </c>
      <c r="T47" s="146">
        <f t="shared" si="1"/>
        <v>7.2085139929050079E-2</v>
      </c>
      <c r="U47" s="146">
        <f t="shared" si="1"/>
        <v>7.2081611443642002E-2</v>
      </c>
      <c r="V47" s="146">
        <f t="shared" si="1"/>
        <v>7.2082123505338602E-2</v>
      </c>
      <c r="W47" s="146">
        <f t="shared" si="1"/>
        <v>6.2062023637394992E-2</v>
      </c>
      <c r="X47" s="146">
        <f t="shared" si="1"/>
        <v>6.2061764587767465E-2</v>
      </c>
      <c r="Y47" s="146">
        <f t="shared" si="2"/>
        <v>6.206137697380365E-2</v>
      </c>
    </row>
    <row r="48" spans="1:25">
      <c r="A48" s="851" t="s">
        <v>255</v>
      </c>
      <c r="B48" s="1168">
        <v>7096.22</v>
      </c>
      <c r="C48" s="1168">
        <v>7402.8</v>
      </c>
      <c r="D48" s="1168">
        <v>7564.37</v>
      </c>
      <c r="E48" s="1168">
        <v>8220.1299999999992</v>
      </c>
      <c r="F48" s="1168">
        <v>8591.74</v>
      </c>
      <c r="G48" s="1168">
        <v>8952.4</v>
      </c>
      <c r="H48" s="1168">
        <v>9259.94</v>
      </c>
      <c r="I48" s="1168">
        <v>9618.5499999999993</v>
      </c>
      <c r="J48" s="1168">
        <v>9981.91</v>
      </c>
      <c r="K48" s="1168">
        <v>10334.27</v>
      </c>
      <c r="L48" s="851">
        <v>2011</v>
      </c>
      <c r="O48" s="156"/>
      <c r="P48" s="156"/>
      <c r="Q48" s="146">
        <f t="shared" ref="Q48:X79" si="3">C48/B48-1</f>
        <v>4.3203282874544557E-2</v>
      </c>
      <c r="R48" s="146">
        <f t="shared" si="3"/>
        <v>2.1825525476846463E-2</v>
      </c>
      <c r="S48" s="146">
        <f t="shared" si="3"/>
        <v>8.6690629887221204E-2</v>
      </c>
      <c r="T48" s="146">
        <f t="shared" si="3"/>
        <v>4.5207314239555929E-2</v>
      </c>
      <c r="U48" s="146">
        <f t="shared" si="3"/>
        <v>4.19775272529197E-2</v>
      </c>
      <c r="V48" s="146">
        <f t="shared" si="3"/>
        <v>3.4352799249363297E-2</v>
      </c>
      <c r="W48" s="146">
        <f t="shared" si="3"/>
        <v>3.8727032788549165E-2</v>
      </c>
      <c r="X48" s="146">
        <f t="shared" si="3"/>
        <v>3.7777003810345766E-2</v>
      </c>
      <c r="Y48" s="146">
        <f t="shared" si="2"/>
        <v>3.5299857442112836E-2</v>
      </c>
    </row>
    <row r="49" spans="1:25">
      <c r="A49" s="851" t="s">
        <v>256</v>
      </c>
      <c r="B49" s="1168">
        <v>6342.71</v>
      </c>
      <c r="C49" s="1168">
        <v>6609.19</v>
      </c>
      <c r="D49" s="1168">
        <v>6833.24</v>
      </c>
      <c r="E49" s="1168">
        <v>7113.93</v>
      </c>
      <c r="F49" s="1168">
        <v>7360.52</v>
      </c>
      <c r="G49" s="1168">
        <v>7733.31</v>
      </c>
      <c r="H49" s="1168">
        <v>8126.27</v>
      </c>
      <c r="I49" s="1168">
        <v>8531.15</v>
      </c>
      <c r="J49" s="1168">
        <v>8956.1299999999992</v>
      </c>
      <c r="K49" s="1168">
        <v>9402.31</v>
      </c>
      <c r="L49" s="851">
        <v>2016</v>
      </c>
      <c r="O49" s="156"/>
      <c r="P49" s="156"/>
      <c r="Q49" s="146">
        <f t="shared" si="3"/>
        <v>4.2013587252136553E-2</v>
      </c>
      <c r="R49" s="146">
        <f t="shared" si="3"/>
        <v>3.3899766839809553E-2</v>
      </c>
      <c r="S49" s="146">
        <f t="shared" si="3"/>
        <v>4.107714641956095E-2</v>
      </c>
      <c r="T49" s="146">
        <f t="shared" si="3"/>
        <v>3.4662978128826127E-2</v>
      </c>
      <c r="U49" s="146">
        <f t="shared" si="3"/>
        <v>5.0647236880003055E-2</v>
      </c>
      <c r="V49" s="146">
        <f t="shared" si="3"/>
        <v>5.0813946421390144E-2</v>
      </c>
      <c r="W49" s="146">
        <f t="shared" si="3"/>
        <v>4.9823596803945547E-2</v>
      </c>
      <c r="X49" s="146">
        <f t="shared" si="3"/>
        <v>4.9815089407641455E-2</v>
      </c>
      <c r="Y49" s="146">
        <f t="shared" si="2"/>
        <v>4.9818392542314571E-2</v>
      </c>
    </row>
    <row r="50" spans="1:25">
      <c r="A50" s="851" t="s">
        <v>257</v>
      </c>
      <c r="B50" s="1168">
        <v>6030.5</v>
      </c>
      <c r="C50" s="1168">
        <v>6382.31</v>
      </c>
      <c r="D50" s="1168">
        <v>6153.8</v>
      </c>
      <c r="E50" s="1168">
        <v>5917.1</v>
      </c>
      <c r="F50" s="1168">
        <v>5875.69</v>
      </c>
      <c r="G50" s="1168">
        <v>5855.93</v>
      </c>
      <c r="H50" s="1168">
        <v>5875.82</v>
      </c>
      <c r="I50" s="1168">
        <v>5934.3</v>
      </c>
      <c r="J50" s="1168">
        <v>6013.22</v>
      </c>
      <c r="K50" s="1168">
        <v>6121.02</v>
      </c>
      <c r="L50" s="851">
        <v>2016</v>
      </c>
      <c r="O50" s="156"/>
      <c r="P50" s="156"/>
      <c r="Q50" s="146">
        <f t="shared" si="3"/>
        <v>5.8338446231655849E-2</v>
      </c>
      <c r="R50" s="146">
        <f t="shared" si="3"/>
        <v>-3.5803651029172823E-2</v>
      </c>
      <c r="S50" s="146">
        <f t="shared" si="3"/>
        <v>-3.8464038480288565E-2</v>
      </c>
      <c r="T50" s="146">
        <f t="shared" si="3"/>
        <v>-6.9983606834430612E-3</v>
      </c>
      <c r="U50" s="146">
        <f t="shared" si="3"/>
        <v>-3.3630092806120615E-3</v>
      </c>
      <c r="V50" s="146">
        <f t="shared" si="3"/>
        <v>3.3965569943628093E-3</v>
      </c>
      <c r="W50" s="146">
        <f t="shared" si="3"/>
        <v>9.9526534168847824E-3</v>
      </c>
      <c r="X50" s="146">
        <f t="shared" si="3"/>
        <v>1.3298956911514503E-2</v>
      </c>
      <c r="Y50" s="146">
        <f t="shared" si="2"/>
        <v>1.7927167141731148E-2</v>
      </c>
    </row>
    <row r="51" spans="1:25">
      <c r="A51" s="851" t="s">
        <v>259</v>
      </c>
      <c r="B51" s="1168">
        <v>3896.14</v>
      </c>
      <c r="C51" s="1168">
        <v>3989.52</v>
      </c>
      <c r="D51" s="1168">
        <v>4128.7299999999996</v>
      </c>
      <c r="E51" s="1168">
        <v>4226.74</v>
      </c>
      <c r="F51" s="1168">
        <v>4303.2</v>
      </c>
      <c r="G51" s="1168">
        <v>4497.6899999999996</v>
      </c>
      <c r="H51" s="1168">
        <v>4663.58</v>
      </c>
      <c r="I51" s="1168">
        <v>4832.43</v>
      </c>
      <c r="J51" s="1168">
        <v>5002.95</v>
      </c>
      <c r="K51" s="1168">
        <v>5170.1400000000003</v>
      </c>
      <c r="L51" s="851">
        <v>2007</v>
      </c>
      <c r="O51" s="156"/>
      <c r="P51" s="156"/>
      <c r="Q51" s="146">
        <f t="shared" si="3"/>
        <v>2.3967311236249289E-2</v>
      </c>
      <c r="R51" s="146">
        <f t="shared" si="3"/>
        <v>3.4893922075838635E-2</v>
      </c>
      <c r="S51" s="146">
        <f t="shared" si="3"/>
        <v>2.3738534609916373E-2</v>
      </c>
      <c r="T51" s="146">
        <f t="shared" si="3"/>
        <v>1.808959150551015E-2</v>
      </c>
      <c r="U51" s="146">
        <f t="shared" si="3"/>
        <v>4.5196597880647005E-2</v>
      </c>
      <c r="V51" s="146">
        <f t="shared" si="3"/>
        <v>3.6883377911772541E-2</v>
      </c>
      <c r="W51" s="146">
        <f t="shared" si="3"/>
        <v>3.6206090599925522E-2</v>
      </c>
      <c r="X51" s="146">
        <f t="shared" si="3"/>
        <v>3.528659494291686E-2</v>
      </c>
      <c r="Y51" s="146">
        <f t="shared" si="2"/>
        <v>3.3418283212904409E-2</v>
      </c>
    </row>
    <row r="52" spans="1:25">
      <c r="A52" s="851" t="s">
        <v>260</v>
      </c>
      <c r="B52" s="1168">
        <v>28985.72</v>
      </c>
      <c r="C52" s="1168">
        <v>27583.95</v>
      </c>
      <c r="D52" s="1168">
        <v>15214.59</v>
      </c>
      <c r="E52" s="1168">
        <v>12399.4</v>
      </c>
      <c r="F52" s="1168">
        <v>11948.11</v>
      </c>
      <c r="G52" s="1168">
        <v>11456.54</v>
      </c>
      <c r="H52" s="1168">
        <v>11200.29</v>
      </c>
      <c r="I52" s="1168">
        <v>10985.72</v>
      </c>
      <c r="J52" s="1168">
        <v>11054.56</v>
      </c>
      <c r="K52" s="1168">
        <v>11058.49</v>
      </c>
      <c r="L52" s="851">
        <v>2010</v>
      </c>
      <c r="O52" s="156"/>
      <c r="P52" s="156"/>
      <c r="Q52" s="146">
        <f t="shared" si="3"/>
        <v>-4.8360710032388399E-2</v>
      </c>
      <c r="R52" s="146">
        <f t="shared" si="3"/>
        <v>-0.44842598685104929</v>
      </c>
      <c r="S52" s="146">
        <f t="shared" si="3"/>
        <v>-0.18503226179607868</v>
      </c>
      <c r="T52" s="146">
        <f t="shared" si="3"/>
        <v>-3.6396115941093821E-2</v>
      </c>
      <c r="U52" s="146">
        <f t="shared" si="3"/>
        <v>-4.1142071842324879E-2</v>
      </c>
      <c r="V52" s="146">
        <f t="shared" si="3"/>
        <v>-2.2367137023918238E-2</v>
      </c>
      <c r="W52" s="146">
        <f t="shared" si="3"/>
        <v>-1.9157539670847989E-2</v>
      </c>
      <c r="X52" s="146">
        <f t="shared" si="3"/>
        <v>6.2663166365062306E-3</v>
      </c>
      <c r="Y52" s="146">
        <f t="shared" si="2"/>
        <v>3.5550940064554837E-4</v>
      </c>
    </row>
    <row r="53" spans="1:25">
      <c r="A53" s="851" t="s">
        <v>261</v>
      </c>
      <c r="B53" s="851">
        <v>593.79600000000005</v>
      </c>
      <c r="C53" s="851">
        <v>665</v>
      </c>
      <c r="D53" s="851">
        <v>741.36300000000006</v>
      </c>
      <c r="E53" s="851">
        <v>823.11099999999999</v>
      </c>
      <c r="F53" s="851">
        <v>900.79200000000003</v>
      </c>
      <c r="G53" s="851">
        <v>988.15700000000004</v>
      </c>
      <c r="H53" s="1168">
        <v>1083.3599999999999</v>
      </c>
      <c r="I53" s="1168">
        <v>1098.82</v>
      </c>
      <c r="J53" s="1168">
        <v>1214.4100000000001</v>
      </c>
      <c r="K53" s="1168">
        <v>1343.74</v>
      </c>
      <c r="L53" s="851">
        <v>2006</v>
      </c>
      <c r="O53" s="156"/>
      <c r="P53" s="156"/>
      <c r="Q53" s="146">
        <f t="shared" si="3"/>
        <v>0.11991323619559568</v>
      </c>
      <c r="R53" s="146">
        <f t="shared" si="3"/>
        <v>0.1148315789473684</v>
      </c>
      <c r="S53" s="146">
        <f t="shared" si="3"/>
        <v>0.11026717006378783</v>
      </c>
      <c r="T53" s="146">
        <f t="shared" si="3"/>
        <v>9.4374877750388553E-2</v>
      </c>
      <c r="U53" s="146">
        <f t="shared" si="3"/>
        <v>9.6986873773301729E-2</v>
      </c>
      <c r="V53" s="146">
        <f t="shared" si="3"/>
        <v>9.6344002015873897E-2</v>
      </c>
      <c r="W53" s="146">
        <f t="shared" si="3"/>
        <v>1.4270417958942572E-2</v>
      </c>
      <c r="X53" s="146">
        <f t="shared" si="3"/>
        <v>0.10519466336615646</v>
      </c>
      <c r="Y53" s="146">
        <f t="shared" si="2"/>
        <v>0.10649615862846962</v>
      </c>
    </row>
    <row r="54" spans="1:25">
      <c r="A54" s="851" t="s">
        <v>262</v>
      </c>
      <c r="B54" s="1168">
        <v>19046.740000000002</v>
      </c>
      <c r="C54" s="1168">
        <v>19961.64</v>
      </c>
      <c r="D54" s="1168">
        <v>17192.43</v>
      </c>
      <c r="E54" s="1168">
        <v>17786.009999999998</v>
      </c>
      <c r="F54" s="1168">
        <v>19618.310000000001</v>
      </c>
      <c r="G54" s="1168">
        <v>21964.35</v>
      </c>
      <c r="H54" s="1168">
        <v>23532.85</v>
      </c>
      <c r="I54" s="1168">
        <v>25058.639999999999</v>
      </c>
      <c r="J54" s="1168">
        <v>26479.75</v>
      </c>
      <c r="K54" s="1168">
        <v>27950.54</v>
      </c>
      <c r="L54" s="851">
        <v>2016</v>
      </c>
      <c r="O54" s="156"/>
      <c r="P54" s="156"/>
      <c r="Q54" s="146">
        <f t="shared" si="3"/>
        <v>4.8034466790642272E-2</v>
      </c>
      <c r="R54" s="146">
        <f t="shared" si="3"/>
        <v>-0.13872657757579032</v>
      </c>
      <c r="S54" s="146">
        <f t="shared" si="3"/>
        <v>3.452566042147609E-2</v>
      </c>
      <c r="T54" s="146">
        <f t="shared" si="3"/>
        <v>0.10301917068527477</v>
      </c>
      <c r="U54" s="146">
        <f t="shared" si="3"/>
        <v>0.11958420475565923</v>
      </c>
      <c r="V54" s="146">
        <f t="shared" si="3"/>
        <v>7.1411173105509596E-2</v>
      </c>
      <c r="W54" s="146">
        <f t="shared" si="3"/>
        <v>6.4836600751715157E-2</v>
      </c>
      <c r="X54" s="146">
        <f t="shared" si="3"/>
        <v>5.671137779225055E-2</v>
      </c>
      <c r="Y54" s="146">
        <f t="shared" si="2"/>
        <v>5.5543953398351498E-2</v>
      </c>
    </row>
    <row r="55" spans="1:25">
      <c r="A55" s="851" t="s">
        <v>263</v>
      </c>
      <c r="B55" s="851">
        <v>548.048</v>
      </c>
      <c r="C55" s="851">
        <v>628.34199999999998</v>
      </c>
      <c r="D55" s="851">
        <v>720.61699999999996</v>
      </c>
      <c r="E55" s="851">
        <v>795.23400000000004</v>
      </c>
      <c r="F55" s="851">
        <v>860.55700000000002</v>
      </c>
      <c r="G55" s="851">
        <v>927.39</v>
      </c>
      <c r="H55" s="851">
        <v>993.625</v>
      </c>
      <c r="I55" s="1168">
        <v>1065.26</v>
      </c>
      <c r="J55" s="1168">
        <v>1146.1400000000001</v>
      </c>
      <c r="K55" s="1168">
        <v>1227.93</v>
      </c>
      <c r="L55" s="851">
        <v>2016</v>
      </c>
      <c r="O55" s="156"/>
      <c r="P55" s="156"/>
      <c r="Q55" s="146">
        <f t="shared" si="3"/>
        <v>0.14650906489942495</v>
      </c>
      <c r="R55" s="146">
        <f t="shared" si="3"/>
        <v>0.14685473834313156</v>
      </c>
      <c r="S55" s="146">
        <f t="shared" si="3"/>
        <v>0.10354598906215107</v>
      </c>
      <c r="T55" s="146">
        <f t="shared" si="3"/>
        <v>8.2143117623240336E-2</v>
      </c>
      <c r="U55" s="146">
        <f t="shared" si="3"/>
        <v>7.7662490689169861E-2</v>
      </c>
      <c r="V55" s="146">
        <f t="shared" si="3"/>
        <v>7.1420869321428881E-2</v>
      </c>
      <c r="W55" s="146">
        <f t="shared" si="3"/>
        <v>7.2094603094728926E-2</v>
      </c>
      <c r="X55" s="146">
        <f t="shared" si="3"/>
        <v>7.5925126260255826E-2</v>
      </c>
      <c r="Y55" s="146">
        <f t="shared" si="2"/>
        <v>7.1361264766956811E-2</v>
      </c>
    </row>
    <row r="56" spans="1:25">
      <c r="A56" s="851" t="s">
        <v>264</v>
      </c>
      <c r="B56" s="1168">
        <v>4863.46</v>
      </c>
      <c r="C56" s="1168">
        <v>5179.87</v>
      </c>
      <c r="D56" s="1168">
        <v>5017.18</v>
      </c>
      <c r="E56" s="1168">
        <v>5357.48</v>
      </c>
      <c r="F56" s="1168">
        <v>5761.06</v>
      </c>
      <c r="G56" s="1168">
        <v>6114.41</v>
      </c>
      <c r="H56" s="1168">
        <v>6483.15</v>
      </c>
      <c r="I56" s="1168">
        <v>6874.16</v>
      </c>
      <c r="J56" s="1168">
        <v>7288.74</v>
      </c>
      <c r="K56" s="1168">
        <v>7720.85</v>
      </c>
      <c r="L56" s="851">
        <v>2015</v>
      </c>
      <c r="O56" s="156"/>
      <c r="P56" s="156"/>
      <c r="Q56" s="146">
        <f t="shared" si="3"/>
        <v>6.5058620817278312E-2</v>
      </c>
      <c r="R56" s="146">
        <f t="shared" si="3"/>
        <v>-3.1408124142111582E-2</v>
      </c>
      <c r="S56" s="146">
        <f t="shared" si="3"/>
        <v>6.7826946611442951E-2</v>
      </c>
      <c r="T56" s="146">
        <f t="shared" si="3"/>
        <v>7.5330192553215491E-2</v>
      </c>
      <c r="U56" s="146">
        <f t="shared" si="3"/>
        <v>6.1334198914782867E-2</v>
      </c>
      <c r="V56" s="146">
        <f t="shared" si="3"/>
        <v>6.0306718064375708E-2</v>
      </c>
      <c r="W56" s="146">
        <f t="shared" si="3"/>
        <v>6.0311731180059169E-2</v>
      </c>
      <c r="X56" s="146">
        <f t="shared" si="3"/>
        <v>6.0309914229520478E-2</v>
      </c>
      <c r="Y56" s="146">
        <f t="shared" si="2"/>
        <v>5.9284595142644836E-2</v>
      </c>
    </row>
    <row r="57" spans="1:25">
      <c r="A57" s="851" t="s">
        <v>265</v>
      </c>
      <c r="B57" s="1168">
        <v>49766.13</v>
      </c>
      <c r="C57" s="1168">
        <v>50087.85</v>
      </c>
      <c r="D57" s="1168">
        <v>42501.25</v>
      </c>
      <c r="E57" s="1168">
        <v>43482.41</v>
      </c>
      <c r="F57" s="1168">
        <v>45692.89</v>
      </c>
      <c r="G57" s="1168">
        <v>49206.65</v>
      </c>
      <c r="H57" s="1168">
        <v>51018.720000000001</v>
      </c>
      <c r="I57" s="1168">
        <v>52749.98</v>
      </c>
      <c r="J57" s="1168">
        <v>54236.81</v>
      </c>
      <c r="K57" s="1168">
        <v>55722.79</v>
      </c>
      <c r="L57" s="851">
        <v>2014</v>
      </c>
      <c r="O57" s="156"/>
      <c r="P57" s="156"/>
      <c r="Q57" s="146">
        <f t="shared" si="3"/>
        <v>6.4646376963610752E-3</v>
      </c>
      <c r="R57" s="146">
        <f t="shared" si="3"/>
        <v>-0.15146587445857629</v>
      </c>
      <c r="S57" s="146">
        <f t="shared" si="3"/>
        <v>2.3085438663568825E-2</v>
      </c>
      <c r="T57" s="146">
        <f t="shared" si="3"/>
        <v>5.0836188702511942E-2</v>
      </c>
      <c r="U57" s="146">
        <f t="shared" si="3"/>
        <v>7.6899491365068018E-2</v>
      </c>
      <c r="V57" s="146">
        <f t="shared" si="3"/>
        <v>3.6825713597653964E-2</v>
      </c>
      <c r="W57" s="146">
        <f t="shared" si="3"/>
        <v>3.393381880219648E-2</v>
      </c>
      <c r="X57" s="146">
        <f t="shared" si="3"/>
        <v>2.8186361397672499E-2</v>
      </c>
      <c r="Y57" s="146">
        <f t="shared" si="2"/>
        <v>2.7397997780474137E-2</v>
      </c>
    </row>
    <row r="58" spans="1:25">
      <c r="A58" s="851" t="s">
        <v>266</v>
      </c>
      <c r="B58" s="1168">
        <v>44104.92</v>
      </c>
      <c r="C58" s="1168">
        <v>44571.66</v>
      </c>
      <c r="D58" s="1168">
        <v>37840.080000000002</v>
      </c>
      <c r="E58" s="1168">
        <v>38177.86</v>
      </c>
      <c r="F58" s="1168">
        <v>39673.14</v>
      </c>
      <c r="G58" s="1168">
        <v>42418.75</v>
      </c>
      <c r="H58" s="1168">
        <v>43830.65</v>
      </c>
      <c r="I58" s="1168">
        <v>45214.04</v>
      </c>
      <c r="J58" s="1168">
        <v>46413.07</v>
      </c>
      <c r="K58" s="1168">
        <v>47623.7</v>
      </c>
      <c r="L58" s="851">
        <v>2016</v>
      </c>
      <c r="O58" s="156"/>
      <c r="P58" s="156"/>
      <c r="Q58" s="146">
        <f t="shared" si="3"/>
        <v>1.0582492837533986E-2</v>
      </c>
      <c r="R58" s="146">
        <f t="shared" si="3"/>
        <v>-0.15102825427637201</v>
      </c>
      <c r="S58" s="146">
        <f t="shared" si="3"/>
        <v>8.9265138974334857E-3</v>
      </c>
      <c r="T58" s="146">
        <f t="shared" si="3"/>
        <v>3.9166155462878161E-2</v>
      </c>
      <c r="U58" s="146">
        <f t="shared" si="3"/>
        <v>6.9205764907945388E-2</v>
      </c>
      <c r="V58" s="146">
        <f t="shared" si="3"/>
        <v>3.3284809194047416E-2</v>
      </c>
      <c r="W58" s="146">
        <f t="shared" si="3"/>
        <v>3.1562160269126727E-2</v>
      </c>
      <c r="X58" s="146">
        <f t="shared" si="3"/>
        <v>2.6518975079422136E-2</v>
      </c>
      <c r="Y58" s="146">
        <f t="shared" si="2"/>
        <v>2.6083816476694999E-2</v>
      </c>
    </row>
    <row r="59" spans="1:25">
      <c r="A59" s="851" t="s">
        <v>267</v>
      </c>
      <c r="B59" s="1168">
        <v>9760.8799999999992</v>
      </c>
      <c r="C59" s="1168">
        <v>9956.4699999999993</v>
      </c>
      <c r="D59" s="1168">
        <v>7754.49</v>
      </c>
      <c r="E59" s="1168">
        <v>7453.37</v>
      </c>
      <c r="F59" s="1168">
        <v>7583.93</v>
      </c>
      <c r="G59" s="1168">
        <v>8006.02</v>
      </c>
      <c r="H59" s="1168">
        <v>8423.25</v>
      </c>
      <c r="I59" s="1168">
        <v>8831.35</v>
      </c>
      <c r="J59" s="1168">
        <v>9269.1299999999992</v>
      </c>
      <c r="K59" s="1168">
        <v>9780.7099999999991</v>
      </c>
      <c r="L59" s="851">
        <v>2004</v>
      </c>
      <c r="O59" s="156"/>
      <c r="P59" s="156"/>
      <c r="Q59" s="146">
        <f t="shared" si="3"/>
        <v>2.003815229774375E-2</v>
      </c>
      <c r="R59" s="146">
        <f t="shared" si="3"/>
        <v>-0.22116071258186887</v>
      </c>
      <c r="S59" s="146">
        <f t="shared" si="3"/>
        <v>-3.8831696217288325E-2</v>
      </c>
      <c r="T59" s="146">
        <f t="shared" si="3"/>
        <v>1.7516908458858227E-2</v>
      </c>
      <c r="U59" s="146">
        <f t="shared" si="3"/>
        <v>5.5655840705280735E-2</v>
      </c>
      <c r="V59" s="146">
        <f t="shared" si="3"/>
        <v>5.211453381330533E-2</v>
      </c>
      <c r="W59" s="146">
        <f t="shared" si="3"/>
        <v>4.8449232778321916E-2</v>
      </c>
      <c r="X59" s="146">
        <f t="shared" si="3"/>
        <v>4.9571130121668583E-2</v>
      </c>
      <c r="Y59" s="146">
        <f t="shared" si="2"/>
        <v>5.5191803329978084E-2</v>
      </c>
    </row>
    <row r="60" spans="1:25">
      <c r="A60" s="851" t="s">
        <v>268</v>
      </c>
      <c r="B60" s="851">
        <v>481.53</v>
      </c>
      <c r="C60" s="851">
        <v>432.13400000000001</v>
      </c>
      <c r="D60" s="851">
        <v>448.15800000000002</v>
      </c>
      <c r="E60" s="851">
        <v>469.04300000000001</v>
      </c>
      <c r="F60" s="851">
        <v>488.46800000000002</v>
      </c>
      <c r="G60" s="851">
        <v>498.50400000000002</v>
      </c>
      <c r="H60" s="851">
        <v>508.99099999999999</v>
      </c>
      <c r="I60" s="851">
        <v>518.33500000000004</v>
      </c>
      <c r="J60" s="851">
        <v>526.85</v>
      </c>
      <c r="K60" s="851">
        <v>535.53800000000001</v>
      </c>
      <c r="L60" s="851">
        <v>2015</v>
      </c>
      <c r="O60" s="156"/>
      <c r="P60" s="156"/>
      <c r="Q60" s="146">
        <f t="shared" si="3"/>
        <v>-0.10258135526343104</v>
      </c>
      <c r="R60" s="146">
        <f t="shared" si="3"/>
        <v>3.7081090587641752E-2</v>
      </c>
      <c r="S60" s="146">
        <f t="shared" si="3"/>
        <v>4.6601868091164178E-2</v>
      </c>
      <c r="T60" s="146">
        <f t="shared" si="3"/>
        <v>4.1414113418172693E-2</v>
      </c>
      <c r="U60" s="146">
        <f t="shared" si="3"/>
        <v>2.0545869944397666E-2</v>
      </c>
      <c r="V60" s="146">
        <f t="shared" si="3"/>
        <v>2.1036942532055791E-2</v>
      </c>
      <c r="W60" s="146">
        <f t="shared" si="3"/>
        <v>1.8357888449894055E-2</v>
      </c>
      <c r="X60" s="146">
        <f t="shared" si="3"/>
        <v>1.6427599911254198E-2</v>
      </c>
      <c r="Y60" s="146">
        <f t="shared" si="2"/>
        <v>1.6490462180886345E-2</v>
      </c>
    </row>
    <row r="61" spans="1:25">
      <c r="A61" s="851" t="s">
        <v>269</v>
      </c>
      <c r="B61" s="1168">
        <v>4266.59</v>
      </c>
      <c r="C61" s="1168">
        <v>4428.26</v>
      </c>
      <c r="D61" s="1168">
        <v>3761.91</v>
      </c>
      <c r="E61" s="1168">
        <v>3871.82</v>
      </c>
      <c r="F61" s="1168">
        <v>4123.3100000000004</v>
      </c>
      <c r="G61" s="1168">
        <v>4528.91</v>
      </c>
      <c r="H61" s="1168">
        <v>4884.28</v>
      </c>
      <c r="I61" s="1168">
        <v>5282.22</v>
      </c>
      <c r="J61" s="1168">
        <v>5745.06</v>
      </c>
      <c r="K61" s="1168">
        <v>6258.64</v>
      </c>
      <c r="L61" s="851">
        <v>2015</v>
      </c>
      <c r="O61" s="156"/>
      <c r="P61" s="156"/>
      <c r="Q61" s="146">
        <f t="shared" si="3"/>
        <v>3.7892087123440499E-2</v>
      </c>
      <c r="R61" s="146">
        <f t="shared" si="3"/>
        <v>-0.15047671094289861</v>
      </c>
      <c r="S61" s="146">
        <f t="shared" si="3"/>
        <v>2.9216541597220536E-2</v>
      </c>
      <c r="T61" s="146">
        <f t="shared" si="3"/>
        <v>6.4953949305494696E-2</v>
      </c>
      <c r="U61" s="146">
        <f t="shared" si="3"/>
        <v>9.8367573624102755E-2</v>
      </c>
      <c r="V61" s="146">
        <f t="shared" si="3"/>
        <v>7.8467004201894008E-2</v>
      </c>
      <c r="W61" s="146">
        <f t="shared" si="3"/>
        <v>8.1473625590670506E-2</v>
      </c>
      <c r="X61" s="146">
        <f t="shared" si="3"/>
        <v>8.7622249735906488E-2</v>
      </c>
      <c r="Y61" s="146">
        <f t="shared" si="2"/>
        <v>8.9395062888812271E-2</v>
      </c>
    </row>
    <row r="62" spans="1:25">
      <c r="A62" s="851" t="s">
        <v>270</v>
      </c>
      <c r="B62" s="1168">
        <v>46545.38</v>
      </c>
      <c r="C62" s="1168">
        <v>48118.75</v>
      </c>
      <c r="D62" s="1168">
        <v>41344.65</v>
      </c>
      <c r="E62" s="1168">
        <v>42176.85</v>
      </c>
      <c r="F62" s="1168">
        <v>44184.45</v>
      </c>
      <c r="G62" s="1168">
        <v>47535.42</v>
      </c>
      <c r="H62" s="1168">
        <v>49180.54</v>
      </c>
      <c r="I62" s="1168">
        <v>50837.46</v>
      </c>
      <c r="J62" s="1168">
        <v>52287.1</v>
      </c>
      <c r="K62" s="1168">
        <v>53810.13</v>
      </c>
      <c r="L62" s="851">
        <v>2016</v>
      </c>
      <c r="O62" s="156"/>
      <c r="P62" s="156"/>
      <c r="Q62" s="146">
        <f t="shared" si="3"/>
        <v>3.3802925231247505E-2</v>
      </c>
      <c r="R62" s="146">
        <f t="shared" si="3"/>
        <v>-0.14077880244187557</v>
      </c>
      <c r="S62" s="146">
        <f t="shared" si="3"/>
        <v>2.0128360017559688E-2</v>
      </c>
      <c r="T62" s="146">
        <f t="shared" si="3"/>
        <v>4.7599571803015106E-2</v>
      </c>
      <c r="U62" s="146">
        <f t="shared" si="3"/>
        <v>7.5840482341638316E-2</v>
      </c>
      <c r="V62" s="146">
        <f t="shared" si="3"/>
        <v>3.4608298401486826E-2</v>
      </c>
      <c r="W62" s="146">
        <f t="shared" si="3"/>
        <v>3.3690561348045378E-2</v>
      </c>
      <c r="X62" s="146">
        <f t="shared" si="3"/>
        <v>2.8515193323978005E-2</v>
      </c>
      <c r="Y62" s="146">
        <f t="shared" si="2"/>
        <v>2.9128217093699948E-2</v>
      </c>
    </row>
    <row r="63" spans="1:25">
      <c r="A63" s="851" t="s">
        <v>271</v>
      </c>
      <c r="B63" s="1168">
        <v>1870.16</v>
      </c>
      <c r="C63" s="1168">
        <v>1479.02</v>
      </c>
      <c r="D63" s="1168">
        <v>1372.17</v>
      </c>
      <c r="E63" s="1168">
        <v>1551.42</v>
      </c>
      <c r="F63" s="1168">
        <v>1607.74</v>
      </c>
      <c r="G63" s="1168">
        <v>1697.4</v>
      </c>
      <c r="H63" s="1168">
        <v>1777.37</v>
      </c>
      <c r="I63" s="1168">
        <v>1849.52</v>
      </c>
      <c r="J63" s="1168">
        <v>1932.36</v>
      </c>
      <c r="K63" s="1168">
        <v>2030.01</v>
      </c>
      <c r="L63" s="851">
        <v>0</v>
      </c>
      <c r="O63" s="156"/>
      <c r="P63" s="156"/>
      <c r="Q63" s="146">
        <f t="shared" si="3"/>
        <v>-0.20914788039526033</v>
      </c>
      <c r="R63" s="146">
        <f t="shared" si="3"/>
        <v>-7.2243783045530141E-2</v>
      </c>
      <c r="S63" s="146">
        <f t="shared" si="3"/>
        <v>0.13063250180371244</v>
      </c>
      <c r="T63" s="146">
        <f t="shared" si="3"/>
        <v>3.6302226347475264E-2</v>
      </c>
      <c r="U63" s="146">
        <f t="shared" si="3"/>
        <v>5.5767723636906519E-2</v>
      </c>
      <c r="V63" s="146">
        <f t="shared" si="3"/>
        <v>4.7113232001885219E-2</v>
      </c>
      <c r="W63" s="146">
        <f t="shared" si="3"/>
        <v>4.0593686176766841E-2</v>
      </c>
      <c r="X63" s="146">
        <f t="shared" si="3"/>
        <v>4.4789999567455219E-2</v>
      </c>
      <c r="Y63" s="146">
        <f t="shared" si="2"/>
        <v>5.0534061976029276E-2</v>
      </c>
    </row>
    <row r="64" spans="1:25">
      <c r="A64" s="851" t="s">
        <v>272</v>
      </c>
      <c r="B64" s="1168">
        <v>21805.26</v>
      </c>
      <c r="C64" s="1168">
        <v>21639.94</v>
      </c>
      <c r="D64" s="1168">
        <v>17955.189999999999</v>
      </c>
      <c r="E64" s="1168">
        <v>18049.3</v>
      </c>
      <c r="F64" s="1168">
        <v>18945.09</v>
      </c>
      <c r="G64" s="1168">
        <v>20566.87</v>
      </c>
      <c r="H64" s="1168">
        <v>21358.05</v>
      </c>
      <c r="I64" s="1168">
        <v>22179.93</v>
      </c>
      <c r="J64" s="1168">
        <v>22897.22</v>
      </c>
      <c r="K64" s="1168">
        <v>23444.37</v>
      </c>
      <c r="L64" s="851">
        <v>2016</v>
      </c>
      <c r="O64" s="156"/>
      <c r="P64" s="156"/>
      <c r="Q64" s="146">
        <f t="shared" si="3"/>
        <v>-7.5816569029674152E-3</v>
      </c>
      <c r="R64" s="146">
        <f t="shared" si="3"/>
        <v>-0.17027542590228995</v>
      </c>
      <c r="S64" s="146">
        <f t="shared" si="3"/>
        <v>5.2413814612934928E-3</v>
      </c>
      <c r="T64" s="146">
        <f t="shared" si="3"/>
        <v>4.9630179563750376E-2</v>
      </c>
      <c r="U64" s="146">
        <f t="shared" si="3"/>
        <v>8.5604238354106466E-2</v>
      </c>
      <c r="V64" s="146">
        <f t="shared" si="3"/>
        <v>3.8468663437849271E-2</v>
      </c>
      <c r="W64" s="146">
        <f t="shared" si="3"/>
        <v>3.8481041106280811E-2</v>
      </c>
      <c r="X64" s="146">
        <f t="shared" si="3"/>
        <v>3.2339597104228845E-2</v>
      </c>
      <c r="Y64" s="146">
        <f t="shared" si="2"/>
        <v>2.3895914001786922E-2</v>
      </c>
    </row>
    <row r="65" spans="1:25">
      <c r="A65" s="851" t="s">
        <v>273</v>
      </c>
      <c r="B65" s="1168">
        <v>7956.08</v>
      </c>
      <c r="C65" s="1168">
        <v>8574.01</v>
      </c>
      <c r="D65" s="1168">
        <v>9342.06</v>
      </c>
      <c r="E65" s="1168">
        <v>9857.4699999999993</v>
      </c>
      <c r="F65" s="1168">
        <v>10328.24</v>
      </c>
      <c r="G65" s="1168">
        <v>10753.99</v>
      </c>
      <c r="H65" s="1168">
        <v>11186.24</v>
      </c>
      <c r="I65" s="1168">
        <v>11658.26</v>
      </c>
      <c r="J65" s="1168">
        <v>12178.64</v>
      </c>
      <c r="K65" s="1168">
        <v>12722.25</v>
      </c>
      <c r="L65" s="851">
        <v>2011</v>
      </c>
      <c r="O65" s="156"/>
      <c r="P65" s="156"/>
      <c r="Q65" s="146">
        <f t="shared" si="3"/>
        <v>7.7667645373098448E-2</v>
      </c>
      <c r="R65" s="146">
        <f t="shared" si="3"/>
        <v>8.9578855168118476E-2</v>
      </c>
      <c r="S65" s="146">
        <f t="shared" si="3"/>
        <v>5.5170915194293402E-2</v>
      </c>
      <c r="T65" s="146">
        <f t="shared" si="3"/>
        <v>4.7757690360711313E-2</v>
      </c>
      <c r="U65" s="146">
        <f t="shared" si="3"/>
        <v>4.1221931326150374E-2</v>
      </c>
      <c r="V65" s="146">
        <f t="shared" si="3"/>
        <v>4.0194383665969502E-2</v>
      </c>
      <c r="W65" s="146">
        <f t="shared" si="3"/>
        <v>4.2196484252081223E-2</v>
      </c>
      <c r="X65" s="146">
        <f t="shared" si="3"/>
        <v>4.4636163544130802E-2</v>
      </c>
      <c r="Y65" s="146">
        <f t="shared" si="2"/>
        <v>4.4636346915583491E-2</v>
      </c>
    </row>
    <row r="66" spans="1:25">
      <c r="A66" s="851" t="s">
        <v>274</v>
      </c>
      <c r="B66" s="1168">
        <v>3452.83</v>
      </c>
      <c r="C66" s="1168">
        <v>3687.75</v>
      </c>
      <c r="D66" s="1168">
        <v>3923.56</v>
      </c>
      <c r="E66" s="1168">
        <v>4070.26</v>
      </c>
      <c r="F66" s="1168">
        <v>4184.92</v>
      </c>
      <c r="G66" s="1168">
        <v>4321.17</v>
      </c>
      <c r="H66" s="1168">
        <v>4519.6499999999996</v>
      </c>
      <c r="I66" s="1168">
        <v>4730.8999999999996</v>
      </c>
      <c r="J66" s="1168">
        <v>4932.83</v>
      </c>
      <c r="K66" s="1168">
        <v>5126.51</v>
      </c>
      <c r="L66" s="851">
        <v>2010</v>
      </c>
      <c r="O66" s="156"/>
      <c r="P66" s="156"/>
      <c r="Q66" s="146">
        <f t="shared" si="3"/>
        <v>6.803694360857615E-2</v>
      </c>
      <c r="R66" s="146">
        <f t="shared" si="3"/>
        <v>6.3944139380381015E-2</v>
      </c>
      <c r="S66" s="146">
        <f t="shared" si="3"/>
        <v>3.7389513604991542E-2</v>
      </c>
      <c r="T66" s="146">
        <f t="shared" si="3"/>
        <v>2.8170190602074596E-2</v>
      </c>
      <c r="U66" s="146">
        <f t="shared" si="3"/>
        <v>3.2557372661842887E-2</v>
      </c>
      <c r="V66" s="146">
        <f t="shared" si="3"/>
        <v>4.5932004526551662E-2</v>
      </c>
      <c r="W66" s="146">
        <f t="shared" si="3"/>
        <v>4.6740344938214218E-2</v>
      </c>
      <c r="X66" s="146">
        <f t="shared" si="3"/>
        <v>4.2683210382802539E-2</v>
      </c>
      <c r="Y66" s="146">
        <f t="shared" si="2"/>
        <v>3.9263465394104413E-2</v>
      </c>
    </row>
    <row r="67" spans="1:25">
      <c r="A67" s="851" t="s">
        <v>275</v>
      </c>
      <c r="B67" s="851">
        <v>712.98199999999997</v>
      </c>
      <c r="C67" s="851">
        <v>729.798</v>
      </c>
      <c r="D67" s="851">
        <v>709.85799999999995</v>
      </c>
      <c r="E67" s="851">
        <v>669.86800000000005</v>
      </c>
      <c r="F67" s="851">
        <v>707.98900000000003</v>
      </c>
      <c r="G67" s="851">
        <v>741.32</v>
      </c>
      <c r="H67" s="851">
        <v>778.92100000000005</v>
      </c>
      <c r="I67" s="851">
        <v>818.99800000000005</v>
      </c>
      <c r="J67" s="851">
        <v>860.94200000000001</v>
      </c>
      <c r="K67" s="851">
        <v>901.13599999999997</v>
      </c>
      <c r="L67" s="851">
        <v>2011</v>
      </c>
      <c r="O67" s="156"/>
      <c r="P67" s="156"/>
      <c r="Q67" s="146">
        <f t="shared" si="3"/>
        <v>2.3585448159981537E-2</v>
      </c>
      <c r="R67" s="146">
        <f t="shared" si="3"/>
        <v>-2.7322629001449772E-2</v>
      </c>
      <c r="S67" s="146">
        <f t="shared" si="3"/>
        <v>-5.6335210704112515E-2</v>
      </c>
      <c r="T67" s="146">
        <f t="shared" si="3"/>
        <v>5.6908226695408626E-2</v>
      </c>
      <c r="U67" s="146">
        <f t="shared" si="3"/>
        <v>4.7078415060121115E-2</v>
      </c>
      <c r="V67" s="146">
        <f t="shared" si="3"/>
        <v>5.0721685641827996E-2</v>
      </c>
      <c r="W67" s="146">
        <f t="shared" si="3"/>
        <v>5.145194442055101E-2</v>
      </c>
      <c r="X67" s="146">
        <f t="shared" si="3"/>
        <v>5.1213800277900567E-2</v>
      </c>
      <c r="Y67" s="146">
        <f t="shared" si="2"/>
        <v>4.6686071767900739E-2</v>
      </c>
    </row>
    <row r="68" spans="1:25">
      <c r="A68" s="851" t="s">
        <v>276</v>
      </c>
      <c r="B68" s="851">
        <v>671.13699999999994</v>
      </c>
      <c r="C68" s="851">
        <v>662.38199999999995</v>
      </c>
      <c r="D68" s="851">
        <v>639.50800000000004</v>
      </c>
      <c r="E68" s="851">
        <v>692.47299999999996</v>
      </c>
      <c r="F68" s="851">
        <v>761.34799999999996</v>
      </c>
      <c r="G68" s="851">
        <v>831.81600000000003</v>
      </c>
      <c r="H68" s="851">
        <v>876.74300000000005</v>
      </c>
      <c r="I68" s="851">
        <v>921.93</v>
      </c>
      <c r="J68" s="851">
        <v>964.28599999999994</v>
      </c>
      <c r="K68" s="1168">
        <v>1006.81</v>
      </c>
      <c r="L68" s="851">
        <v>2004</v>
      </c>
      <c r="O68" s="156"/>
      <c r="P68" s="156"/>
      <c r="Q68" s="146">
        <f t="shared" si="3"/>
        <v>-1.3045026574305951E-2</v>
      </c>
      <c r="R68" s="146">
        <f t="shared" si="3"/>
        <v>-3.453294322611411E-2</v>
      </c>
      <c r="S68" s="146">
        <f t="shared" si="3"/>
        <v>8.2821481513913664E-2</v>
      </c>
      <c r="T68" s="146">
        <f t="shared" si="3"/>
        <v>9.9462361709409697E-2</v>
      </c>
      <c r="U68" s="146">
        <f t="shared" si="3"/>
        <v>9.2556885944403922E-2</v>
      </c>
      <c r="V68" s="146">
        <f t="shared" si="3"/>
        <v>5.4010742760418173E-2</v>
      </c>
      <c r="W68" s="146">
        <f t="shared" si="3"/>
        <v>5.1539618793648545E-2</v>
      </c>
      <c r="X68" s="146">
        <f t="shared" si="3"/>
        <v>4.5942750534205379E-2</v>
      </c>
      <c r="Y68" s="146">
        <f t="shared" si="2"/>
        <v>4.4098949896607342E-2</v>
      </c>
    </row>
    <row r="69" spans="1:25">
      <c r="A69" s="851" t="s">
        <v>277</v>
      </c>
      <c r="B69" s="1168">
        <v>3929.41</v>
      </c>
      <c r="C69" s="1168">
        <v>4029.05</v>
      </c>
      <c r="D69" s="1168">
        <v>4150.57</v>
      </c>
      <c r="E69" s="1168">
        <v>4474.7700000000004</v>
      </c>
      <c r="F69" s="1168">
        <v>4662.3</v>
      </c>
      <c r="G69" s="1168">
        <v>4816.6099999999997</v>
      </c>
      <c r="H69" s="1168">
        <v>5042.58</v>
      </c>
      <c r="I69" s="1168">
        <v>6156.77</v>
      </c>
      <c r="J69" s="1168">
        <v>7305.73</v>
      </c>
      <c r="K69" s="1168">
        <v>7580.57</v>
      </c>
      <c r="L69" s="851">
        <v>2012</v>
      </c>
      <c r="O69" s="156"/>
      <c r="P69" s="156"/>
      <c r="Q69" s="146">
        <f t="shared" si="3"/>
        <v>2.5357496418037417E-2</v>
      </c>
      <c r="R69" s="146">
        <f t="shared" si="3"/>
        <v>3.0160956056638488E-2</v>
      </c>
      <c r="S69" s="146">
        <f t="shared" si="3"/>
        <v>7.8109753600108078E-2</v>
      </c>
      <c r="T69" s="146">
        <f t="shared" si="3"/>
        <v>4.1908299197500609E-2</v>
      </c>
      <c r="U69" s="146">
        <f t="shared" si="3"/>
        <v>3.3097398279818835E-2</v>
      </c>
      <c r="V69" s="146">
        <f t="shared" si="3"/>
        <v>4.6914738789314514E-2</v>
      </c>
      <c r="W69" s="146">
        <f t="shared" si="3"/>
        <v>0.22095633584395302</v>
      </c>
      <c r="X69" s="146">
        <f t="shared" si="3"/>
        <v>0.18661733343944942</v>
      </c>
      <c r="Y69" s="146">
        <f t="shared" si="2"/>
        <v>3.7619786113092024E-2</v>
      </c>
    </row>
    <row r="70" spans="1:25">
      <c r="A70" s="851" t="s">
        <v>278</v>
      </c>
      <c r="B70" s="851">
        <v>810.17200000000003</v>
      </c>
      <c r="C70" s="851">
        <v>829.91099999999994</v>
      </c>
      <c r="D70" s="851">
        <v>809.67200000000003</v>
      </c>
      <c r="E70" s="851">
        <v>758.82799999999997</v>
      </c>
      <c r="F70" s="851">
        <v>761.19100000000003</v>
      </c>
      <c r="G70" s="851">
        <v>805.25199999999995</v>
      </c>
      <c r="H70" s="851">
        <v>843.86</v>
      </c>
      <c r="I70" s="851">
        <v>884.51700000000005</v>
      </c>
      <c r="J70" s="851">
        <v>922.76599999999996</v>
      </c>
      <c r="K70" s="851">
        <v>958.32799999999997</v>
      </c>
      <c r="L70" s="851">
        <v>0</v>
      </c>
      <c r="O70" s="156"/>
      <c r="P70" s="156"/>
      <c r="Q70" s="146">
        <f t="shared" si="3"/>
        <v>2.4363962220367963E-2</v>
      </c>
      <c r="R70" s="146">
        <f t="shared" si="3"/>
        <v>-2.4386952335852752E-2</v>
      </c>
      <c r="S70" s="146">
        <f t="shared" si="3"/>
        <v>-6.2795798792597557E-2</v>
      </c>
      <c r="T70" s="146">
        <f t="shared" si="3"/>
        <v>3.1140126616309161E-3</v>
      </c>
      <c r="U70" s="146">
        <f t="shared" si="3"/>
        <v>5.7884289225700103E-2</v>
      </c>
      <c r="V70" s="146">
        <f t="shared" si="3"/>
        <v>4.794523950266516E-2</v>
      </c>
      <c r="W70" s="146">
        <f t="shared" si="3"/>
        <v>4.8179792856634984E-2</v>
      </c>
      <c r="X70" s="146">
        <f t="shared" si="3"/>
        <v>4.3242809352448841E-2</v>
      </c>
      <c r="Y70" s="146">
        <f t="shared" si="2"/>
        <v>3.8538481045031991E-2</v>
      </c>
    </row>
    <row r="71" spans="1:25">
      <c r="A71" s="851" t="s">
        <v>279</v>
      </c>
      <c r="B71" s="1168">
        <v>2348.7600000000002</v>
      </c>
      <c r="C71" s="1168">
        <v>2472.85</v>
      </c>
      <c r="D71" s="1168">
        <v>2567.0500000000002</v>
      </c>
      <c r="E71" s="1168">
        <v>2608.88</v>
      </c>
      <c r="F71" s="1168">
        <v>2729.78</v>
      </c>
      <c r="G71" s="1168">
        <v>2796.63</v>
      </c>
      <c r="H71" s="1168">
        <v>2834.88</v>
      </c>
      <c r="I71" s="1168">
        <v>2873.66</v>
      </c>
      <c r="J71" s="1168">
        <v>2927.24</v>
      </c>
      <c r="K71" s="1168">
        <v>3003.18</v>
      </c>
      <c r="L71" s="851">
        <v>2001</v>
      </c>
      <c r="O71" s="156"/>
      <c r="P71" s="156"/>
      <c r="Q71" s="146">
        <f t="shared" si="3"/>
        <v>5.2832132699807355E-2</v>
      </c>
      <c r="R71" s="146">
        <f t="shared" si="3"/>
        <v>3.8093697555452222E-2</v>
      </c>
      <c r="S71" s="146">
        <f t="shared" si="3"/>
        <v>1.6294968933211251E-2</v>
      </c>
      <c r="T71" s="146">
        <f t="shared" si="3"/>
        <v>4.6341725184753546E-2</v>
      </c>
      <c r="U71" s="146">
        <f t="shared" si="3"/>
        <v>2.4489152972034356E-2</v>
      </c>
      <c r="V71" s="146">
        <f t="shared" si="3"/>
        <v>1.3677175743662895E-2</v>
      </c>
      <c r="W71" s="146">
        <f t="shared" si="3"/>
        <v>1.3679591376001721E-2</v>
      </c>
      <c r="X71" s="146">
        <f t="shared" si="3"/>
        <v>1.864521202925884E-2</v>
      </c>
      <c r="Y71" s="146">
        <f t="shared" si="2"/>
        <v>2.5942526065508842E-2</v>
      </c>
    </row>
    <row r="72" spans="1:25">
      <c r="A72" s="851" t="s">
        <v>280</v>
      </c>
      <c r="B72" s="1168">
        <v>38233.31</v>
      </c>
      <c r="C72" s="1168">
        <v>40185.760000000002</v>
      </c>
      <c r="D72" s="1168">
        <v>42328.11</v>
      </c>
      <c r="E72" s="1168">
        <v>43561.08</v>
      </c>
      <c r="F72" s="1168">
        <v>44999.31</v>
      </c>
      <c r="G72" s="1168">
        <v>46076.53</v>
      </c>
      <c r="H72" s="1168">
        <v>47512.01</v>
      </c>
      <c r="I72" s="1168">
        <v>48778.76</v>
      </c>
      <c r="J72" s="1168">
        <v>50202.77</v>
      </c>
      <c r="K72" s="1168">
        <v>51925.760000000002</v>
      </c>
      <c r="L72" s="851">
        <v>2016</v>
      </c>
      <c r="O72" s="156"/>
      <c r="P72" s="156"/>
      <c r="Q72" s="146">
        <f t="shared" si="3"/>
        <v>5.1066726893381764E-2</v>
      </c>
      <c r="R72" s="146">
        <f t="shared" si="3"/>
        <v>5.3311172912992033E-2</v>
      </c>
      <c r="S72" s="146">
        <f t="shared" si="3"/>
        <v>2.912886968021966E-2</v>
      </c>
      <c r="T72" s="146">
        <f t="shared" si="3"/>
        <v>3.3016399042447908E-2</v>
      </c>
      <c r="U72" s="146">
        <f t="shared" si="3"/>
        <v>2.3938589280591227E-2</v>
      </c>
      <c r="V72" s="146">
        <f t="shared" si="3"/>
        <v>3.1154255756672633E-2</v>
      </c>
      <c r="W72" s="146">
        <f t="shared" si="3"/>
        <v>2.6661679857366671E-2</v>
      </c>
      <c r="X72" s="146">
        <f t="shared" si="3"/>
        <v>2.9193239024526196E-2</v>
      </c>
      <c r="Y72" s="146">
        <f t="shared" si="2"/>
        <v>3.4320616173171503E-2</v>
      </c>
    </row>
    <row r="73" spans="1:25">
      <c r="A73" s="851" t="s">
        <v>281</v>
      </c>
      <c r="B73" s="1168">
        <v>13591.43</v>
      </c>
      <c r="C73" s="1168">
        <v>14107.88</v>
      </c>
      <c r="D73" s="1168">
        <v>12343.72</v>
      </c>
      <c r="E73" s="1168">
        <v>12652.45</v>
      </c>
      <c r="F73" s="1168">
        <v>13459.73</v>
      </c>
      <c r="G73" s="1168">
        <v>14742.12</v>
      </c>
      <c r="H73" s="1168">
        <v>15459.9</v>
      </c>
      <c r="I73" s="1168">
        <v>16133.21</v>
      </c>
      <c r="J73" s="1168">
        <v>16717.87</v>
      </c>
      <c r="K73" s="1168">
        <v>17276.150000000001</v>
      </c>
      <c r="L73" s="851">
        <v>2015</v>
      </c>
      <c r="O73" s="156"/>
      <c r="P73" s="156"/>
      <c r="Q73" s="146">
        <f t="shared" si="3"/>
        <v>3.7998209165628571E-2</v>
      </c>
      <c r="R73" s="146">
        <f t="shared" si="3"/>
        <v>-0.12504784560118176</v>
      </c>
      <c r="S73" s="146">
        <f t="shared" si="3"/>
        <v>2.5011098761151596E-2</v>
      </c>
      <c r="T73" s="146">
        <f t="shared" si="3"/>
        <v>6.380424344692126E-2</v>
      </c>
      <c r="U73" s="146">
        <f t="shared" si="3"/>
        <v>9.5276056800545073E-2</v>
      </c>
      <c r="V73" s="146">
        <f t="shared" si="3"/>
        <v>4.8689062360094626E-2</v>
      </c>
      <c r="W73" s="146">
        <f t="shared" si="3"/>
        <v>4.3552028150246835E-2</v>
      </c>
      <c r="X73" s="146">
        <f t="shared" si="3"/>
        <v>3.6239533236101185E-2</v>
      </c>
      <c r="Y73" s="146">
        <f t="shared" si="2"/>
        <v>3.3394206319345754E-2</v>
      </c>
    </row>
    <row r="74" spans="1:25">
      <c r="A74" s="851" t="s">
        <v>282</v>
      </c>
      <c r="B74" s="1168">
        <v>47530.35</v>
      </c>
      <c r="C74" s="1168">
        <v>52199.83</v>
      </c>
      <c r="D74" s="1168">
        <v>50472.94</v>
      </c>
      <c r="E74" s="1168">
        <v>59629.05</v>
      </c>
      <c r="F74" s="1168">
        <v>73092.2</v>
      </c>
      <c r="G74" s="1168">
        <v>83749.759999999995</v>
      </c>
      <c r="H74" s="1168">
        <v>89388.88</v>
      </c>
      <c r="I74" s="1168">
        <v>92041.99</v>
      </c>
      <c r="J74" s="1168">
        <v>94167.88</v>
      </c>
      <c r="K74" s="1168">
        <v>96036.76</v>
      </c>
      <c r="L74" s="851">
        <v>2016</v>
      </c>
      <c r="O74" s="156"/>
      <c r="P74" s="156"/>
      <c r="Q74" s="146">
        <f t="shared" si="3"/>
        <v>9.8242070592789776E-2</v>
      </c>
      <c r="R74" s="146">
        <f t="shared" si="3"/>
        <v>-3.3082291647309914E-2</v>
      </c>
      <c r="S74" s="146">
        <f t="shared" si="3"/>
        <v>0.18140631395753837</v>
      </c>
      <c r="T74" s="146">
        <f t="shared" si="3"/>
        <v>0.22578172887208492</v>
      </c>
      <c r="U74" s="146">
        <f t="shared" si="3"/>
        <v>0.14580981281176375</v>
      </c>
      <c r="V74" s="146">
        <f t="shared" si="3"/>
        <v>6.7332969073583104E-2</v>
      </c>
      <c r="W74" s="146">
        <f t="shared" si="3"/>
        <v>2.9680537444926047E-2</v>
      </c>
      <c r="X74" s="146">
        <f t="shared" si="3"/>
        <v>2.3096958246991317E-2</v>
      </c>
      <c r="Y74" s="146">
        <f t="shared" si="2"/>
        <v>1.9846257556185742E-2</v>
      </c>
    </row>
    <row r="75" spans="1:25">
      <c r="A75" s="851" t="s">
        <v>283</v>
      </c>
      <c r="B75" s="1168">
        <v>1485.6</v>
      </c>
      <c r="C75" s="1168">
        <v>1607.41</v>
      </c>
      <c r="D75" s="1168">
        <v>1629</v>
      </c>
      <c r="E75" s="1168">
        <v>1741.65</v>
      </c>
      <c r="F75" s="1168">
        <v>1852.09</v>
      </c>
      <c r="G75" s="1168">
        <v>1989.3</v>
      </c>
      <c r="H75" s="1168">
        <v>2164.7399999999998</v>
      </c>
      <c r="I75" s="1168">
        <v>2354.6799999999998</v>
      </c>
      <c r="J75" s="1168">
        <v>2563.16</v>
      </c>
      <c r="K75" s="1168">
        <v>2791.07</v>
      </c>
      <c r="L75" s="851">
        <v>2013</v>
      </c>
      <c r="O75" s="156"/>
      <c r="P75" s="156"/>
      <c r="Q75" s="146">
        <f t="shared" si="3"/>
        <v>8.1993807215939851E-2</v>
      </c>
      <c r="R75" s="146">
        <f t="shared" si="3"/>
        <v>1.3431545156493918E-2</v>
      </c>
      <c r="S75" s="146">
        <f t="shared" si="3"/>
        <v>6.9152854511970618E-2</v>
      </c>
      <c r="T75" s="146">
        <f t="shared" si="3"/>
        <v>6.3411133120891083E-2</v>
      </c>
      <c r="U75" s="146">
        <f t="shared" si="3"/>
        <v>7.408387281395612E-2</v>
      </c>
      <c r="V75" s="146">
        <f t="shared" si="3"/>
        <v>8.8191826270547446E-2</v>
      </c>
      <c r="W75" s="146">
        <f t="shared" si="3"/>
        <v>8.7742638838844478E-2</v>
      </c>
      <c r="X75" s="146">
        <f t="shared" si="3"/>
        <v>8.8538569996772454E-2</v>
      </c>
      <c r="Y75" s="146">
        <f t="shared" si="2"/>
        <v>8.891758610465228E-2</v>
      </c>
    </row>
    <row r="76" spans="1:25">
      <c r="A76" s="851" t="s">
        <v>284</v>
      </c>
      <c r="B76" s="1168">
        <v>3684</v>
      </c>
      <c r="C76" s="1168">
        <v>3533.61</v>
      </c>
      <c r="D76" s="1168">
        <v>3370.93</v>
      </c>
      <c r="E76" s="1168">
        <v>3604.29</v>
      </c>
      <c r="F76" s="1168">
        <v>3858.69</v>
      </c>
      <c r="G76" s="1168">
        <v>4116.37</v>
      </c>
      <c r="H76" s="1168">
        <v>4391.45</v>
      </c>
      <c r="I76" s="1168">
        <v>4744.0600000000004</v>
      </c>
      <c r="J76" s="1168">
        <v>5202.1899999999996</v>
      </c>
      <c r="K76" s="1168">
        <v>5662.42</v>
      </c>
      <c r="L76" s="851">
        <v>2016</v>
      </c>
      <c r="O76" s="156"/>
      <c r="P76" s="156"/>
      <c r="Q76" s="146">
        <f t="shared" si="3"/>
        <v>-4.082247557003249E-2</v>
      </c>
      <c r="R76" s="146">
        <f t="shared" si="3"/>
        <v>-4.6037904579169786E-2</v>
      </c>
      <c r="S76" s="146">
        <f t="shared" si="3"/>
        <v>6.9227186562758725E-2</v>
      </c>
      <c r="T76" s="146">
        <f t="shared" si="3"/>
        <v>7.0582555787686463E-2</v>
      </c>
      <c r="U76" s="146">
        <f t="shared" si="3"/>
        <v>6.677914007085306E-2</v>
      </c>
      <c r="V76" s="146">
        <f t="shared" si="3"/>
        <v>6.6825868422906609E-2</v>
      </c>
      <c r="W76" s="146">
        <f t="shared" si="3"/>
        <v>8.029466349383485E-2</v>
      </c>
      <c r="X76" s="146">
        <f t="shared" si="3"/>
        <v>9.6569183357714472E-2</v>
      </c>
      <c r="Y76" s="146">
        <f t="shared" si="2"/>
        <v>8.8468510377360365E-2</v>
      </c>
    </row>
    <row r="77" spans="1:25">
      <c r="A77" s="851" t="s">
        <v>285</v>
      </c>
      <c r="B77" s="1168">
        <v>5152.04</v>
      </c>
      <c r="C77" s="1168">
        <v>5395.79</v>
      </c>
      <c r="D77" s="1168">
        <v>4723.4799999999996</v>
      </c>
      <c r="E77" s="1168">
        <v>5026.67</v>
      </c>
      <c r="F77" s="1168">
        <v>5252.41</v>
      </c>
      <c r="G77" s="1168">
        <v>4837.6899999999996</v>
      </c>
      <c r="H77" s="1168">
        <v>5103.8999999999996</v>
      </c>
      <c r="I77" s="1168">
        <v>5414.78</v>
      </c>
      <c r="J77" s="1168">
        <v>5713.79</v>
      </c>
      <c r="K77" s="1168">
        <v>6071.37</v>
      </c>
      <c r="L77" s="851">
        <v>2012</v>
      </c>
      <c r="O77" s="156"/>
      <c r="P77" s="156"/>
      <c r="Q77" s="146">
        <f t="shared" si="3"/>
        <v>4.7311356278289862E-2</v>
      </c>
      <c r="R77" s="146">
        <f t="shared" si="3"/>
        <v>-0.12459899291855325</v>
      </c>
      <c r="S77" s="146">
        <f t="shared" si="3"/>
        <v>6.41878445552857E-2</v>
      </c>
      <c r="T77" s="146">
        <f t="shared" si="3"/>
        <v>4.4908458283515751E-2</v>
      </c>
      <c r="U77" s="146">
        <f t="shared" si="3"/>
        <v>-7.8958040213920944E-2</v>
      </c>
      <c r="V77" s="146">
        <f t="shared" si="3"/>
        <v>5.5028329636665374E-2</v>
      </c>
      <c r="W77" s="146">
        <f t="shared" si="3"/>
        <v>6.091028429240386E-2</v>
      </c>
      <c r="X77" s="146">
        <f t="shared" si="3"/>
        <v>5.5221080080815943E-2</v>
      </c>
      <c r="Y77" s="146">
        <f t="shared" si="2"/>
        <v>6.2581928982339274E-2</v>
      </c>
    </row>
    <row r="78" spans="1:25">
      <c r="A78" s="851" t="s">
        <v>286</v>
      </c>
      <c r="B78" s="1168">
        <v>7021.41</v>
      </c>
      <c r="C78" s="1168">
        <v>6517.26</v>
      </c>
      <c r="D78" s="1168">
        <v>4869.21</v>
      </c>
      <c r="E78" s="1168">
        <v>4532.74</v>
      </c>
      <c r="F78" s="1168">
        <v>4958.07</v>
      </c>
      <c r="G78" s="1168">
        <v>5091.2299999999996</v>
      </c>
      <c r="H78" s="1168">
        <v>5193.83</v>
      </c>
      <c r="I78" s="1168">
        <v>5361.86</v>
      </c>
      <c r="J78" s="1168">
        <v>5568.97</v>
      </c>
      <c r="K78" s="1168">
        <v>5806.04</v>
      </c>
      <c r="L78" s="851">
        <v>2013</v>
      </c>
      <c r="O78" s="156"/>
      <c r="P78" s="156"/>
      <c r="Q78" s="146">
        <f t="shared" si="3"/>
        <v>-7.1801817583647676E-2</v>
      </c>
      <c r="R78" s="146">
        <f t="shared" si="3"/>
        <v>-0.25287467432632738</v>
      </c>
      <c r="S78" s="146">
        <f t="shared" si="3"/>
        <v>-6.9101558569049204E-2</v>
      </c>
      <c r="T78" s="146">
        <f t="shared" si="3"/>
        <v>9.3835075473113427E-2</v>
      </c>
      <c r="U78" s="146">
        <f t="shared" si="3"/>
        <v>2.685722468621865E-2</v>
      </c>
      <c r="V78" s="146">
        <f t="shared" si="3"/>
        <v>2.0152301113876225E-2</v>
      </c>
      <c r="W78" s="146">
        <f t="shared" si="3"/>
        <v>3.23518482507128E-2</v>
      </c>
      <c r="X78" s="146">
        <f t="shared" si="3"/>
        <v>3.8626521393695601E-2</v>
      </c>
      <c r="Y78" s="146">
        <f t="shared" si="2"/>
        <v>4.2569810934517394E-2</v>
      </c>
    </row>
    <row r="79" spans="1:25">
      <c r="A79" s="851" t="s">
        <v>287</v>
      </c>
      <c r="B79" s="1168">
        <v>51867.4</v>
      </c>
      <c r="C79" s="1168">
        <v>55826.11</v>
      </c>
      <c r="D79" s="1168">
        <v>62344.68</v>
      </c>
      <c r="E79" s="1168">
        <v>64782.3</v>
      </c>
      <c r="F79" s="1168">
        <v>68604.38</v>
      </c>
      <c r="G79" s="1168">
        <v>74492.539999999994</v>
      </c>
      <c r="H79" s="1168">
        <v>77742.080000000002</v>
      </c>
      <c r="I79" s="1168">
        <v>80918.09</v>
      </c>
      <c r="J79" s="1168">
        <v>83764.87</v>
      </c>
      <c r="K79" s="1168">
        <v>86597.75</v>
      </c>
      <c r="L79" s="851">
        <v>2016</v>
      </c>
      <c r="O79" s="156"/>
      <c r="P79" s="156"/>
      <c r="Q79" s="146">
        <f t="shared" si="3"/>
        <v>7.6323663804239272E-2</v>
      </c>
      <c r="R79" s="146">
        <f t="shared" si="3"/>
        <v>0.11676561379612505</v>
      </c>
      <c r="S79" s="146">
        <f t="shared" si="3"/>
        <v>3.9099085920402565E-2</v>
      </c>
      <c r="T79" s="146">
        <f t="shared" si="3"/>
        <v>5.8998831470941981E-2</v>
      </c>
      <c r="U79" s="146">
        <f t="shared" si="3"/>
        <v>8.5827756186995563E-2</v>
      </c>
      <c r="V79" s="146">
        <f t="shared" si="3"/>
        <v>4.3622354667997687E-2</v>
      </c>
      <c r="W79" s="146">
        <f t="shared" si="3"/>
        <v>4.0853164721087909E-2</v>
      </c>
      <c r="X79" s="146">
        <f t="shared" ref="X79:Y142" si="4">J79/I79-1</f>
        <v>3.5181008350543053E-2</v>
      </c>
      <c r="Y79" s="146">
        <f t="shared" si="4"/>
        <v>3.381942812064298E-2</v>
      </c>
    </row>
    <row r="80" spans="1:25">
      <c r="A80" s="851" t="s">
        <v>288</v>
      </c>
      <c r="B80" s="1168">
        <v>36307.199999999997</v>
      </c>
      <c r="C80" s="1168">
        <v>37556.29</v>
      </c>
      <c r="D80" s="1168">
        <v>35705.410000000003</v>
      </c>
      <c r="E80" s="1168">
        <v>37192.14</v>
      </c>
      <c r="F80" s="1168">
        <v>39974.339999999997</v>
      </c>
      <c r="G80" s="1168">
        <v>40762.43</v>
      </c>
      <c r="H80" s="1168">
        <v>41377.49</v>
      </c>
      <c r="I80" s="1168">
        <v>42259.4</v>
      </c>
      <c r="J80" s="1168">
        <v>43145.120000000003</v>
      </c>
      <c r="K80" s="1168">
        <v>44064.46</v>
      </c>
      <c r="L80" s="851">
        <v>2016</v>
      </c>
      <c r="O80" s="156"/>
      <c r="P80" s="156"/>
      <c r="Q80" s="146">
        <f t="shared" ref="Q80:W116" si="5">C80/B80-1</f>
        <v>3.4403369028732644E-2</v>
      </c>
      <c r="R80" s="146">
        <f t="shared" si="5"/>
        <v>-4.9282823196859948E-2</v>
      </c>
      <c r="S80" s="146">
        <f t="shared" si="5"/>
        <v>4.1638788071611366E-2</v>
      </c>
      <c r="T80" s="146">
        <f t="shared" si="5"/>
        <v>7.4806128391643911E-2</v>
      </c>
      <c r="U80" s="146">
        <f t="shared" si="5"/>
        <v>1.9714897106493989E-2</v>
      </c>
      <c r="V80" s="146">
        <f t="shared" si="5"/>
        <v>1.5088894356886984E-2</v>
      </c>
      <c r="W80" s="146">
        <f t="shared" si="5"/>
        <v>2.1313762627940935E-2</v>
      </c>
      <c r="X80" s="146">
        <f t="shared" si="4"/>
        <v>2.0959123887229758E-2</v>
      </c>
      <c r="Y80" s="146">
        <f t="shared" si="4"/>
        <v>2.1308087681758625E-2</v>
      </c>
    </row>
    <row r="81" spans="1:25">
      <c r="A81" s="851" t="s">
        <v>289</v>
      </c>
      <c r="B81" s="1168">
        <v>35219.800000000003</v>
      </c>
      <c r="C81" s="1168">
        <v>35456.699999999997</v>
      </c>
      <c r="D81" s="1168">
        <v>30032.11</v>
      </c>
      <c r="E81" s="1168">
        <v>30507.18</v>
      </c>
      <c r="F81" s="1168">
        <v>31618.68</v>
      </c>
      <c r="G81" s="1168">
        <v>33725.01</v>
      </c>
      <c r="H81" s="1168">
        <v>34671.17</v>
      </c>
      <c r="I81" s="1168">
        <v>35577.31</v>
      </c>
      <c r="J81" s="1168">
        <v>36303.29</v>
      </c>
      <c r="K81" s="1168">
        <v>36985.379999999997</v>
      </c>
      <c r="L81" s="851">
        <v>2016</v>
      </c>
      <c r="O81" s="156"/>
      <c r="P81" s="156"/>
      <c r="Q81" s="146">
        <f t="shared" si="5"/>
        <v>6.7263300756958966E-3</v>
      </c>
      <c r="R81" s="146">
        <f t="shared" si="5"/>
        <v>-0.15299195920658148</v>
      </c>
      <c r="S81" s="146">
        <f t="shared" si="5"/>
        <v>1.5818735346933677E-2</v>
      </c>
      <c r="T81" s="146">
        <f t="shared" si="5"/>
        <v>3.6434046018019473E-2</v>
      </c>
      <c r="U81" s="146">
        <f t="shared" si="5"/>
        <v>6.6616632952419375E-2</v>
      </c>
      <c r="V81" s="146">
        <f t="shared" si="5"/>
        <v>2.8055143645620673E-2</v>
      </c>
      <c r="W81" s="146">
        <f t="shared" si="5"/>
        <v>2.6135258775518588E-2</v>
      </c>
      <c r="X81" s="146">
        <f t="shared" si="4"/>
        <v>2.0405702398523129E-2</v>
      </c>
      <c r="Y81" s="146">
        <f t="shared" si="4"/>
        <v>1.8788655243092256E-2</v>
      </c>
    </row>
    <row r="82" spans="1:25">
      <c r="A82" s="851" t="s">
        <v>290</v>
      </c>
      <c r="B82" s="1168">
        <v>5101.92</v>
      </c>
      <c r="C82" s="1168">
        <v>4953.12</v>
      </c>
      <c r="D82" s="1168">
        <v>5052.68</v>
      </c>
      <c r="E82" s="1168">
        <v>4933.8</v>
      </c>
      <c r="F82" s="1168">
        <v>5023.6099999999997</v>
      </c>
      <c r="G82" s="1168">
        <v>5230.2700000000004</v>
      </c>
      <c r="H82" s="1168">
        <v>5467.22</v>
      </c>
      <c r="I82" s="1168">
        <v>5741.69</v>
      </c>
      <c r="J82" s="1168">
        <v>6046.94</v>
      </c>
      <c r="K82" s="1168">
        <v>6365.53</v>
      </c>
      <c r="L82" s="851">
        <v>2015</v>
      </c>
      <c r="O82" s="156"/>
      <c r="P82" s="156"/>
      <c r="Q82" s="146">
        <f t="shared" si="5"/>
        <v>-2.9165490638818348E-2</v>
      </c>
      <c r="R82" s="146">
        <f t="shared" si="5"/>
        <v>2.0100461931065849E-2</v>
      </c>
      <c r="S82" s="146">
        <f t="shared" si="5"/>
        <v>-2.3528107855633085E-2</v>
      </c>
      <c r="T82" s="146">
        <f t="shared" si="5"/>
        <v>1.8203007823584194E-2</v>
      </c>
      <c r="U82" s="146">
        <f t="shared" si="5"/>
        <v>4.1137747556040605E-2</v>
      </c>
      <c r="V82" s="146">
        <f t="shared" si="5"/>
        <v>4.5303588533670336E-2</v>
      </c>
      <c r="W82" s="146">
        <f t="shared" si="5"/>
        <v>5.0202845321753786E-2</v>
      </c>
      <c r="X82" s="146">
        <f t="shared" si="4"/>
        <v>5.3163789755281021E-2</v>
      </c>
      <c r="Y82" s="146">
        <f t="shared" si="4"/>
        <v>5.2686152004154163E-2</v>
      </c>
    </row>
    <row r="83" spans="1:25">
      <c r="A83" s="851" t="s">
        <v>291</v>
      </c>
      <c r="B83" s="1168">
        <v>40490.160000000003</v>
      </c>
      <c r="C83" s="1168">
        <v>38143.11</v>
      </c>
      <c r="D83" s="1168">
        <v>34493.26</v>
      </c>
      <c r="E83" s="1168">
        <v>38882.639999999999</v>
      </c>
      <c r="F83" s="1168">
        <v>38550.089999999997</v>
      </c>
      <c r="G83" s="1168">
        <v>40063.26</v>
      </c>
      <c r="H83" s="1168">
        <v>41314.410000000003</v>
      </c>
      <c r="I83" s="1168">
        <v>42049.62</v>
      </c>
      <c r="J83" s="1168">
        <v>42963.23</v>
      </c>
      <c r="K83" s="1168">
        <v>44005.83</v>
      </c>
      <c r="L83" s="851">
        <v>2016</v>
      </c>
      <c r="O83" s="156"/>
      <c r="P83" s="156"/>
      <c r="Q83" s="146">
        <f t="shared" si="5"/>
        <v>-5.796593542727424E-2</v>
      </c>
      <c r="R83" s="146">
        <f t="shared" si="5"/>
        <v>-9.568831697258029E-2</v>
      </c>
      <c r="S83" s="146">
        <f t="shared" si="5"/>
        <v>0.12725326629028388</v>
      </c>
      <c r="T83" s="146">
        <f t="shared" si="5"/>
        <v>-8.5526600045676693E-3</v>
      </c>
      <c r="U83" s="146">
        <f t="shared" si="5"/>
        <v>3.9252048438797482E-2</v>
      </c>
      <c r="V83" s="146">
        <f t="shared" si="5"/>
        <v>3.1229360765948622E-2</v>
      </c>
      <c r="W83" s="146">
        <f t="shared" si="5"/>
        <v>1.7795485884949169E-2</v>
      </c>
      <c r="X83" s="146">
        <f t="shared" si="4"/>
        <v>2.1726950207873408E-2</v>
      </c>
      <c r="Y83" s="146">
        <f t="shared" si="4"/>
        <v>2.4267262959511982E-2</v>
      </c>
    </row>
    <row r="84" spans="1:25">
      <c r="A84" s="851" t="s">
        <v>292</v>
      </c>
      <c r="B84" s="1168">
        <v>5151.71</v>
      </c>
      <c r="C84" s="1168">
        <v>5374.59</v>
      </c>
      <c r="D84" s="1168">
        <v>5505.7</v>
      </c>
      <c r="E84" s="1168">
        <v>5549.14</v>
      </c>
      <c r="F84" s="1168">
        <v>5677.62</v>
      </c>
      <c r="G84" s="1168">
        <v>5837.5</v>
      </c>
      <c r="H84" s="1168">
        <v>6011.26</v>
      </c>
      <c r="I84" s="1168">
        <v>6202.24</v>
      </c>
      <c r="J84" s="1168">
        <v>6405.51</v>
      </c>
      <c r="K84" s="1168">
        <v>6615.43</v>
      </c>
      <c r="L84" s="851">
        <v>2015</v>
      </c>
      <c r="O84" s="156"/>
      <c r="P84" s="156"/>
      <c r="Q84" s="146">
        <f t="shared" si="5"/>
        <v>4.326330480558882E-2</v>
      </c>
      <c r="R84" s="146">
        <f t="shared" si="5"/>
        <v>2.4394418923117778E-2</v>
      </c>
      <c r="S84" s="146">
        <f t="shared" si="5"/>
        <v>7.8900049040087072E-3</v>
      </c>
      <c r="T84" s="146">
        <f t="shared" si="5"/>
        <v>2.3153137242887922E-2</v>
      </c>
      <c r="U84" s="146">
        <f t="shared" si="5"/>
        <v>2.8159686629256608E-2</v>
      </c>
      <c r="V84" s="146">
        <f t="shared" si="5"/>
        <v>2.9766167023554724E-2</v>
      </c>
      <c r="W84" s="146">
        <f t="shared" si="5"/>
        <v>3.1770377591386678E-2</v>
      </c>
      <c r="X84" s="146">
        <f t="shared" si="4"/>
        <v>3.2773643070890479E-2</v>
      </c>
      <c r="Y84" s="146">
        <f t="shared" si="4"/>
        <v>3.2771785540886E-2</v>
      </c>
    </row>
    <row r="85" spans="1:25">
      <c r="A85" s="851" t="s">
        <v>293</v>
      </c>
      <c r="B85" s="1168">
        <v>13789.25</v>
      </c>
      <c r="C85" s="1168">
        <v>12712.1</v>
      </c>
      <c r="D85" s="1168">
        <v>10434.76</v>
      </c>
      <c r="E85" s="1168">
        <v>7456.44</v>
      </c>
      <c r="F85" s="1168">
        <v>8585.31</v>
      </c>
      <c r="G85" s="1168">
        <v>9224.34</v>
      </c>
      <c r="H85" s="1168">
        <v>9858.9500000000007</v>
      </c>
      <c r="I85" s="1168">
        <v>10526.7</v>
      </c>
      <c r="J85" s="1168">
        <v>11314.26</v>
      </c>
      <c r="K85" s="1168">
        <v>12225.34</v>
      </c>
      <c r="L85" s="851">
        <v>2015</v>
      </c>
      <c r="O85" s="156"/>
      <c r="P85" s="156"/>
      <c r="Q85" s="146">
        <f t="shared" si="5"/>
        <v>-7.8115198433562405E-2</v>
      </c>
      <c r="R85" s="146">
        <f t="shared" si="5"/>
        <v>-0.1791474264676961</v>
      </c>
      <c r="S85" s="146">
        <f t="shared" si="5"/>
        <v>-0.28542295174972887</v>
      </c>
      <c r="T85" s="146">
        <f t="shared" si="5"/>
        <v>0.15139530392519762</v>
      </c>
      <c r="U85" s="146">
        <f t="shared" si="5"/>
        <v>7.4432955828036551E-2</v>
      </c>
      <c r="V85" s="146">
        <f t="shared" si="5"/>
        <v>6.8797334009804478E-2</v>
      </c>
      <c r="W85" s="146">
        <f t="shared" si="5"/>
        <v>6.7730336394849378E-2</v>
      </c>
      <c r="X85" s="146">
        <f t="shared" si="4"/>
        <v>7.4815469235372856E-2</v>
      </c>
      <c r="Y85" s="146">
        <f t="shared" si="4"/>
        <v>8.0524930485953217E-2</v>
      </c>
    </row>
    <row r="86" spans="1:25">
      <c r="A86" s="851" t="s">
        <v>294</v>
      </c>
      <c r="B86" s="1168">
        <v>1318.8</v>
      </c>
      <c r="C86" s="1168">
        <v>1431.26</v>
      </c>
      <c r="D86" s="1168">
        <v>1447.85</v>
      </c>
      <c r="E86" s="1168">
        <v>1551.71</v>
      </c>
      <c r="F86" s="1168">
        <v>1677.7</v>
      </c>
      <c r="G86" s="1168">
        <v>1790.01</v>
      </c>
      <c r="H86" s="1168">
        <v>1897.91</v>
      </c>
      <c r="I86" s="1168">
        <v>1995.1</v>
      </c>
      <c r="J86" s="1168">
        <v>2109.8200000000002</v>
      </c>
      <c r="K86" s="1168">
        <v>2242.4499999999998</v>
      </c>
      <c r="L86" s="851">
        <v>2013</v>
      </c>
      <c r="O86" s="156"/>
      <c r="P86" s="156"/>
      <c r="Q86" s="146">
        <f t="shared" si="5"/>
        <v>8.5274491962390009E-2</v>
      </c>
      <c r="R86" s="146">
        <f t="shared" si="5"/>
        <v>1.1591185389097758E-2</v>
      </c>
      <c r="S86" s="146">
        <f t="shared" si="5"/>
        <v>7.1733950340159724E-2</v>
      </c>
      <c r="T86" s="146">
        <f t="shared" si="5"/>
        <v>8.1194295325801802E-2</v>
      </c>
      <c r="U86" s="146">
        <f t="shared" si="5"/>
        <v>6.6942838409727479E-2</v>
      </c>
      <c r="V86" s="146">
        <f t="shared" si="5"/>
        <v>6.027899285478866E-2</v>
      </c>
      <c r="W86" s="146">
        <f t="shared" si="5"/>
        <v>5.1208961436527423E-2</v>
      </c>
      <c r="X86" s="146">
        <f t="shared" si="4"/>
        <v>5.7500877149015306E-2</v>
      </c>
      <c r="Y86" s="146">
        <f t="shared" si="4"/>
        <v>6.2863182641172966E-2</v>
      </c>
    </row>
    <row r="87" spans="1:25">
      <c r="A87" s="851" t="s">
        <v>295</v>
      </c>
      <c r="B87" s="1168">
        <v>1710.48</v>
      </c>
      <c r="C87" s="1168">
        <v>1640.06</v>
      </c>
      <c r="D87" s="1168">
        <v>1520.51</v>
      </c>
      <c r="E87" s="1168">
        <v>1546.88</v>
      </c>
      <c r="F87" s="1168">
        <v>1625.16</v>
      </c>
      <c r="G87" s="1168">
        <v>1678.13</v>
      </c>
      <c r="H87" s="1168">
        <v>1729.02</v>
      </c>
      <c r="I87" s="1168">
        <v>1763.13</v>
      </c>
      <c r="J87" s="1168">
        <v>1790.3</v>
      </c>
      <c r="K87" s="1168">
        <v>1817.96</v>
      </c>
      <c r="L87" s="851">
        <v>2015</v>
      </c>
      <c r="O87" s="156"/>
      <c r="P87" s="156"/>
      <c r="Q87" s="146">
        <f t="shared" si="5"/>
        <v>-4.1169730134231419E-2</v>
      </c>
      <c r="R87" s="146">
        <f t="shared" si="5"/>
        <v>-7.2893674621660187E-2</v>
      </c>
      <c r="S87" s="146">
        <f t="shared" si="5"/>
        <v>1.7342865222852888E-2</v>
      </c>
      <c r="T87" s="146">
        <f t="shared" si="5"/>
        <v>5.060508895324789E-2</v>
      </c>
      <c r="U87" s="146">
        <f t="shared" si="5"/>
        <v>3.2593713849713213E-2</v>
      </c>
      <c r="V87" s="146">
        <f t="shared" si="5"/>
        <v>3.0325421749208825E-2</v>
      </c>
      <c r="W87" s="146">
        <f t="shared" si="5"/>
        <v>1.9727938369712428E-2</v>
      </c>
      <c r="X87" s="146">
        <f t="shared" si="4"/>
        <v>1.541009454776443E-2</v>
      </c>
      <c r="Y87" s="146">
        <f t="shared" si="4"/>
        <v>1.5449924593643471E-2</v>
      </c>
    </row>
    <row r="88" spans="1:25">
      <c r="A88" s="851" t="s">
        <v>296</v>
      </c>
      <c r="B88" s="1168">
        <v>25890.02</v>
      </c>
      <c r="C88" s="1168">
        <v>27811.37</v>
      </c>
      <c r="D88" s="1168">
        <v>27105.08</v>
      </c>
      <c r="E88" s="1168">
        <v>27534.84</v>
      </c>
      <c r="F88" s="1168">
        <v>29730.2</v>
      </c>
      <c r="G88" s="1168">
        <v>30919.17</v>
      </c>
      <c r="H88" s="1168">
        <v>32154.02</v>
      </c>
      <c r="I88" s="1168">
        <v>33367.910000000003</v>
      </c>
      <c r="J88" s="1168">
        <v>34576.160000000003</v>
      </c>
      <c r="K88" s="1168">
        <v>35769.65</v>
      </c>
      <c r="L88" s="851">
        <v>2015</v>
      </c>
      <c r="O88" s="156"/>
      <c r="P88" s="156"/>
      <c r="Q88" s="146">
        <f t="shared" si="5"/>
        <v>7.4211993656242869E-2</v>
      </c>
      <c r="R88" s="146">
        <f t="shared" si="5"/>
        <v>-2.5395728437685672E-2</v>
      </c>
      <c r="S88" s="146">
        <f t="shared" si="5"/>
        <v>1.5855330439902726E-2</v>
      </c>
      <c r="T88" s="146">
        <f t="shared" si="5"/>
        <v>7.9730261733861552E-2</v>
      </c>
      <c r="U88" s="146">
        <f t="shared" si="5"/>
        <v>3.9991994672084141E-2</v>
      </c>
      <c r="V88" s="146">
        <f t="shared" si="5"/>
        <v>3.9938006097835155E-2</v>
      </c>
      <c r="W88" s="146">
        <f t="shared" si="5"/>
        <v>3.7752355693005279E-2</v>
      </c>
      <c r="X88" s="146">
        <f t="shared" si="4"/>
        <v>3.6209939429829419E-2</v>
      </c>
      <c r="Y88" s="146">
        <f t="shared" si="4"/>
        <v>3.4517713939315353E-2</v>
      </c>
    </row>
    <row r="89" spans="1:25">
      <c r="A89" s="851" t="s">
        <v>297</v>
      </c>
      <c r="B89" s="1168">
        <v>3898.09</v>
      </c>
      <c r="C89" s="1168">
        <v>4016.46</v>
      </c>
      <c r="D89" s="1168">
        <v>3505.77</v>
      </c>
      <c r="E89" s="1168">
        <v>3601.7</v>
      </c>
      <c r="F89" s="1168">
        <v>3580.62</v>
      </c>
      <c r="G89" s="1168">
        <v>3697.55</v>
      </c>
      <c r="H89" s="1168">
        <v>3835.77</v>
      </c>
      <c r="I89" s="1168">
        <v>3997.25</v>
      </c>
      <c r="J89" s="1168">
        <v>4162.43</v>
      </c>
      <c r="K89" s="1168">
        <v>4323.7</v>
      </c>
      <c r="L89" s="851">
        <v>0</v>
      </c>
      <c r="O89" s="156"/>
      <c r="P89" s="156"/>
      <c r="Q89" s="146">
        <f t="shared" si="5"/>
        <v>3.0366153680392083E-2</v>
      </c>
      <c r="R89" s="146">
        <f t="shared" si="5"/>
        <v>-0.12714928070987885</v>
      </c>
      <c r="S89" s="146">
        <f t="shared" si="5"/>
        <v>2.7363460808895068E-2</v>
      </c>
      <c r="T89" s="146">
        <f t="shared" si="5"/>
        <v>-5.8527917372351856E-3</v>
      </c>
      <c r="U89" s="146">
        <f t="shared" si="5"/>
        <v>3.2656355603219556E-2</v>
      </c>
      <c r="V89" s="146">
        <f t="shared" si="5"/>
        <v>3.7381509377831135E-2</v>
      </c>
      <c r="W89" s="146">
        <f t="shared" si="5"/>
        <v>4.2098457415329804E-2</v>
      </c>
      <c r="X89" s="146">
        <f t="shared" si="4"/>
        <v>4.1323409844268078E-2</v>
      </c>
      <c r="Y89" s="146">
        <f t="shared" si="4"/>
        <v>3.8744195097575096E-2</v>
      </c>
    </row>
    <row r="90" spans="1:25">
      <c r="A90" s="851" t="s">
        <v>298</v>
      </c>
      <c r="B90" s="1168">
        <v>44775.38</v>
      </c>
      <c r="C90" s="1168">
        <v>40688.82</v>
      </c>
      <c r="D90" s="1168">
        <v>27884.76</v>
      </c>
      <c r="E90" s="1168">
        <v>26244.81</v>
      </c>
      <c r="F90" s="1168">
        <v>27236.75</v>
      </c>
      <c r="G90" s="1168">
        <v>28199.19</v>
      </c>
      <c r="H90" s="1168">
        <v>29259.32</v>
      </c>
      <c r="I90" s="1168">
        <v>30344.39</v>
      </c>
      <c r="J90" s="1168">
        <v>31516.560000000001</v>
      </c>
      <c r="K90" s="1168">
        <v>32734.02</v>
      </c>
      <c r="L90" s="851">
        <v>2015</v>
      </c>
      <c r="O90" s="156"/>
      <c r="P90" s="156"/>
      <c r="Q90" s="146">
        <f t="shared" si="5"/>
        <v>-9.1268013805801296E-2</v>
      </c>
      <c r="R90" s="146">
        <f t="shared" si="5"/>
        <v>-0.31468250983931212</v>
      </c>
      <c r="S90" s="146">
        <f t="shared" si="5"/>
        <v>-5.8811694990381747E-2</v>
      </c>
      <c r="T90" s="146">
        <f t="shared" si="5"/>
        <v>3.7795663218746833E-2</v>
      </c>
      <c r="U90" s="146">
        <f t="shared" si="5"/>
        <v>3.5336080846650075E-2</v>
      </c>
      <c r="V90" s="146">
        <f t="shared" si="5"/>
        <v>3.759434224883762E-2</v>
      </c>
      <c r="W90" s="146">
        <f t="shared" si="5"/>
        <v>3.7084593900336804E-2</v>
      </c>
      <c r="X90" s="146">
        <f t="shared" si="4"/>
        <v>3.8628886591557832E-2</v>
      </c>
      <c r="Y90" s="146">
        <f t="shared" si="4"/>
        <v>3.8629215878890344E-2</v>
      </c>
    </row>
    <row r="91" spans="1:25">
      <c r="A91" s="851" t="s">
        <v>299</v>
      </c>
      <c r="B91" s="1168">
        <v>1269.79</v>
      </c>
      <c r="C91" s="1168">
        <v>1266.6400000000001</v>
      </c>
      <c r="D91" s="1168">
        <v>1109.43</v>
      </c>
      <c r="E91" s="1168">
        <v>1072.75</v>
      </c>
      <c r="F91" s="1168">
        <v>1139.57</v>
      </c>
      <c r="G91" s="1168">
        <v>1159.51</v>
      </c>
      <c r="H91" s="1168">
        <v>1212.82</v>
      </c>
      <c r="I91" s="1168">
        <v>1265.0999999999999</v>
      </c>
      <c r="J91" s="1168">
        <v>1312.79</v>
      </c>
      <c r="K91" s="1168">
        <v>1363.42</v>
      </c>
      <c r="L91" s="851">
        <v>2015</v>
      </c>
      <c r="O91" s="156"/>
      <c r="P91" s="156"/>
      <c r="Q91" s="146">
        <f t="shared" si="5"/>
        <v>-2.4807251592782187E-3</v>
      </c>
      <c r="R91" s="146">
        <f t="shared" si="5"/>
        <v>-0.12411577085833392</v>
      </c>
      <c r="S91" s="146">
        <f t="shared" si="5"/>
        <v>-3.3062022840557814E-2</v>
      </c>
      <c r="T91" s="146">
        <f t="shared" si="5"/>
        <v>6.228851083663467E-2</v>
      </c>
      <c r="U91" s="146">
        <f t="shared" si="5"/>
        <v>1.7497828128153703E-2</v>
      </c>
      <c r="V91" s="146">
        <f t="shared" si="5"/>
        <v>4.597631758242704E-2</v>
      </c>
      <c r="W91" s="146">
        <f t="shared" si="5"/>
        <v>4.3106149304925623E-2</v>
      </c>
      <c r="X91" s="146">
        <f t="shared" si="4"/>
        <v>3.7696624772745269E-2</v>
      </c>
      <c r="Y91" s="146">
        <f t="shared" si="4"/>
        <v>3.8566716687360669E-2</v>
      </c>
    </row>
    <row r="92" spans="1:25">
      <c r="A92" s="851" t="s">
        <v>300</v>
      </c>
      <c r="B92" s="1168">
        <v>1899.98</v>
      </c>
      <c r="C92" s="1168">
        <v>2075.14</v>
      </c>
      <c r="D92" s="1168">
        <v>2212.4</v>
      </c>
      <c r="E92" s="1168">
        <v>2394.42</v>
      </c>
      <c r="F92" s="1168">
        <v>2567.5</v>
      </c>
      <c r="G92" s="1168">
        <v>2755.77</v>
      </c>
      <c r="H92" s="1168">
        <v>2974.12</v>
      </c>
      <c r="I92" s="1168">
        <v>3207.28</v>
      </c>
      <c r="J92" s="1168">
        <v>3447.07</v>
      </c>
      <c r="K92" s="1168">
        <v>3703.81</v>
      </c>
      <c r="L92" s="851">
        <v>2016</v>
      </c>
      <c r="O92" s="156"/>
      <c r="P92" s="156"/>
      <c r="Q92" s="146">
        <f t="shared" si="5"/>
        <v>9.219044410993793E-2</v>
      </c>
      <c r="R92" s="146">
        <f t="shared" si="5"/>
        <v>6.6144934799579946E-2</v>
      </c>
      <c r="S92" s="146">
        <f t="shared" si="5"/>
        <v>8.2272645091303609E-2</v>
      </c>
      <c r="T92" s="146">
        <f t="shared" si="5"/>
        <v>7.2284728660803044E-2</v>
      </c>
      <c r="U92" s="146">
        <f t="shared" si="5"/>
        <v>7.3328140214216075E-2</v>
      </c>
      <c r="V92" s="146">
        <f t="shared" si="5"/>
        <v>7.9233753179692057E-2</v>
      </c>
      <c r="W92" s="146">
        <f t="shared" si="5"/>
        <v>7.839629873710563E-2</v>
      </c>
      <c r="X92" s="146">
        <f t="shared" si="4"/>
        <v>7.4764286248784062E-2</v>
      </c>
      <c r="Y92" s="146">
        <f t="shared" si="4"/>
        <v>7.448064588186476E-2</v>
      </c>
    </row>
    <row r="93" spans="1:25">
      <c r="A93" s="851" t="s">
        <v>301</v>
      </c>
      <c r="B93" s="1168">
        <v>14951.83</v>
      </c>
      <c r="C93" s="1168">
        <v>15689.52</v>
      </c>
      <c r="D93" s="1168">
        <v>13614.47</v>
      </c>
      <c r="E93" s="1168">
        <v>14062.68</v>
      </c>
      <c r="F93" s="1168">
        <v>15402.66</v>
      </c>
      <c r="G93" s="1168">
        <v>17241.21</v>
      </c>
      <c r="H93" s="1168">
        <v>18406</v>
      </c>
      <c r="I93" s="1168">
        <v>19494.57</v>
      </c>
      <c r="J93" s="1168">
        <v>20515.36</v>
      </c>
      <c r="K93" s="1168">
        <v>21543.07</v>
      </c>
      <c r="L93" s="851">
        <v>2016</v>
      </c>
      <c r="O93" s="156"/>
      <c r="P93" s="156"/>
      <c r="Q93" s="146">
        <f t="shared" si="5"/>
        <v>4.9337773369547477E-2</v>
      </c>
      <c r="R93" s="146">
        <f t="shared" si="5"/>
        <v>-0.13225707351149052</v>
      </c>
      <c r="S93" s="146">
        <f t="shared" si="5"/>
        <v>3.2921590043534676E-2</v>
      </c>
      <c r="T93" s="146">
        <f t="shared" si="5"/>
        <v>9.5286247002704938E-2</v>
      </c>
      <c r="U93" s="146">
        <f t="shared" si="5"/>
        <v>0.11936574591661442</v>
      </c>
      <c r="V93" s="146">
        <f t="shared" si="5"/>
        <v>6.7558483424307259E-2</v>
      </c>
      <c r="W93" s="146">
        <f t="shared" si="5"/>
        <v>5.914212756709758E-2</v>
      </c>
      <c r="X93" s="146">
        <f t="shared" si="4"/>
        <v>5.236278615019474E-2</v>
      </c>
      <c r="Y93" s="146">
        <f t="shared" si="4"/>
        <v>5.0094660780995337E-2</v>
      </c>
    </row>
    <row r="94" spans="1:25">
      <c r="A94" s="851" t="s">
        <v>302</v>
      </c>
      <c r="B94" s="1168">
        <v>10398.959999999999</v>
      </c>
      <c r="C94" s="1168">
        <v>10810.09</v>
      </c>
      <c r="D94" s="1168">
        <v>11177.53</v>
      </c>
      <c r="E94" s="1168">
        <v>11294.66</v>
      </c>
      <c r="F94" s="1168">
        <v>11683.95</v>
      </c>
      <c r="G94" s="1168">
        <v>12081.55</v>
      </c>
      <c r="H94" s="1168">
        <v>12478.47</v>
      </c>
      <c r="I94" s="1168">
        <v>12897.75</v>
      </c>
      <c r="J94" s="1168">
        <v>13405.58</v>
      </c>
      <c r="K94" s="1168">
        <v>13950.73</v>
      </c>
      <c r="L94" s="851">
        <v>2012</v>
      </c>
      <c r="O94" s="156"/>
      <c r="P94" s="156"/>
      <c r="Q94" s="146">
        <f t="shared" si="5"/>
        <v>3.9535684337664634E-2</v>
      </c>
      <c r="R94" s="146">
        <f t="shared" si="5"/>
        <v>3.399046631434155E-2</v>
      </c>
      <c r="S94" s="146">
        <f t="shared" si="5"/>
        <v>1.0479059327060503E-2</v>
      </c>
      <c r="T94" s="146">
        <f t="shared" si="5"/>
        <v>3.4466730295555692E-2</v>
      </c>
      <c r="U94" s="146">
        <f t="shared" si="5"/>
        <v>3.4029587596660305E-2</v>
      </c>
      <c r="V94" s="146">
        <f t="shared" si="5"/>
        <v>3.2853400432891533E-2</v>
      </c>
      <c r="W94" s="146">
        <f t="shared" si="5"/>
        <v>3.3600273110405476E-2</v>
      </c>
      <c r="X94" s="146">
        <f t="shared" si="4"/>
        <v>3.9373534143552158E-2</v>
      </c>
      <c r="Y94" s="146">
        <f t="shared" si="4"/>
        <v>4.0665901811036909E-2</v>
      </c>
    </row>
    <row r="95" spans="1:25">
      <c r="A95" s="851" t="s">
        <v>303</v>
      </c>
      <c r="B95" s="1168">
        <v>1392.77</v>
      </c>
      <c r="C95" s="1168">
        <v>1353.86</v>
      </c>
      <c r="D95" s="1168">
        <v>1243.92</v>
      </c>
      <c r="E95" s="1168">
        <v>1178.8900000000001</v>
      </c>
      <c r="F95" s="1168">
        <v>1413.55</v>
      </c>
      <c r="G95" s="1168">
        <v>1492.9</v>
      </c>
      <c r="H95" s="1168">
        <v>1573.98</v>
      </c>
      <c r="I95" s="1168">
        <v>1657.05</v>
      </c>
      <c r="J95" s="1168">
        <v>1748.24</v>
      </c>
      <c r="K95" s="1168">
        <v>1853.58</v>
      </c>
      <c r="L95" s="851">
        <v>2006</v>
      </c>
      <c r="O95" s="156"/>
      <c r="P95" s="156"/>
      <c r="Q95" s="146">
        <f t="shared" si="5"/>
        <v>-2.7937132477006354E-2</v>
      </c>
      <c r="R95" s="146">
        <f t="shared" si="5"/>
        <v>-8.1204851314020554E-2</v>
      </c>
      <c r="S95" s="146">
        <f t="shared" si="5"/>
        <v>-5.227828156151515E-2</v>
      </c>
      <c r="T95" s="146">
        <f t="shared" si="5"/>
        <v>0.19905165028119653</v>
      </c>
      <c r="U95" s="146">
        <f t="shared" si="5"/>
        <v>5.6135262282904774E-2</v>
      </c>
      <c r="V95" s="146">
        <f t="shared" si="5"/>
        <v>5.4310402572175009E-2</v>
      </c>
      <c r="W95" s="146">
        <f t="shared" si="5"/>
        <v>5.2777036557008383E-2</v>
      </c>
      <c r="X95" s="146">
        <f t="shared" si="4"/>
        <v>5.5031531939289779E-2</v>
      </c>
      <c r="Y95" s="146">
        <f t="shared" si="4"/>
        <v>6.0254884912826601E-2</v>
      </c>
    </row>
    <row r="96" spans="1:25">
      <c r="A96" s="851" t="s">
        <v>304</v>
      </c>
      <c r="B96" s="851">
        <v>480.70499999999998</v>
      </c>
      <c r="C96" s="851">
        <v>481.142</v>
      </c>
      <c r="D96" s="851">
        <v>474.34300000000002</v>
      </c>
      <c r="E96" s="851">
        <v>477.58600000000001</v>
      </c>
      <c r="F96" s="851">
        <v>474.98399999999998</v>
      </c>
      <c r="G96" s="851">
        <v>475.01299999999998</v>
      </c>
      <c r="H96" s="851">
        <v>494.98399999999998</v>
      </c>
      <c r="I96" s="851">
        <v>522.875</v>
      </c>
      <c r="J96" s="851">
        <v>543.423</v>
      </c>
      <c r="K96" s="851">
        <v>589.33000000000004</v>
      </c>
      <c r="L96" s="851">
        <v>2009</v>
      </c>
      <c r="O96" s="156"/>
      <c r="P96" s="156"/>
      <c r="Q96" s="146">
        <f t="shared" si="5"/>
        <v>9.0908145328216783E-4</v>
      </c>
      <c r="R96" s="146">
        <f t="shared" si="5"/>
        <v>-1.4130963416205566E-2</v>
      </c>
      <c r="S96" s="146">
        <f t="shared" si="5"/>
        <v>6.8368248292902667E-3</v>
      </c>
      <c r="T96" s="146">
        <f t="shared" si="5"/>
        <v>-5.4482334071770389E-3</v>
      </c>
      <c r="U96" s="146">
        <f t="shared" si="5"/>
        <v>6.1054688157868853E-5</v>
      </c>
      <c r="V96" s="146">
        <f t="shared" si="5"/>
        <v>4.2043059874150801E-2</v>
      </c>
      <c r="W96" s="146">
        <f t="shared" si="5"/>
        <v>5.6347275871543312E-2</v>
      </c>
      <c r="X96" s="146">
        <f t="shared" si="4"/>
        <v>3.9298111403299085E-2</v>
      </c>
      <c r="Y96" s="146">
        <f t="shared" si="4"/>
        <v>8.4477469669115957E-2</v>
      </c>
    </row>
    <row r="97" spans="1:25">
      <c r="A97" s="851" t="s">
        <v>305</v>
      </c>
      <c r="B97" s="1168">
        <v>8282.15</v>
      </c>
      <c r="C97" s="1168">
        <v>3876.41</v>
      </c>
      <c r="D97" s="1168">
        <v>2813.2</v>
      </c>
      <c r="E97" s="1168">
        <v>3205.09</v>
      </c>
      <c r="F97" s="1168">
        <v>5166.17</v>
      </c>
      <c r="G97" s="1168">
        <v>7291.9</v>
      </c>
      <c r="H97" s="1168">
        <v>8852.19</v>
      </c>
      <c r="I97" s="1168">
        <v>10904.19</v>
      </c>
      <c r="J97" s="1168">
        <v>13574.08</v>
      </c>
      <c r="K97" s="1168">
        <v>16908.84</v>
      </c>
      <c r="L97" s="851">
        <v>2014</v>
      </c>
      <c r="O97" s="156"/>
      <c r="P97" s="156"/>
      <c r="Q97" s="146">
        <f t="shared" si="5"/>
        <v>-0.53195607420778424</v>
      </c>
      <c r="R97" s="146">
        <f t="shared" si="5"/>
        <v>-0.27427697276603868</v>
      </c>
      <c r="S97" s="146">
        <f t="shared" si="5"/>
        <v>0.13930399545002148</v>
      </c>
      <c r="T97" s="146">
        <f t="shared" si="5"/>
        <v>0.61186425342190076</v>
      </c>
      <c r="U97" s="146">
        <f t="shared" si="5"/>
        <v>0.41147116722833355</v>
      </c>
      <c r="V97" s="146">
        <f t="shared" si="5"/>
        <v>0.21397578134642559</v>
      </c>
      <c r="W97" s="146">
        <f t="shared" si="5"/>
        <v>0.23180704435851474</v>
      </c>
      <c r="X97" s="146">
        <f t="shared" si="4"/>
        <v>0.24484991549120094</v>
      </c>
      <c r="Y97" s="146">
        <f t="shared" si="4"/>
        <v>0.24567116150781487</v>
      </c>
    </row>
    <row r="98" spans="1:25">
      <c r="A98" s="851" t="s">
        <v>306</v>
      </c>
      <c r="B98" s="1168">
        <v>15714.78</v>
      </c>
      <c r="C98" s="1168">
        <v>16594.61</v>
      </c>
      <c r="D98" s="1168">
        <v>14259.6</v>
      </c>
      <c r="E98" s="1168">
        <v>14892.54</v>
      </c>
      <c r="F98" s="1168">
        <v>16443.21</v>
      </c>
      <c r="G98" s="1168">
        <v>18312</v>
      </c>
      <c r="H98" s="1168">
        <v>19634.13</v>
      </c>
      <c r="I98" s="1168">
        <v>21029.37</v>
      </c>
      <c r="J98" s="1168">
        <v>22412.22</v>
      </c>
      <c r="K98" s="1168">
        <v>23849.79</v>
      </c>
      <c r="L98" s="851">
        <v>2016</v>
      </c>
      <c r="O98" s="156"/>
      <c r="P98" s="156"/>
      <c r="Q98" s="146">
        <f t="shared" si="5"/>
        <v>5.5987420759310735E-2</v>
      </c>
      <c r="R98" s="146">
        <f t="shared" si="5"/>
        <v>-0.14070894103567366</v>
      </c>
      <c r="S98" s="146">
        <f t="shared" si="5"/>
        <v>4.4386939325086194E-2</v>
      </c>
      <c r="T98" s="146">
        <f t="shared" si="5"/>
        <v>0.10412394393434554</v>
      </c>
      <c r="U98" s="146">
        <f t="shared" si="5"/>
        <v>0.113651166651767</v>
      </c>
      <c r="V98" s="146">
        <f t="shared" si="5"/>
        <v>7.2200196592398402E-2</v>
      </c>
      <c r="W98" s="146">
        <f t="shared" si="5"/>
        <v>7.1061972188225297E-2</v>
      </c>
      <c r="X98" s="146">
        <f t="shared" si="4"/>
        <v>6.5758032694274826E-2</v>
      </c>
      <c r="Y98" s="146">
        <f t="shared" si="4"/>
        <v>6.4142240260000927E-2</v>
      </c>
    </row>
    <row r="99" spans="1:25">
      <c r="A99" s="851" t="s">
        <v>307</v>
      </c>
      <c r="B99" s="1168">
        <v>115134.78</v>
      </c>
      <c r="C99" s="1168">
        <v>120799.37</v>
      </c>
      <c r="D99" s="1168">
        <v>103157.09</v>
      </c>
      <c r="E99" s="1168">
        <v>104094.93</v>
      </c>
      <c r="F99" s="1168">
        <v>107708.22</v>
      </c>
      <c r="G99" s="1168">
        <v>113626.62</v>
      </c>
      <c r="H99" s="1168">
        <v>117160.71</v>
      </c>
      <c r="I99" s="1168">
        <v>120511.56</v>
      </c>
      <c r="J99" s="1168">
        <v>123297.58</v>
      </c>
      <c r="K99" s="1168">
        <v>125980.3</v>
      </c>
      <c r="L99" s="851">
        <v>2016</v>
      </c>
      <c r="O99" s="156"/>
      <c r="P99" s="156"/>
      <c r="Q99" s="146">
        <f t="shared" si="5"/>
        <v>4.9199642366972052E-2</v>
      </c>
      <c r="R99" s="146">
        <f t="shared" si="5"/>
        <v>-0.14604612590280897</v>
      </c>
      <c r="S99" s="146">
        <f t="shared" si="5"/>
        <v>9.0913770444667197E-3</v>
      </c>
      <c r="T99" s="146">
        <f t="shared" si="5"/>
        <v>3.4711488830435844E-2</v>
      </c>
      <c r="U99" s="146">
        <f t="shared" si="5"/>
        <v>5.4948452402239889E-2</v>
      </c>
      <c r="V99" s="146">
        <f t="shared" si="5"/>
        <v>3.110265886638186E-2</v>
      </c>
      <c r="W99" s="146">
        <f t="shared" si="5"/>
        <v>2.8600458293569497E-2</v>
      </c>
      <c r="X99" s="146">
        <f t="shared" si="4"/>
        <v>2.3118280105244748E-2</v>
      </c>
      <c r="Y99" s="146">
        <f t="shared" si="4"/>
        <v>2.1758091278028413E-2</v>
      </c>
    </row>
    <row r="100" spans="1:25">
      <c r="A100" s="851" t="s">
        <v>308</v>
      </c>
      <c r="B100" s="1168">
        <v>84859.86</v>
      </c>
      <c r="C100" s="1168">
        <v>86997.5</v>
      </c>
      <c r="D100" s="1168">
        <v>70214.899999999994</v>
      </c>
      <c r="E100" s="1168">
        <v>69559.179999999993</v>
      </c>
      <c r="F100" s="1168">
        <v>79563.56</v>
      </c>
      <c r="G100" s="1168">
        <v>86116.57</v>
      </c>
      <c r="H100" s="1168">
        <v>92492.19</v>
      </c>
      <c r="I100" s="1168">
        <v>98464.19</v>
      </c>
      <c r="J100" s="1168">
        <v>104125.32</v>
      </c>
      <c r="K100" s="1168">
        <v>110051.65</v>
      </c>
      <c r="L100" s="851">
        <v>2016</v>
      </c>
      <c r="O100" s="156"/>
      <c r="P100" s="156"/>
      <c r="Q100" s="146">
        <f t="shared" si="5"/>
        <v>2.5190237174560481E-2</v>
      </c>
      <c r="R100" s="146">
        <f t="shared" si="5"/>
        <v>-0.19290899163769082</v>
      </c>
      <c r="S100" s="146">
        <f t="shared" si="5"/>
        <v>-9.3387585825800423E-3</v>
      </c>
      <c r="T100" s="146">
        <f t="shared" si="5"/>
        <v>0.14382544475078629</v>
      </c>
      <c r="U100" s="146">
        <f t="shared" si="5"/>
        <v>8.2361950621616442E-2</v>
      </c>
      <c r="V100" s="146">
        <f t="shared" si="5"/>
        <v>7.4034764738075243E-2</v>
      </c>
      <c r="W100" s="146">
        <f t="shared" si="5"/>
        <v>6.4567613762848586E-2</v>
      </c>
      <c r="X100" s="146">
        <f t="shared" si="4"/>
        <v>5.7494303258880164E-2</v>
      </c>
      <c r="Y100" s="146">
        <f t="shared" si="4"/>
        <v>5.6915359299736012E-2</v>
      </c>
    </row>
    <row r="101" spans="1:25">
      <c r="A101" s="851" t="s">
        <v>309</v>
      </c>
      <c r="B101" s="1168">
        <v>5239.72</v>
      </c>
      <c r="C101" s="1168">
        <v>5498.61</v>
      </c>
      <c r="D101" s="1168">
        <v>4854.21</v>
      </c>
      <c r="E101" s="1168">
        <v>5263.91</v>
      </c>
      <c r="F101" s="1168">
        <v>5500.3</v>
      </c>
      <c r="G101" s="1168">
        <v>5916.37</v>
      </c>
      <c r="H101" s="1168">
        <v>6257.45</v>
      </c>
      <c r="I101" s="1168">
        <v>6625.23</v>
      </c>
      <c r="J101" s="1168">
        <v>6982.73</v>
      </c>
      <c r="K101" s="1168">
        <v>7369.5</v>
      </c>
      <c r="L101" s="851">
        <v>2016</v>
      </c>
      <c r="O101" s="156"/>
      <c r="P101" s="156"/>
      <c r="Q101" s="146">
        <f t="shared" si="5"/>
        <v>4.9409128732069485E-2</v>
      </c>
      <c r="R101" s="146">
        <f t="shared" si="5"/>
        <v>-0.11719325429517635</v>
      </c>
      <c r="S101" s="146">
        <f t="shared" si="5"/>
        <v>8.4400963287537989E-2</v>
      </c>
      <c r="T101" s="146">
        <f t="shared" si="5"/>
        <v>4.4907682692143291E-2</v>
      </c>
      <c r="U101" s="146">
        <f t="shared" si="5"/>
        <v>7.5644964820100746E-2</v>
      </c>
      <c r="V101" s="146">
        <f t="shared" si="5"/>
        <v>5.7650214574139103E-2</v>
      </c>
      <c r="W101" s="146">
        <f t="shared" si="5"/>
        <v>5.8774740509312862E-2</v>
      </c>
      <c r="X101" s="146">
        <f t="shared" si="4"/>
        <v>5.3960390809073777E-2</v>
      </c>
      <c r="Y101" s="146">
        <f t="shared" si="4"/>
        <v>5.5389510979230172E-2</v>
      </c>
    </row>
    <row r="102" spans="1:25">
      <c r="A102" s="851" t="s">
        <v>310</v>
      </c>
      <c r="B102" s="851">
        <v>462.46</v>
      </c>
      <c r="C102" s="851">
        <v>452.81</v>
      </c>
      <c r="D102" s="851">
        <v>402.06700000000001</v>
      </c>
      <c r="E102" s="851">
        <v>401.39600000000002</v>
      </c>
      <c r="F102" s="851">
        <v>412.16800000000001</v>
      </c>
      <c r="G102" s="851">
        <v>423.947</v>
      </c>
      <c r="H102" s="851">
        <v>443.86099999999999</v>
      </c>
      <c r="I102" s="851">
        <v>463.91800000000001</v>
      </c>
      <c r="J102" s="851">
        <v>484.69299999999998</v>
      </c>
      <c r="K102" s="851">
        <v>503.25700000000001</v>
      </c>
      <c r="L102" s="851">
        <v>2010</v>
      </c>
      <c r="O102" s="156"/>
      <c r="P102" s="156"/>
      <c r="Q102" s="146">
        <f t="shared" si="5"/>
        <v>-2.0866669549798877E-2</v>
      </c>
      <c r="R102" s="146">
        <f t="shared" si="5"/>
        <v>-0.11206245445109431</v>
      </c>
      <c r="S102" s="146">
        <f t="shared" si="5"/>
        <v>-1.6688760828419413E-3</v>
      </c>
      <c r="T102" s="146">
        <f t="shared" si="5"/>
        <v>2.68363411693191E-2</v>
      </c>
      <c r="U102" s="146">
        <f t="shared" si="5"/>
        <v>2.8578152597969808E-2</v>
      </c>
      <c r="V102" s="146">
        <f t="shared" si="5"/>
        <v>4.6972852738667692E-2</v>
      </c>
      <c r="W102" s="146">
        <f t="shared" si="5"/>
        <v>4.5187569982494624E-2</v>
      </c>
      <c r="X102" s="146">
        <f t="shared" si="4"/>
        <v>4.4781620889898566E-2</v>
      </c>
      <c r="Y102" s="146">
        <f t="shared" si="4"/>
        <v>3.8300532502016704E-2</v>
      </c>
    </row>
    <row r="103" spans="1:25">
      <c r="A103" s="851" t="s">
        <v>311</v>
      </c>
      <c r="B103" s="851">
        <v>317.471</v>
      </c>
      <c r="C103" s="851">
        <v>343.97899999999998</v>
      </c>
      <c r="D103" s="851">
        <v>353.72800000000001</v>
      </c>
      <c r="E103" s="851">
        <v>294.58800000000002</v>
      </c>
      <c r="F103" s="851">
        <v>326.60899999999998</v>
      </c>
      <c r="G103" s="851">
        <v>341.66699999999997</v>
      </c>
      <c r="H103" s="851">
        <v>350.762</v>
      </c>
      <c r="I103" s="851">
        <v>366.12099999999998</v>
      </c>
      <c r="J103" s="851">
        <v>382.93900000000002</v>
      </c>
      <c r="K103" s="851">
        <v>401.67399999999998</v>
      </c>
      <c r="L103" s="851">
        <v>2011</v>
      </c>
      <c r="O103" s="156"/>
      <c r="P103" s="156"/>
      <c r="Q103" s="146">
        <f t="shared" si="5"/>
        <v>8.3497390312816E-2</v>
      </c>
      <c r="R103" s="146">
        <f t="shared" si="5"/>
        <v>2.8341846449928765E-2</v>
      </c>
      <c r="S103" s="146">
        <f t="shared" si="5"/>
        <v>-0.16719060973403288</v>
      </c>
      <c r="T103" s="146">
        <f t="shared" si="5"/>
        <v>0.1086975708447051</v>
      </c>
      <c r="U103" s="146">
        <f t="shared" si="5"/>
        <v>4.6104057144781718E-2</v>
      </c>
      <c r="V103" s="146">
        <f t="shared" si="5"/>
        <v>2.6619486224891631E-2</v>
      </c>
      <c r="W103" s="146">
        <f t="shared" si="5"/>
        <v>4.3787525444603403E-2</v>
      </c>
      <c r="X103" s="146">
        <f t="shared" si="4"/>
        <v>4.5935633301558809E-2</v>
      </c>
      <c r="Y103" s="146">
        <f t="shared" si="4"/>
        <v>4.8924241197684015E-2</v>
      </c>
    </row>
    <row r="104" spans="1:25">
      <c r="A104" s="851" t="s">
        <v>312</v>
      </c>
      <c r="B104" s="1168">
        <v>10699.66</v>
      </c>
      <c r="C104" s="1168">
        <v>11008.87</v>
      </c>
      <c r="D104" s="1168">
        <v>9505.32</v>
      </c>
      <c r="E104" s="1168">
        <v>9374.1</v>
      </c>
      <c r="F104" s="1168">
        <v>9659.8799999999992</v>
      </c>
      <c r="G104" s="1168">
        <v>10489.65</v>
      </c>
      <c r="H104" s="1168">
        <v>11441.82</v>
      </c>
      <c r="I104" s="1168">
        <v>12447.7</v>
      </c>
      <c r="J104" s="1168">
        <v>13539.83</v>
      </c>
      <c r="K104" s="1168">
        <v>14621.87</v>
      </c>
      <c r="L104" s="851">
        <v>2016</v>
      </c>
      <c r="O104" s="156"/>
      <c r="P104" s="156"/>
      <c r="Q104" s="146">
        <f t="shared" si="5"/>
        <v>2.8899049128664034E-2</v>
      </c>
      <c r="R104" s="146">
        <f t="shared" si="5"/>
        <v>-0.13657623352805515</v>
      </c>
      <c r="S104" s="146">
        <f t="shared" si="5"/>
        <v>-1.3804900834479938E-2</v>
      </c>
      <c r="T104" s="146">
        <f t="shared" si="5"/>
        <v>3.0486126668159974E-2</v>
      </c>
      <c r="U104" s="146">
        <f t="shared" si="5"/>
        <v>8.5898582591088068E-2</v>
      </c>
      <c r="V104" s="146">
        <f t="shared" si="5"/>
        <v>9.0772332727974803E-2</v>
      </c>
      <c r="W104" s="146">
        <f t="shared" si="5"/>
        <v>8.7912587333134118E-2</v>
      </c>
      <c r="X104" s="146">
        <f t="shared" si="4"/>
        <v>8.7737493673530009E-2</v>
      </c>
      <c r="Y104" s="146">
        <f t="shared" si="4"/>
        <v>7.9915331285548064E-2</v>
      </c>
    </row>
    <row r="105" spans="1:25">
      <c r="A105" s="851" t="s">
        <v>313</v>
      </c>
      <c r="B105" s="1168">
        <v>9760.66</v>
      </c>
      <c r="C105" s="1168">
        <v>10787.47</v>
      </c>
      <c r="D105" s="1168">
        <v>11542.61</v>
      </c>
      <c r="E105" s="1168">
        <v>11983.6</v>
      </c>
      <c r="F105" s="1168">
        <v>12568.6</v>
      </c>
      <c r="G105" s="1168">
        <v>13195.33</v>
      </c>
      <c r="H105" s="1168">
        <v>13874.62</v>
      </c>
      <c r="I105" s="1168">
        <v>14668.37</v>
      </c>
      <c r="J105" s="1168">
        <v>15521.4</v>
      </c>
      <c r="K105" s="1168">
        <v>16424.37</v>
      </c>
      <c r="L105" s="851">
        <v>2014</v>
      </c>
      <c r="O105" s="156"/>
      <c r="P105" s="156"/>
      <c r="Q105" s="146">
        <f t="shared" si="5"/>
        <v>0.10519882876772679</v>
      </c>
      <c r="R105" s="146">
        <f t="shared" si="5"/>
        <v>7.0001585172426939E-2</v>
      </c>
      <c r="S105" s="146">
        <f t="shared" si="5"/>
        <v>3.8205397219519543E-2</v>
      </c>
      <c r="T105" s="146">
        <f t="shared" si="5"/>
        <v>4.8816716178777586E-2</v>
      </c>
      <c r="U105" s="146">
        <f t="shared" si="5"/>
        <v>4.9864742294288833E-2</v>
      </c>
      <c r="V105" s="146">
        <f t="shared" si="5"/>
        <v>5.1479576486529677E-2</v>
      </c>
      <c r="W105" s="146">
        <f t="shared" si="5"/>
        <v>5.7208774006062946E-2</v>
      </c>
      <c r="X105" s="146">
        <f t="shared" si="4"/>
        <v>5.8154382525120285E-2</v>
      </c>
      <c r="Y105" s="146">
        <f t="shared" si="4"/>
        <v>5.817580888321916E-2</v>
      </c>
    </row>
    <row r="106" spans="1:25">
      <c r="A106" s="851" t="s">
        <v>314</v>
      </c>
      <c r="B106" s="851">
        <v>798.56799999999998</v>
      </c>
      <c r="C106" s="851">
        <v>840.84699999999998</v>
      </c>
      <c r="D106" s="851">
        <v>740.36400000000003</v>
      </c>
      <c r="E106" s="851">
        <v>767.69299999999998</v>
      </c>
      <c r="F106" s="851">
        <v>793.83600000000001</v>
      </c>
      <c r="G106" s="851">
        <v>837.21</v>
      </c>
      <c r="H106" s="851">
        <v>858.04899999999998</v>
      </c>
      <c r="I106" s="851">
        <v>878.16499999999996</v>
      </c>
      <c r="J106" s="851">
        <v>897.22299999999996</v>
      </c>
      <c r="K106" s="851">
        <v>920.25</v>
      </c>
      <c r="L106" s="851">
        <v>2013</v>
      </c>
      <c r="O106" s="156"/>
      <c r="P106" s="156"/>
      <c r="Q106" s="146">
        <f t="shared" si="5"/>
        <v>5.2943518898828978E-2</v>
      </c>
      <c r="R106" s="146">
        <f t="shared" si="5"/>
        <v>-0.11950212107553448</v>
      </c>
      <c r="S106" s="146">
        <f t="shared" si="5"/>
        <v>3.691292391310208E-2</v>
      </c>
      <c r="T106" s="146">
        <f t="shared" si="5"/>
        <v>3.4053977306032435E-2</v>
      </c>
      <c r="U106" s="146">
        <f t="shared" si="5"/>
        <v>5.4638489562075732E-2</v>
      </c>
      <c r="V106" s="146">
        <f t="shared" si="5"/>
        <v>2.4891007035271917E-2</v>
      </c>
      <c r="W106" s="146">
        <f t="shared" si="5"/>
        <v>2.3443882575470587E-2</v>
      </c>
      <c r="X106" s="146">
        <f t="shared" si="4"/>
        <v>2.1702071934089906E-2</v>
      </c>
      <c r="Y106" s="146">
        <f t="shared" si="4"/>
        <v>2.5664745553781065E-2</v>
      </c>
    </row>
    <row r="107" spans="1:25">
      <c r="A107" s="851" t="s">
        <v>315</v>
      </c>
      <c r="B107" s="1168">
        <v>24087.65</v>
      </c>
      <c r="C107" s="1168">
        <v>26411.77</v>
      </c>
      <c r="D107" s="1168">
        <v>23969.57</v>
      </c>
      <c r="E107" s="1168">
        <v>25329.38</v>
      </c>
      <c r="F107" s="1168">
        <v>27567.37</v>
      </c>
      <c r="G107" s="1168">
        <v>30500.19</v>
      </c>
      <c r="H107" s="1168">
        <v>32347.79</v>
      </c>
      <c r="I107" s="1168">
        <v>34118.29</v>
      </c>
      <c r="J107" s="1168">
        <v>35732</v>
      </c>
      <c r="K107" s="1168">
        <v>37384.47</v>
      </c>
      <c r="L107" s="851">
        <v>2016</v>
      </c>
      <c r="O107" s="156"/>
      <c r="P107" s="156"/>
      <c r="Q107" s="146">
        <f t="shared" si="5"/>
        <v>9.6485958572131381E-2</v>
      </c>
      <c r="R107" s="146">
        <f t="shared" si="5"/>
        <v>-9.2466351176009765E-2</v>
      </c>
      <c r="S107" s="146">
        <f t="shared" si="5"/>
        <v>5.6730679774397386E-2</v>
      </c>
      <c r="T107" s="146">
        <f t="shared" si="5"/>
        <v>8.8355498634392182E-2</v>
      </c>
      <c r="U107" s="146">
        <f t="shared" si="5"/>
        <v>0.10638737028595768</v>
      </c>
      <c r="V107" s="146">
        <f t="shared" si="5"/>
        <v>6.0576671817454297E-2</v>
      </c>
      <c r="W107" s="146">
        <f t="shared" si="5"/>
        <v>5.4733259984685256E-2</v>
      </c>
      <c r="X107" s="146">
        <f t="shared" si="4"/>
        <v>4.7297505238392601E-2</v>
      </c>
      <c r="Y107" s="146">
        <f t="shared" si="4"/>
        <v>4.6246221873950555E-2</v>
      </c>
    </row>
    <row r="108" spans="1:25">
      <c r="A108" s="851" t="s">
        <v>316</v>
      </c>
      <c r="B108" s="1168">
        <v>3562.79</v>
      </c>
      <c r="C108" s="1168">
        <v>3406.74</v>
      </c>
      <c r="D108" s="1168">
        <v>3330.67</v>
      </c>
      <c r="E108" s="1168">
        <v>3591.64</v>
      </c>
      <c r="F108" s="1168">
        <v>3623.56</v>
      </c>
      <c r="G108" s="1168">
        <v>3662.7</v>
      </c>
      <c r="H108" s="1168">
        <v>3708.68</v>
      </c>
      <c r="I108" s="1168">
        <v>3766.16</v>
      </c>
      <c r="J108" s="1168">
        <v>3823.09</v>
      </c>
      <c r="K108" s="1168">
        <v>3862.44</v>
      </c>
      <c r="L108" s="851">
        <v>2015</v>
      </c>
      <c r="O108" s="156"/>
      <c r="P108" s="156"/>
      <c r="Q108" s="146">
        <f t="shared" si="5"/>
        <v>-4.3799943302860966E-2</v>
      </c>
      <c r="R108" s="146">
        <f t="shared" si="5"/>
        <v>-2.2329264927760772E-2</v>
      </c>
      <c r="S108" s="146">
        <f t="shared" si="5"/>
        <v>7.8353604530019494E-2</v>
      </c>
      <c r="T108" s="146">
        <f t="shared" si="5"/>
        <v>8.8873049637492318E-3</v>
      </c>
      <c r="U108" s="146">
        <f t="shared" si="5"/>
        <v>1.0801532194858021E-2</v>
      </c>
      <c r="V108" s="146">
        <f t="shared" si="5"/>
        <v>1.2553580691839317E-2</v>
      </c>
      <c r="W108" s="146">
        <f t="shared" si="5"/>
        <v>1.5498775844774881E-2</v>
      </c>
      <c r="X108" s="146">
        <f t="shared" si="4"/>
        <v>1.5116192620600266E-2</v>
      </c>
      <c r="Y108" s="146">
        <f t="shared" si="4"/>
        <v>1.0292721332743948E-2</v>
      </c>
    </row>
    <row r="109" spans="1:25">
      <c r="A109" s="851" t="s">
        <v>317</v>
      </c>
      <c r="B109" s="1168">
        <v>1618.22</v>
      </c>
      <c r="C109" s="1168">
        <v>1488.79</v>
      </c>
      <c r="D109" s="1168">
        <v>1307.1500000000001</v>
      </c>
      <c r="E109" s="1168">
        <v>1246.6099999999999</v>
      </c>
      <c r="F109" s="1168">
        <v>1284.4100000000001</v>
      </c>
      <c r="G109" s="1168">
        <v>1274.07</v>
      </c>
      <c r="H109" s="1168">
        <v>1286.67</v>
      </c>
      <c r="I109" s="1168">
        <v>1323.73</v>
      </c>
      <c r="J109" s="1168">
        <v>1364.52</v>
      </c>
      <c r="K109" s="1168">
        <v>1419.85</v>
      </c>
      <c r="L109" s="851">
        <v>2012</v>
      </c>
      <c r="O109" s="156"/>
      <c r="P109" s="156"/>
      <c r="Q109" s="146">
        <f t="shared" si="5"/>
        <v>-7.9982944222664498E-2</v>
      </c>
      <c r="R109" s="146">
        <f t="shared" si="5"/>
        <v>-0.12200511825039118</v>
      </c>
      <c r="S109" s="146">
        <f t="shared" si="5"/>
        <v>-4.6314501013655751E-2</v>
      </c>
      <c r="T109" s="146">
        <f t="shared" si="5"/>
        <v>3.032223389833244E-2</v>
      </c>
      <c r="U109" s="146">
        <f t="shared" si="5"/>
        <v>-8.0503888945120394E-3</v>
      </c>
      <c r="V109" s="146">
        <f t="shared" si="5"/>
        <v>9.8895665073348571E-3</v>
      </c>
      <c r="W109" s="146">
        <f t="shared" si="5"/>
        <v>2.880303418903063E-2</v>
      </c>
      <c r="X109" s="146">
        <f t="shared" si="4"/>
        <v>3.0814441011384419E-2</v>
      </c>
      <c r="Y109" s="146">
        <f t="shared" si="4"/>
        <v>4.0549057544044809E-2</v>
      </c>
    </row>
    <row r="110" spans="1:25">
      <c r="A110" s="851" t="s">
        <v>318</v>
      </c>
      <c r="B110" s="1168">
        <v>9479.8799999999992</v>
      </c>
      <c r="C110" s="1168">
        <v>10000.69</v>
      </c>
      <c r="D110" s="1168">
        <v>9114.9699999999993</v>
      </c>
      <c r="E110" s="1168">
        <v>9613.4699999999993</v>
      </c>
      <c r="F110" s="1168">
        <v>9671.9</v>
      </c>
      <c r="G110" s="1168">
        <v>10105.1</v>
      </c>
      <c r="H110" s="1168">
        <v>10628.82</v>
      </c>
      <c r="I110" s="1168">
        <v>11179.64</v>
      </c>
      <c r="J110" s="1168">
        <v>11733.18</v>
      </c>
      <c r="K110" s="1168">
        <v>12327.26</v>
      </c>
      <c r="L110" s="851">
        <v>2015</v>
      </c>
      <c r="O110" s="156"/>
      <c r="P110" s="156"/>
      <c r="Q110" s="146">
        <f t="shared" si="5"/>
        <v>5.4938459136613771E-2</v>
      </c>
      <c r="R110" s="146">
        <f t="shared" si="5"/>
        <v>-8.8565888953662353E-2</v>
      </c>
      <c r="S110" s="146">
        <f t="shared" si="5"/>
        <v>5.4690251311853011E-2</v>
      </c>
      <c r="T110" s="146">
        <f t="shared" si="5"/>
        <v>6.0779302374689426E-3</v>
      </c>
      <c r="U110" s="146">
        <f t="shared" si="5"/>
        <v>4.4789544970481598E-2</v>
      </c>
      <c r="V110" s="146">
        <f t="shared" si="5"/>
        <v>5.1827295128202611E-2</v>
      </c>
      <c r="W110" s="146">
        <f t="shared" si="5"/>
        <v>5.1823250370219842E-2</v>
      </c>
      <c r="X110" s="146">
        <f t="shared" si="4"/>
        <v>4.9513222250448186E-2</v>
      </c>
      <c r="Y110" s="146">
        <f t="shared" si="4"/>
        <v>5.0632479856270951E-2</v>
      </c>
    </row>
    <row r="111" spans="1:25">
      <c r="A111" s="851" t="s">
        <v>319</v>
      </c>
      <c r="B111" s="1168">
        <v>10659.08</v>
      </c>
      <c r="C111" s="1168">
        <v>10846.48</v>
      </c>
      <c r="D111" s="1168">
        <v>9522.4</v>
      </c>
      <c r="E111" s="1168">
        <v>8562.16</v>
      </c>
      <c r="F111" s="1168">
        <v>9249.27</v>
      </c>
      <c r="G111" s="1168">
        <v>10020.799999999999</v>
      </c>
      <c r="H111" s="1168">
        <v>10492.69</v>
      </c>
      <c r="I111" s="1168">
        <v>10959.93</v>
      </c>
      <c r="J111" s="1168">
        <v>11469.9</v>
      </c>
      <c r="K111" s="1168">
        <v>11987.97</v>
      </c>
      <c r="L111" s="851">
        <v>2015</v>
      </c>
      <c r="O111" s="156"/>
      <c r="P111" s="156"/>
      <c r="Q111" s="146">
        <f t="shared" si="5"/>
        <v>1.758125466738214E-2</v>
      </c>
      <c r="R111" s="146">
        <f t="shared" si="5"/>
        <v>-0.12207462697575622</v>
      </c>
      <c r="S111" s="146">
        <f t="shared" si="5"/>
        <v>-0.10084012433840206</v>
      </c>
      <c r="T111" s="146">
        <f t="shared" si="5"/>
        <v>8.024960991151775E-2</v>
      </c>
      <c r="U111" s="146">
        <f t="shared" si="5"/>
        <v>8.3415231688554803E-2</v>
      </c>
      <c r="V111" s="146">
        <f t="shared" si="5"/>
        <v>4.7091050614721519E-2</v>
      </c>
      <c r="W111" s="146">
        <f t="shared" si="5"/>
        <v>4.4530049015076179E-2</v>
      </c>
      <c r="X111" s="146">
        <f t="shared" si="4"/>
        <v>4.6530406672305347E-2</v>
      </c>
      <c r="Y111" s="146">
        <f t="shared" si="4"/>
        <v>4.5167786990296221E-2</v>
      </c>
    </row>
    <row r="112" spans="1:25">
      <c r="A112" s="851" t="s">
        <v>320</v>
      </c>
      <c r="B112" s="1168">
        <v>3097.68</v>
      </c>
      <c r="C112" s="1168">
        <v>3114.65</v>
      </c>
      <c r="D112" s="1168">
        <v>3079.22</v>
      </c>
      <c r="E112" s="1168">
        <v>3157.46</v>
      </c>
      <c r="F112" s="1168">
        <v>3218.82</v>
      </c>
      <c r="G112" s="1168">
        <v>3293.74</v>
      </c>
      <c r="H112" s="1168">
        <v>3353.7</v>
      </c>
      <c r="I112" s="1168">
        <v>3407.14</v>
      </c>
      <c r="J112" s="1168">
        <v>3461.6</v>
      </c>
      <c r="K112" s="1168">
        <v>3506.36</v>
      </c>
      <c r="L112" s="851">
        <v>2015</v>
      </c>
      <c r="O112" s="156"/>
      <c r="P112" s="156"/>
      <c r="Q112" s="146">
        <f t="shared" si="5"/>
        <v>5.4782934325043886E-3</v>
      </c>
      <c r="R112" s="146">
        <f t="shared" si="5"/>
        <v>-1.1375274910503719E-2</v>
      </c>
      <c r="S112" s="146">
        <f t="shared" si="5"/>
        <v>2.540903215749446E-2</v>
      </c>
      <c r="T112" s="146">
        <f t="shared" si="5"/>
        <v>1.9433341990080732E-2</v>
      </c>
      <c r="U112" s="146">
        <f t="shared" si="5"/>
        <v>2.3275610316824125E-2</v>
      </c>
      <c r="V112" s="146">
        <f t="shared" si="5"/>
        <v>1.8204229842064157E-2</v>
      </c>
      <c r="W112" s="146">
        <f t="shared" si="5"/>
        <v>1.5934639353549773E-2</v>
      </c>
      <c r="X112" s="146">
        <f t="shared" si="4"/>
        <v>1.5984080489795049E-2</v>
      </c>
      <c r="Y112" s="146">
        <f t="shared" si="4"/>
        <v>1.2930436792234934E-2</v>
      </c>
    </row>
    <row r="113" spans="1:25">
      <c r="A113" s="851" t="s">
        <v>321</v>
      </c>
      <c r="B113" s="1168">
        <v>2244.4499999999998</v>
      </c>
      <c r="C113" s="1168">
        <v>2245.5300000000002</v>
      </c>
      <c r="D113" s="1168">
        <v>1828.37</v>
      </c>
      <c r="E113" s="1168">
        <v>1907.37</v>
      </c>
      <c r="F113" s="1168">
        <v>2240.08</v>
      </c>
      <c r="G113" s="1168">
        <v>2457.2600000000002</v>
      </c>
      <c r="H113" s="1168">
        <v>2624.83</v>
      </c>
      <c r="I113" s="1168">
        <v>2776.97</v>
      </c>
      <c r="J113" s="1168">
        <v>2927.78</v>
      </c>
      <c r="K113" s="1168">
        <v>3035.01</v>
      </c>
      <c r="L113" s="851">
        <v>2016</v>
      </c>
      <c r="O113" s="156"/>
      <c r="P113" s="156"/>
      <c r="Q113" s="146">
        <f t="shared" si="5"/>
        <v>4.8118692775522831E-4</v>
      </c>
      <c r="R113" s="146">
        <f t="shared" si="5"/>
        <v>-0.18577351449323776</v>
      </c>
      <c r="S113" s="146">
        <f t="shared" si="5"/>
        <v>4.3207884618539971E-2</v>
      </c>
      <c r="T113" s="146">
        <f t="shared" si="5"/>
        <v>0.17443390637369793</v>
      </c>
      <c r="U113" s="146">
        <f t="shared" si="5"/>
        <v>9.6951894575193931E-2</v>
      </c>
      <c r="V113" s="146">
        <f t="shared" si="5"/>
        <v>6.8193841921489584E-2</v>
      </c>
      <c r="W113" s="146">
        <f t="shared" si="5"/>
        <v>5.7961848957837292E-2</v>
      </c>
      <c r="X113" s="146">
        <f t="shared" si="4"/>
        <v>5.4307392589765247E-2</v>
      </c>
      <c r="Y113" s="146">
        <f t="shared" si="4"/>
        <v>3.6625019639453749E-2</v>
      </c>
    </row>
    <row r="114" spans="1:25">
      <c r="A114" s="851" t="s">
        <v>322</v>
      </c>
      <c r="B114" s="1168">
        <v>4365.3100000000004</v>
      </c>
      <c r="C114" s="1168">
        <v>4168.84</v>
      </c>
      <c r="D114" s="1168">
        <v>3946.25</v>
      </c>
      <c r="E114" s="1168">
        <v>3659.81</v>
      </c>
      <c r="F114" s="1168">
        <v>3552.9</v>
      </c>
      <c r="G114" s="1168">
        <v>3720.66</v>
      </c>
      <c r="H114" s="1168">
        <v>3950.62</v>
      </c>
      <c r="I114" s="1168">
        <v>4141.62</v>
      </c>
      <c r="J114" s="1168">
        <v>4373.3900000000003</v>
      </c>
      <c r="K114" s="1168">
        <v>4741.04</v>
      </c>
      <c r="L114" s="851">
        <v>2014</v>
      </c>
      <c r="O114" s="156"/>
      <c r="P114" s="156"/>
      <c r="Q114" s="146">
        <f t="shared" si="5"/>
        <v>-4.5007112896907731E-2</v>
      </c>
      <c r="R114" s="146">
        <f t="shared" si="5"/>
        <v>-5.3393749820093928E-2</v>
      </c>
      <c r="S114" s="146">
        <f t="shared" si="5"/>
        <v>-7.2585365853658601E-2</v>
      </c>
      <c r="T114" s="146">
        <f t="shared" si="5"/>
        <v>-2.9211898978362183E-2</v>
      </c>
      <c r="U114" s="146">
        <f t="shared" si="5"/>
        <v>4.7217765768808428E-2</v>
      </c>
      <c r="V114" s="146">
        <f t="shared" si="5"/>
        <v>6.1806238678083991E-2</v>
      </c>
      <c r="W114" s="146">
        <f t="shared" si="5"/>
        <v>4.8346841761546244E-2</v>
      </c>
      <c r="X114" s="146">
        <f t="shared" si="4"/>
        <v>5.5961193928945718E-2</v>
      </c>
      <c r="Y114" s="146">
        <f t="shared" si="4"/>
        <v>8.4065221715877048E-2</v>
      </c>
    </row>
    <row r="115" spans="1:25">
      <c r="A115" s="851" t="s">
        <v>323</v>
      </c>
      <c r="B115" s="1168">
        <v>7189.15</v>
      </c>
      <c r="C115" s="1168">
        <v>7389.89</v>
      </c>
      <c r="D115" s="1168">
        <v>6464.74</v>
      </c>
      <c r="E115" s="1168">
        <v>6706.96</v>
      </c>
      <c r="F115" s="1168">
        <v>7071.36</v>
      </c>
      <c r="G115" s="1168">
        <v>7623.41</v>
      </c>
      <c r="H115" s="1168">
        <v>8011.01</v>
      </c>
      <c r="I115" s="1168">
        <v>8337.48</v>
      </c>
      <c r="J115" s="1168">
        <v>8706.41</v>
      </c>
      <c r="K115" s="1168">
        <v>9098.65</v>
      </c>
      <c r="L115" s="851">
        <v>2015</v>
      </c>
      <c r="O115" s="156"/>
      <c r="P115" s="156"/>
      <c r="Q115" s="146">
        <f t="shared" si="5"/>
        <v>2.7922633412851505E-2</v>
      </c>
      <c r="R115" s="146">
        <f t="shared" si="5"/>
        <v>-0.12519130866629957</v>
      </c>
      <c r="S115" s="146">
        <f t="shared" si="5"/>
        <v>3.7467864136840889E-2</v>
      </c>
      <c r="T115" s="146">
        <f t="shared" si="5"/>
        <v>5.4331619690590083E-2</v>
      </c>
      <c r="U115" s="146">
        <f t="shared" si="5"/>
        <v>7.8068433794913572E-2</v>
      </c>
      <c r="V115" s="146">
        <f t="shared" si="5"/>
        <v>5.0843388982096061E-2</v>
      </c>
      <c r="W115" s="146">
        <f t="shared" si="5"/>
        <v>4.0752664145969009E-2</v>
      </c>
      <c r="X115" s="146">
        <f t="shared" si="4"/>
        <v>4.4249581408291272E-2</v>
      </c>
      <c r="Y115" s="146">
        <f t="shared" si="4"/>
        <v>4.5051864086345539E-2</v>
      </c>
    </row>
    <row r="116" spans="1:25">
      <c r="A116" s="851" t="s">
        <v>324</v>
      </c>
      <c r="B116" s="1168">
        <v>3200.48</v>
      </c>
      <c r="C116" s="1168">
        <v>3259.72</v>
      </c>
      <c r="D116" s="1168">
        <v>2965.17</v>
      </c>
      <c r="E116" s="1168">
        <v>3004.22</v>
      </c>
      <c r="F116" s="1168">
        <v>3176.53</v>
      </c>
      <c r="G116" s="1168">
        <v>3368.06</v>
      </c>
      <c r="H116" s="1168">
        <v>3537.65</v>
      </c>
      <c r="I116" s="1168">
        <v>3715.36</v>
      </c>
      <c r="J116" s="1168">
        <v>3901.23</v>
      </c>
      <c r="K116" s="1168">
        <v>4100.53</v>
      </c>
      <c r="L116" s="851">
        <v>2016</v>
      </c>
      <c r="O116" s="156"/>
      <c r="P116" s="156"/>
      <c r="Q116" s="146">
        <f t="shared" si="5"/>
        <v>1.8509723541468626E-2</v>
      </c>
      <c r="R116" s="146">
        <f t="shared" si="5"/>
        <v>-9.0360521762605339E-2</v>
      </c>
      <c r="S116" s="146">
        <f t="shared" si="5"/>
        <v>1.3169565320032106E-2</v>
      </c>
      <c r="T116" s="146">
        <f t="shared" ref="T116:X172" si="6">F116/E116-1</f>
        <v>5.7355985913148944E-2</v>
      </c>
      <c r="U116" s="146">
        <f t="shared" si="6"/>
        <v>6.029535373505035E-2</v>
      </c>
      <c r="V116" s="146">
        <f t="shared" si="6"/>
        <v>5.0352428400919358E-2</v>
      </c>
      <c r="W116" s="146">
        <f t="shared" si="6"/>
        <v>5.0233912342939613E-2</v>
      </c>
      <c r="X116" s="146">
        <f t="shared" si="4"/>
        <v>5.0027453598036287E-2</v>
      </c>
      <c r="Y116" s="146">
        <f t="shared" si="4"/>
        <v>5.1086452221478895E-2</v>
      </c>
    </row>
    <row r="117" spans="1:25">
      <c r="A117" s="851" t="s">
        <v>325</v>
      </c>
      <c r="B117" s="851">
        <v>604.99900000000002</v>
      </c>
      <c r="C117" s="851">
        <v>619.90700000000004</v>
      </c>
      <c r="D117" s="851">
        <v>528.93399999999997</v>
      </c>
      <c r="E117" s="851">
        <v>392.05799999999999</v>
      </c>
      <c r="F117" s="851">
        <v>417.92700000000002</v>
      </c>
      <c r="G117" s="851">
        <v>486.36399999999998</v>
      </c>
      <c r="H117" s="851">
        <v>511.26</v>
      </c>
      <c r="I117" s="851">
        <v>540.53599999999994</v>
      </c>
      <c r="J117" s="851">
        <v>573.73500000000001</v>
      </c>
      <c r="K117" s="851">
        <v>649.20299999999997</v>
      </c>
      <c r="L117" s="851">
        <v>2015</v>
      </c>
      <c r="O117" s="156"/>
      <c r="P117" s="156"/>
      <c r="Q117" s="146">
        <f t="shared" ref="Q117:U180" si="7">C117/B117-1</f>
        <v>2.4641363043575337E-2</v>
      </c>
      <c r="R117" s="146">
        <f t="shared" si="7"/>
        <v>-0.14675265805999937</v>
      </c>
      <c r="S117" s="146">
        <f t="shared" si="7"/>
        <v>-0.25877708750051986</v>
      </c>
      <c r="T117" s="146">
        <f t="shared" si="6"/>
        <v>6.5982584209479223E-2</v>
      </c>
      <c r="U117" s="146">
        <f t="shared" si="6"/>
        <v>0.1637534784782988</v>
      </c>
      <c r="V117" s="146">
        <f t="shared" si="6"/>
        <v>5.1187999111776294E-2</v>
      </c>
      <c r="W117" s="146">
        <f t="shared" si="6"/>
        <v>5.7262449634236878E-2</v>
      </c>
      <c r="X117" s="146">
        <f t="shared" si="4"/>
        <v>6.1418665916793902E-2</v>
      </c>
      <c r="Y117" s="146">
        <f t="shared" si="4"/>
        <v>0.13153807942691298</v>
      </c>
    </row>
    <row r="118" spans="1:25">
      <c r="A118" s="851" t="s">
        <v>326</v>
      </c>
      <c r="B118" s="1168">
        <v>1179.56</v>
      </c>
      <c r="C118" s="1168">
        <v>1275.29</v>
      </c>
      <c r="D118" s="1168">
        <v>1147.3399999999999</v>
      </c>
      <c r="E118" s="1168">
        <v>1231.8</v>
      </c>
      <c r="F118" s="1168">
        <v>1272.04</v>
      </c>
      <c r="G118" s="1168">
        <v>1395.75</v>
      </c>
      <c r="H118" s="1168">
        <v>1539.54</v>
      </c>
      <c r="I118" s="1168">
        <v>1697.02</v>
      </c>
      <c r="J118" s="1168">
        <v>1868.27</v>
      </c>
      <c r="K118" s="1168">
        <v>2048.5700000000002</v>
      </c>
      <c r="L118" s="851">
        <v>2015</v>
      </c>
      <c r="O118" s="156"/>
      <c r="P118" s="156"/>
      <c r="Q118" s="146">
        <f t="shared" si="7"/>
        <v>8.1157380718233973E-2</v>
      </c>
      <c r="R118" s="146">
        <f t="shared" si="7"/>
        <v>-0.10033012099208816</v>
      </c>
      <c r="S118" s="146">
        <f t="shared" si="7"/>
        <v>7.3613750065368633E-2</v>
      </c>
      <c r="T118" s="146">
        <f t="shared" si="6"/>
        <v>3.2667640850787549E-2</v>
      </c>
      <c r="U118" s="146">
        <f t="shared" si="6"/>
        <v>9.7253231030470788E-2</v>
      </c>
      <c r="V118" s="146">
        <f t="shared" si="6"/>
        <v>0.10301988178398713</v>
      </c>
      <c r="W118" s="146">
        <f t="shared" si="6"/>
        <v>0.10229029450355309</v>
      </c>
      <c r="X118" s="146">
        <f t="shared" si="4"/>
        <v>0.10091218724587803</v>
      </c>
      <c r="Y118" s="146">
        <f t="shared" si="4"/>
        <v>9.6506393615483965E-2</v>
      </c>
    </row>
    <row r="119" spans="1:25">
      <c r="A119" s="851" t="s">
        <v>327</v>
      </c>
      <c r="B119" s="1168">
        <v>5793.93</v>
      </c>
      <c r="C119" s="1168">
        <v>5717.76</v>
      </c>
      <c r="D119" s="1168">
        <v>5076.05</v>
      </c>
      <c r="E119" s="1168">
        <v>4708.66</v>
      </c>
      <c r="F119" s="1168">
        <v>5358.2</v>
      </c>
      <c r="G119" s="1168">
        <v>5618.73</v>
      </c>
      <c r="H119" s="1168">
        <v>5884.38</v>
      </c>
      <c r="I119" s="1168">
        <v>6156.54</v>
      </c>
      <c r="J119" s="1168">
        <v>6430.02</v>
      </c>
      <c r="K119" s="1168">
        <v>6717.11</v>
      </c>
      <c r="L119" s="851">
        <v>2008</v>
      </c>
      <c r="O119" s="156"/>
      <c r="P119" s="156"/>
      <c r="Q119" s="146">
        <f t="shared" si="7"/>
        <v>-1.3146517130859348E-2</v>
      </c>
      <c r="R119" s="146">
        <f t="shared" si="7"/>
        <v>-0.11223101354376541</v>
      </c>
      <c r="S119" s="146">
        <f t="shared" si="7"/>
        <v>-7.2377143645157238E-2</v>
      </c>
      <c r="T119" s="146">
        <f t="shared" si="6"/>
        <v>0.13794582747533268</v>
      </c>
      <c r="U119" s="146">
        <f t="shared" si="6"/>
        <v>4.8622671792766248E-2</v>
      </c>
      <c r="V119" s="146">
        <f t="shared" si="6"/>
        <v>4.7279367401530381E-2</v>
      </c>
      <c r="W119" s="146">
        <f t="shared" si="6"/>
        <v>4.6251261815178468E-2</v>
      </c>
      <c r="X119" s="146">
        <f t="shared" si="4"/>
        <v>4.4421054683312367E-2</v>
      </c>
      <c r="Y119" s="146">
        <f t="shared" si="4"/>
        <v>4.4648383675322867E-2</v>
      </c>
    </row>
    <row r="120" spans="1:25">
      <c r="A120" s="851" t="s">
        <v>618</v>
      </c>
      <c r="B120" s="1168">
        <v>10036.18</v>
      </c>
      <c r="C120" s="1168">
        <v>9872.94</v>
      </c>
      <c r="D120" s="1168">
        <v>8055.54</v>
      </c>
      <c r="E120" s="1168">
        <v>7823.64</v>
      </c>
      <c r="F120" s="1168">
        <v>8574.74</v>
      </c>
      <c r="G120" s="1168">
        <v>8946.02</v>
      </c>
      <c r="H120" s="1168">
        <v>8996.09</v>
      </c>
      <c r="I120" s="1168">
        <v>9165.33</v>
      </c>
      <c r="J120" s="1168">
        <v>9298.77</v>
      </c>
      <c r="K120" s="1168">
        <v>9483.16</v>
      </c>
      <c r="L120" s="851">
        <v>2016</v>
      </c>
      <c r="O120" s="156"/>
      <c r="P120" s="156"/>
      <c r="Q120" s="146">
        <f t="shared" si="7"/>
        <v>-1.6265152677612416E-2</v>
      </c>
      <c r="R120" s="146">
        <f t="shared" si="7"/>
        <v>-0.18407890658709569</v>
      </c>
      <c r="S120" s="146">
        <f t="shared" si="7"/>
        <v>-2.8787641796825469E-2</v>
      </c>
      <c r="T120" s="146">
        <f t="shared" si="6"/>
        <v>9.6003906110199377E-2</v>
      </c>
      <c r="U120" s="146">
        <f t="shared" si="6"/>
        <v>4.3299272047898851E-2</v>
      </c>
      <c r="V120" s="146">
        <f t="shared" si="6"/>
        <v>5.5969023096305026E-3</v>
      </c>
      <c r="W120" s="146">
        <f t="shared" si="6"/>
        <v>1.8812617481594796E-2</v>
      </c>
      <c r="X120" s="146">
        <f t="shared" si="4"/>
        <v>1.4559213907191504E-2</v>
      </c>
      <c r="Y120" s="146">
        <f t="shared" si="4"/>
        <v>1.9829504332293357E-2</v>
      </c>
    </row>
    <row r="121" spans="1:25">
      <c r="A121" s="851" t="s">
        <v>328</v>
      </c>
      <c r="B121" s="851">
        <v>692.303</v>
      </c>
      <c r="C121" s="851">
        <v>709.66099999999994</v>
      </c>
      <c r="D121" s="851">
        <v>750.89700000000005</v>
      </c>
      <c r="E121" s="851">
        <v>732.75800000000004</v>
      </c>
      <c r="F121" s="851">
        <v>824.22900000000004</v>
      </c>
      <c r="G121" s="851">
        <v>882.92499999999995</v>
      </c>
      <c r="H121" s="851">
        <v>934.05700000000002</v>
      </c>
      <c r="I121" s="851">
        <v>989.95100000000002</v>
      </c>
      <c r="J121" s="1168">
        <v>1048.5999999999999</v>
      </c>
      <c r="K121" s="1168">
        <v>1110.83</v>
      </c>
      <c r="L121" s="851">
        <v>2015</v>
      </c>
      <c r="O121" s="156"/>
      <c r="P121" s="156"/>
      <c r="Q121" s="146">
        <f t="shared" si="7"/>
        <v>2.5072836604781434E-2</v>
      </c>
      <c r="R121" s="146">
        <f t="shared" si="7"/>
        <v>5.8106617103095948E-2</v>
      </c>
      <c r="S121" s="146">
        <f t="shared" si="7"/>
        <v>-2.4156442228428165E-2</v>
      </c>
      <c r="T121" s="146">
        <f t="shared" si="6"/>
        <v>0.12483111750400533</v>
      </c>
      <c r="U121" s="146">
        <f t="shared" si="6"/>
        <v>7.1213218656465571E-2</v>
      </c>
      <c r="V121" s="146">
        <f t="shared" si="6"/>
        <v>5.7912053685194254E-2</v>
      </c>
      <c r="W121" s="146">
        <f t="shared" si="6"/>
        <v>5.984003117582759E-2</v>
      </c>
      <c r="X121" s="146">
        <f t="shared" si="4"/>
        <v>5.9244346437348883E-2</v>
      </c>
      <c r="Y121" s="146">
        <f t="shared" si="4"/>
        <v>5.9345794392523299E-2</v>
      </c>
    </row>
    <row r="122" spans="1:25">
      <c r="A122" s="851" t="s">
        <v>329</v>
      </c>
      <c r="B122" s="1168">
        <v>51591.95</v>
      </c>
      <c r="C122" s="1168">
        <v>52240.3</v>
      </c>
      <c r="D122" s="1168">
        <v>44776.58</v>
      </c>
      <c r="E122" s="1168">
        <v>45657.57</v>
      </c>
      <c r="F122" s="1168">
        <v>48271.67</v>
      </c>
      <c r="G122" s="1168">
        <v>52016.18</v>
      </c>
      <c r="H122" s="1168">
        <v>53666.48</v>
      </c>
      <c r="I122" s="1168">
        <v>55248.639999999999</v>
      </c>
      <c r="J122" s="1168">
        <v>56556.26</v>
      </c>
      <c r="K122" s="1168">
        <v>57849.14</v>
      </c>
      <c r="L122" s="851">
        <v>2016</v>
      </c>
      <c r="O122" s="156"/>
      <c r="P122" s="156"/>
      <c r="Q122" s="146">
        <f t="shared" si="7"/>
        <v>1.2566883011787766E-2</v>
      </c>
      <c r="R122" s="146">
        <f t="shared" si="7"/>
        <v>-0.14287283955107455</v>
      </c>
      <c r="S122" s="146">
        <f t="shared" si="7"/>
        <v>1.9675240940688177E-2</v>
      </c>
      <c r="T122" s="146">
        <f t="shared" si="6"/>
        <v>5.7254470616811215E-2</v>
      </c>
      <c r="U122" s="146">
        <f t="shared" si="6"/>
        <v>7.7571585984077318E-2</v>
      </c>
      <c r="V122" s="146">
        <f t="shared" si="6"/>
        <v>3.1726666587204244E-2</v>
      </c>
      <c r="W122" s="146">
        <f t="shared" si="6"/>
        <v>2.9481344779832774E-2</v>
      </c>
      <c r="X122" s="146">
        <f t="shared" si="4"/>
        <v>2.3667912911521594E-2</v>
      </c>
      <c r="Y122" s="146">
        <f t="shared" si="4"/>
        <v>2.2860068894230201E-2</v>
      </c>
    </row>
    <row r="123" spans="1:25">
      <c r="A123" s="851" t="s">
        <v>330</v>
      </c>
      <c r="B123" s="1168">
        <v>41737.58</v>
      </c>
      <c r="C123" s="1168">
        <v>43694.52</v>
      </c>
      <c r="D123" s="1168">
        <v>37300.53</v>
      </c>
      <c r="E123" s="1168">
        <v>38277.93</v>
      </c>
      <c r="F123" s="1168">
        <v>41629.33</v>
      </c>
      <c r="G123" s="1168">
        <v>44069.34</v>
      </c>
      <c r="H123" s="1168">
        <v>45834.38</v>
      </c>
      <c r="I123" s="1168">
        <v>47462.14</v>
      </c>
      <c r="J123" s="1168">
        <v>49118.92</v>
      </c>
      <c r="K123" s="1168">
        <v>50715.97</v>
      </c>
      <c r="L123" s="851">
        <v>2016</v>
      </c>
      <c r="O123" s="156"/>
      <c r="P123" s="156"/>
      <c r="Q123" s="146">
        <f t="shared" si="7"/>
        <v>4.6886762481197941E-2</v>
      </c>
      <c r="R123" s="146">
        <f t="shared" si="7"/>
        <v>-0.14633391098014115</v>
      </c>
      <c r="S123" s="146">
        <f t="shared" si="7"/>
        <v>2.6203381024344718E-2</v>
      </c>
      <c r="T123" s="146">
        <f t="shared" si="6"/>
        <v>8.7554368796849857E-2</v>
      </c>
      <c r="U123" s="146">
        <f t="shared" si="6"/>
        <v>5.8612761723525031E-2</v>
      </c>
      <c r="V123" s="146">
        <f t="shared" si="6"/>
        <v>4.0051428044985515E-2</v>
      </c>
      <c r="W123" s="146">
        <f t="shared" si="6"/>
        <v>3.5513952626827328E-2</v>
      </c>
      <c r="X123" s="146">
        <f t="shared" si="4"/>
        <v>3.4907401983981234E-2</v>
      </c>
      <c r="Y123" s="146">
        <f t="shared" si="4"/>
        <v>3.2513947782239594E-2</v>
      </c>
    </row>
    <row r="124" spans="1:25">
      <c r="A124" s="851" t="s">
        <v>331</v>
      </c>
      <c r="B124" s="1168">
        <v>1847.2</v>
      </c>
      <c r="C124" s="1168">
        <v>1975.47</v>
      </c>
      <c r="D124" s="1168">
        <v>2095.96</v>
      </c>
      <c r="E124" s="1168">
        <v>2151.27</v>
      </c>
      <c r="F124" s="1168">
        <v>2201.0700000000002</v>
      </c>
      <c r="G124" s="1168">
        <v>2316.54</v>
      </c>
      <c r="H124" s="1168">
        <v>2441.73</v>
      </c>
      <c r="I124" s="1168">
        <v>2578.5500000000002</v>
      </c>
      <c r="J124" s="1168">
        <v>2718.97</v>
      </c>
      <c r="K124" s="1168">
        <v>2870.2</v>
      </c>
      <c r="L124" s="851">
        <v>2015</v>
      </c>
      <c r="O124" s="156"/>
      <c r="P124" s="156"/>
      <c r="Q124" s="146">
        <f t="shared" si="7"/>
        <v>6.944023386747511E-2</v>
      </c>
      <c r="R124" s="146">
        <f t="shared" si="7"/>
        <v>6.0993080127767163E-2</v>
      </c>
      <c r="S124" s="146">
        <f t="shared" si="7"/>
        <v>2.638886238286986E-2</v>
      </c>
      <c r="T124" s="146">
        <f t="shared" si="6"/>
        <v>2.3149116568352834E-2</v>
      </c>
      <c r="U124" s="146">
        <f t="shared" si="6"/>
        <v>5.2460848587277953E-2</v>
      </c>
      <c r="V124" s="146">
        <f t="shared" si="6"/>
        <v>5.4041803724520276E-2</v>
      </c>
      <c r="W124" s="146">
        <f t="shared" si="6"/>
        <v>5.6034041437833082E-2</v>
      </c>
      <c r="X124" s="146">
        <f t="shared" si="4"/>
        <v>5.4456962246223428E-2</v>
      </c>
      <c r="Y124" s="146">
        <f t="shared" si="4"/>
        <v>5.5620326814933563E-2</v>
      </c>
    </row>
    <row r="125" spans="1:25">
      <c r="A125" s="851" t="s">
        <v>332</v>
      </c>
      <c r="B125" s="851">
        <v>462.02800000000002</v>
      </c>
      <c r="C125" s="851">
        <v>481.61200000000002</v>
      </c>
      <c r="D125" s="851">
        <v>409.21499999999997</v>
      </c>
      <c r="E125" s="851">
        <v>411.786</v>
      </c>
      <c r="F125" s="851">
        <v>420.75</v>
      </c>
      <c r="G125" s="851">
        <v>446.94400000000002</v>
      </c>
      <c r="H125" s="851">
        <v>465.50200000000001</v>
      </c>
      <c r="I125" s="851">
        <v>489.73399999999998</v>
      </c>
      <c r="J125" s="851">
        <v>511.59399999999999</v>
      </c>
      <c r="K125" s="851">
        <v>535.22299999999996</v>
      </c>
      <c r="L125" s="851">
        <v>2009</v>
      </c>
      <c r="O125" s="156"/>
      <c r="P125" s="156"/>
      <c r="Q125" s="146">
        <f t="shared" si="7"/>
        <v>4.2387041478005649E-2</v>
      </c>
      <c r="R125" s="146">
        <f t="shared" si="7"/>
        <v>-0.15032225110670006</v>
      </c>
      <c r="S125" s="146">
        <f t="shared" si="7"/>
        <v>6.28276089586155E-3</v>
      </c>
      <c r="T125" s="146">
        <f t="shared" si="6"/>
        <v>2.176858853870689E-2</v>
      </c>
      <c r="U125" s="146">
        <f t="shared" si="6"/>
        <v>6.2255496137849198E-2</v>
      </c>
      <c r="V125" s="146">
        <f t="shared" si="6"/>
        <v>4.1521980382329682E-2</v>
      </c>
      <c r="W125" s="146">
        <f t="shared" si="6"/>
        <v>5.2055630265820385E-2</v>
      </c>
      <c r="X125" s="146">
        <f t="shared" si="4"/>
        <v>4.4636476127857261E-2</v>
      </c>
      <c r="Y125" s="146">
        <f t="shared" si="4"/>
        <v>4.6187015484935312E-2</v>
      </c>
    </row>
    <row r="126" spans="1:25">
      <c r="A126" s="851" t="s">
        <v>333</v>
      </c>
      <c r="B126" s="1168">
        <v>3042.05</v>
      </c>
      <c r="C126" s="1168">
        <v>3268.39</v>
      </c>
      <c r="D126" s="1168">
        <v>2763.2</v>
      </c>
      <c r="E126" s="1168">
        <v>2207.86</v>
      </c>
      <c r="F126" s="1168">
        <v>2092.4699999999998</v>
      </c>
      <c r="G126" s="1168">
        <v>2376.0700000000002</v>
      </c>
      <c r="H126" s="1168">
        <v>2692.29</v>
      </c>
      <c r="I126" s="1168">
        <v>2876.83</v>
      </c>
      <c r="J126" s="1168">
        <v>2901.87</v>
      </c>
      <c r="K126" s="1168">
        <v>2929.74</v>
      </c>
      <c r="L126" s="851">
        <v>2012</v>
      </c>
      <c r="O126" s="156"/>
      <c r="P126" s="156"/>
      <c r="Q126" s="146">
        <f t="shared" si="7"/>
        <v>7.4403773770976622E-2</v>
      </c>
      <c r="R126" s="146">
        <f t="shared" si="7"/>
        <v>-0.15456845725265345</v>
      </c>
      <c r="S126" s="146">
        <f t="shared" si="7"/>
        <v>-0.20097712796757372</v>
      </c>
      <c r="T126" s="146">
        <f t="shared" si="6"/>
        <v>-5.2263277562889066E-2</v>
      </c>
      <c r="U126" s="146">
        <f t="shared" si="6"/>
        <v>0.13553360382705626</v>
      </c>
      <c r="V126" s="146">
        <f t="shared" si="6"/>
        <v>0.13308530472587088</v>
      </c>
      <c r="W126" s="146">
        <f t="shared" si="6"/>
        <v>6.8543879002633368E-2</v>
      </c>
      <c r="X126" s="146">
        <f t="shared" si="4"/>
        <v>8.7040249163141681E-3</v>
      </c>
      <c r="Y126" s="146">
        <f t="shared" si="4"/>
        <v>9.6041518055598463E-3</v>
      </c>
    </row>
    <row r="127" spans="1:25">
      <c r="A127" s="851" t="s">
        <v>334</v>
      </c>
      <c r="B127" s="1168">
        <v>102573.67</v>
      </c>
      <c r="C127" s="1168">
        <v>96643.94</v>
      </c>
      <c r="D127" s="1168">
        <v>74264.429999999993</v>
      </c>
      <c r="E127" s="1168">
        <v>70553.11</v>
      </c>
      <c r="F127" s="1168">
        <v>73615.149999999994</v>
      </c>
      <c r="G127" s="1168">
        <v>75340.679999999993</v>
      </c>
      <c r="H127" s="1168">
        <v>76817.740000000005</v>
      </c>
      <c r="I127" s="1168">
        <v>77759.69</v>
      </c>
      <c r="J127" s="1168">
        <v>78620.84</v>
      </c>
      <c r="K127" s="1168">
        <v>79407.460000000006</v>
      </c>
      <c r="L127" s="851">
        <v>2016</v>
      </c>
      <c r="O127" s="156"/>
      <c r="P127" s="156"/>
      <c r="Q127" s="146">
        <f t="shared" si="7"/>
        <v>-5.7809474887658752E-2</v>
      </c>
      <c r="R127" s="146">
        <f t="shared" si="7"/>
        <v>-0.23156661452337324</v>
      </c>
      <c r="S127" s="146">
        <f t="shared" si="7"/>
        <v>-4.9974395548447514E-2</v>
      </c>
      <c r="T127" s="146">
        <f t="shared" si="6"/>
        <v>4.3400496448703585E-2</v>
      </c>
      <c r="U127" s="146">
        <f t="shared" si="6"/>
        <v>2.3439876166794438E-2</v>
      </c>
      <c r="V127" s="146">
        <f t="shared" si="6"/>
        <v>1.9605079221477917E-2</v>
      </c>
      <c r="W127" s="146">
        <f t="shared" si="6"/>
        <v>1.2262141531370174E-2</v>
      </c>
      <c r="X127" s="146">
        <f t="shared" si="4"/>
        <v>1.1074504026443499E-2</v>
      </c>
      <c r="Y127" s="146">
        <f t="shared" si="4"/>
        <v>1.0005235253146783E-2</v>
      </c>
    </row>
    <row r="128" spans="1:25">
      <c r="A128" s="851" t="s">
        <v>335</v>
      </c>
      <c r="B128" s="1168">
        <v>21963.05</v>
      </c>
      <c r="C128" s="1168">
        <v>21802.61</v>
      </c>
      <c r="D128" s="1168">
        <v>18485.32</v>
      </c>
      <c r="E128" s="1168">
        <v>16535.060000000001</v>
      </c>
      <c r="F128" s="1168">
        <v>17406.009999999998</v>
      </c>
      <c r="G128" s="1168">
        <v>17664.18</v>
      </c>
      <c r="H128" s="1168">
        <v>18263.5</v>
      </c>
      <c r="I128" s="1168">
        <v>18541.560000000001</v>
      </c>
      <c r="J128" s="1168">
        <v>18826.419999999998</v>
      </c>
      <c r="K128" s="1168">
        <v>19149.46</v>
      </c>
      <c r="L128" s="851">
        <v>2015</v>
      </c>
      <c r="O128" s="156"/>
      <c r="P128" s="156"/>
      <c r="Q128" s="146">
        <f t="shared" si="7"/>
        <v>-7.3049963461357947E-3</v>
      </c>
      <c r="R128" s="146">
        <f t="shared" si="7"/>
        <v>-0.15215104980550498</v>
      </c>
      <c r="S128" s="146">
        <f t="shared" si="7"/>
        <v>-0.10550317765664852</v>
      </c>
      <c r="T128" s="146">
        <f t="shared" si="6"/>
        <v>5.2672926496789119E-2</v>
      </c>
      <c r="U128" s="146">
        <f t="shared" si="6"/>
        <v>1.4832233234382874E-2</v>
      </c>
      <c r="V128" s="146">
        <f t="shared" si="6"/>
        <v>3.3928549188244173E-2</v>
      </c>
      <c r="W128" s="146">
        <f t="shared" si="6"/>
        <v>1.522490212719374E-2</v>
      </c>
      <c r="X128" s="146">
        <f t="shared" si="4"/>
        <v>1.5363324337326345E-2</v>
      </c>
      <c r="Y128" s="146">
        <f t="shared" si="4"/>
        <v>1.7158865041787097E-2</v>
      </c>
    </row>
    <row r="129" spans="1:25">
      <c r="A129" s="851" t="s">
        <v>337</v>
      </c>
      <c r="B129" s="1168">
        <v>13005.32</v>
      </c>
      <c r="C129" s="1168">
        <v>13917.02</v>
      </c>
      <c r="D129" s="1168">
        <v>16642.53</v>
      </c>
      <c r="E129" s="1168">
        <v>17175.45</v>
      </c>
      <c r="F129" s="1168">
        <v>17570.490000000002</v>
      </c>
      <c r="G129" s="1168">
        <v>18720.400000000001</v>
      </c>
      <c r="H129" s="1168">
        <v>19756.509999999998</v>
      </c>
      <c r="I129" s="1168">
        <v>20550.68</v>
      </c>
      <c r="J129" s="1168">
        <v>21169.24</v>
      </c>
      <c r="K129" s="1168">
        <v>21806.41</v>
      </c>
      <c r="L129" s="851">
        <v>2015</v>
      </c>
      <c r="O129" s="156"/>
      <c r="P129" s="156"/>
      <c r="Q129" s="146">
        <f t="shared" si="7"/>
        <v>7.0102081302113373E-2</v>
      </c>
      <c r="R129" s="146">
        <f t="shared" si="7"/>
        <v>0.19584005771350466</v>
      </c>
      <c r="S129" s="146">
        <f t="shared" si="7"/>
        <v>3.2021573642949885E-2</v>
      </c>
      <c r="T129" s="146">
        <f t="shared" si="6"/>
        <v>2.3000270735264561E-2</v>
      </c>
      <c r="U129" s="146">
        <f t="shared" si="6"/>
        <v>6.54455282692743E-2</v>
      </c>
      <c r="V129" s="146">
        <f t="shared" si="6"/>
        <v>5.5346573791158038E-2</v>
      </c>
      <c r="W129" s="146">
        <f t="shared" si="6"/>
        <v>4.0197889202090886E-2</v>
      </c>
      <c r="X129" s="146">
        <f t="shared" si="4"/>
        <v>3.0099247324176126E-2</v>
      </c>
      <c r="Y129" s="146">
        <f t="shared" si="4"/>
        <v>3.0098860422008489E-2</v>
      </c>
    </row>
    <row r="130" spans="1:25">
      <c r="A130" s="851" t="s">
        <v>338</v>
      </c>
      <c r="B130" s="1168">
        <v>11648.74</v>
      </c>
      <c r="C130" s="1168">
        <v>12563.85</v>
      </c>
      <c r="D130" s="1168">
        <v>13113.71</v>
      </c>
      <c r="E130" s="1168">
        <v>13670.34</v>
      </c>
      <c r="F130" s="1168">
        <v>14409.3</v>
      </c>
      <c r="G130" s="1168">
        <v>15312.83</v>
      </c>
      <c r="H130" s="1168">
        <v>16361.8</v>
      </c>
      <c r="I130" s="1168">
        <v>17444.310000000001</v>
      </c>
      <c r="J130" s="1168">
        <v>18475</v>
      </c>
      <c r="K130" s="1168">
        <v>19561.13</v>
      </c>
      <c r="L130" s="851">
        <v>2013</v>
      </c>
      <c r="O130" s="156"/>
      <c r="P130" s="156"/>
      <c r="Q130" s="146">
        <f t="shared" si="7"/>
        <v>7.8558711070896958E-2</v>
      </c>
      <c r="R130" s="146">
        <f t="shared" si="7"/>
        <v>4.3765247117722561E-2</v>
      </c>
      <c r="S130" s="146">
        <f t="shared" si="7"/>
        <v>4.2446416765354877E-2</v>
      </c>
      <c r="T130" s="146">
        <f t="shared" si="6"/>
        <v>5.4055714781051423E-2</v>
      </c>
      <c r="U130" s="146">
        <f t="shared" si="6"/>
        <v>6.2704642140839706E-2</v>
      </c>
      <c r="V130" s="146">
        <f t="shared" si="6"/>
        <v>6.8502686962501391E-2</v>
      </c>
      <c r="W130" s="146">
        <f t="shared" si="6"/>
        <v>6.6160813602415436E-2</v>
      </c>
      <c r="X130" s="146">
        <f t="shared" si="4"/>
        <v>5.9084595492742142E-2</v>
      </c>
      <c r="Y130" s="146">
        <f t="shared" si="4"/>
        <v>5.8789174560216484E-2</v>
      </c>
    </row>
    <row r="131" spans="1:25">
      <c r="A131" s="851" t="s">
        <v>339</v>
      </c>
      <c r="B131" s="1168">
        <v>2894.19</v>
      </c>
      <c r="C131" s="1168">
        <v>3002.21</v>
      </c>
      <c r="D131" s="1168">
        <v>2712.04</v>
      </c>
      <c r="E131" s="1168">
        <v>2588.94</v>
      </c>
      <c r="F131" s="1168">
        <v>2689.74</v>
      </c>
      <c r="G131" s="1168">
        <v>2784.57</v>
      </c>
      <c r="H131" s="1168">
        <v>2831.14</v>
      </c>
      <c r="I131" s="1168">
        <v>2891.08</v>
      </c>
      <c r="J131" s="1168">
        <v>2921.26</v>
      </c>
      <c r="K131" s="1168">
        <v>2805.09</v>
      </c>
      <c r="L131" s="851">
        <v>2012</v>
      </c>
      <c r="O131" s="156"/>
      <c r="P131" s="156"/>
      <c r="Q131" s="146">
        <f t="shared" si="7"/>
        <v>3.7323050663570889E-2</v>
      </c>
      <c r="R131" s="146">
        <f t="shared" si="7"/>
        <v>-9.6652132928742529E-2</v>
      </c>
      <c r="S131" s="146">
        <f t="shared" si="7"/>
        <v>-4.539018598545741E-2</v>
      </c>
      <c r="T131" s="146">
        <f t="shared" si="6"/>
        <v>3.8934853646666046E-2</v>
      </c>
      <c r="U131" s="146">
        <f t="shared" si="6"/>
        <v>3.5256195766133702E-2</v>
      </c>
      <c r="V131" s="146">
        <f t="shared" si="6"/>
        <v>1.6724305727634725E-2</v>
      </c>
      <c r="W131" s="146">
        <f t="shared" si="6"/>
        <v>2.1171683491455706E-2</v>
      </c>
      <c r="X131" s="146">
        <f t="shared" si="4"/>
        <v>1.0439005492757225E-2</v>
      </c>
      <c r="Y131" s="146">
        <f t="shared" si="4"/>
        <v>-3.9767086805008844E-2</v>
      </c>
    </row>
    <row r="132" spans="1:25">
      <c r="A132" s="851" t="s">
        <v>340</v>
      </c>
      <c r="B132" s="1168">
        <v>4416.1899999999996</v>
      </c>
      <c r="C132" s="1168">
        <v>4638.74</v>
      </c>
      <c r="D132" s="1168">
        <v>4038.42</v>
      </c>
      <c r="E132" s="1168">
        <v>4003.28</v>
      </c>
      <c r="F132" s="1168">
        <v>4138.7700000000004</v>
      </c>
      <c r="G132" s="1168">
        <v>4332.33</v>
      </c>
      <c r="H132" s="1168">
        <v>4518.49</v>
      </c>
      <c r="I132" s="1168">
        <v>4723.08</v>
      </c>
      <c r="J132" s="1168">
        <v>4928.33</v>
      </c>
      <c r="K132" s="1168">
        <v>5137.9799999999996</v>
      </c>
      <c r="L132" s="851">
        <v>2015</v>
      </c>
      <c r="O132" s="156"/>
      <c r="P132" s="156"/>
      <c r="Q132" s="146">
        <f t="shared" si="7"/>
        <v>5.0394118006698019E-2</v>
      </c>
      <c r="R132" s="146">
        <f t="shared" si="7"/>
        <v>-0.12941445306268506</v>
      </c>
      <c r="S132" s="146">
        <f t="shared" si="7"/>
        <v>-8.7014228336824706E-3</v>
      </c>
      <c r="T132" s="146">
        <f t="shared" si="6"/>
        <v>3.3844747307208101E-2</v>
      </c>
      <c r="U132" s="146">
        <f t="shared" si="6"/>
        <v>4.6767517885748511E-2</v>
      </c>
      <c r="V132" s="146">
        <f t="shared" si="6"/>
        <v>4.2969949195929225E-2</v>
      </c>
      <c r="W132" s="146">
        <f t="shared" si="6"/>
        <v>4.5278400527609897E-2</v>
      </c>
      <c r="X132" s="146">
        <f t="shared" si="4"/>
        <v>4.345681208025276E-2</v>
      </c>
      <c r="Y132" s="146">
        <f t="shared" si="4"/>
        <v>4.2539764991386564E-2</v>
      </c>
    </row>
    <row r="133" spans="1:25">
      <c r="A133" s="851" t="s">
        <v>341</v>
      </c>
      <c r="B133" s="1168">
        <v>6492.24</v>
      </c>
      <c r="C133" s="1168">
        <v>6592.32</v>
      </c>
      <c r="D133" s="1168">
        <v>6174.07</v>
      </c>
      <c r="E133" s="1168">
        <v>6203.66</v>
      </c>
      <c r="F133" s="1168">
        <v>6598.46</v>
      </c>
      <c r="G133" s="1168">
        <v>6892.22</v>
      </c>
      <c r="H133" s="1168">
        <v>7227.64</v>
      </c>
      <c r="I133" s="1168">
        <v>7579.7</v>
      </c>
      <c r="J133" s="1168">
        <v>7937.92</v>
      </c>
      <c r="K133" s="1168">
        <v>8302.34</v>
      </c>
      <c r="L133" s="851">
        <v>2016</v>
      </c>
      <c r="O133" s="156"/>
      <c r="P133" s="156"/>
      <c r="Q133" s="146">
        <f t="shared" si="7"/>
        <v>1.5415326605300983E-2</v>
      </c>
      <c r="R133" s="146">
        <f t="shared" si="7"/>
        <v>-6.3445039075773035E-2</v>
      </c>
      <c r="S133" s="146">
        <f t="shared" si="7"/>
        <v>4.7926246382046234E-3</v>
      </c>
      <c r="T133" s="146">
        <f t="shared" si="6"/>
        <v>6.363985131357941E-2</v>
      </c>
      <c r="U133" s="146">
        <f t="shared" si="6"/>
        <v>4.4519478787474753E-2</v>
      </c>
      <c r="V133" s="146">
        <f t="shared" si="6"/>
        <v>4.8666467408179148E-2</v>
      </c>
      <c r="W133" s="146">
        <f t="shared" si="6"/>
        <v>4.8710229065088928E-2</v>
      </c>
      <c r="X133" s="146">
        <f t="shared" si="4"/>
        <v>4.7260445664076389E-2</v>
      </c>
      <c r="Y133" s="146">
        <f t="shared" si="4"/>
        <v>4.5908751914859325E-2</v>
      </c>
    </row>
    <row r="134" spans="1:25">
      <c r="A134" s="851" t="s">
        <v>342</v>
      </c>
      <c r="B134" s="1168">
        <v>2768.89</v>
      </c>
      <c r="C134" s="1168">
        <v>2841.91</v>
      </c>
      <c r="D134" s="1168">
        <v>2866.36</v>
      </c>
      <c r="E134" s="1168">
        <v>2926.6</v>
      </c>
      <c r="F134" s="1168">
        <v>3022.45</v>
      </c>
      <c r="G134" s="1168">
        <v>3300.87</v>
      </c>
      <c r="H134" s="1168">
        <v>3596.77</v>
      </c>
      <c r="I134" s="1168">
        <v>3919.61</v>
      </c>
      <c r="J134" s="1168">
        <v>4271.91</v>
      </c>
      <c r="K134" s="1168">
        <v>4631.6400000000003</v>
      </c>
      <c r="L134" s="851">
        <v>2016</v>
      </c>
      <c r="O134" s="156"/>
      <c r="P134" s="156"/>
      <c r="Q134" s="146">
        <f t="shared" si="7"/>
        <v>2.6371578502576876E-2</v>
      </c>
      <c r="R134" s="146">
        <f t="shared" si="7"/>
        <v>8.6033688610829273E-3</v>
      </c>
      <c r="S134" s="146">
        <f t="shared" si="7"/>
        <v>2.1016201733208506E-2</v>
      </c>
      <c r="T134" s="146">
        <f t="shared" si="6"/>
        <v>3.2751315519715662E-2</v>
      </c>
      <c r="U134" s="146">
        <f t="shared" si="6"/>
        <v>9.211732204006684E-2</v>
      </c>
      <c r="V134" s="146">
        <f t="shared" si="6"/>
        <v>8.9643033503288505E-2</v>
      </c>
      <c r="W134" s="146">
        <f t="shared" si="6"/>
        <v>8.9758310928972351E-2</v>
      </c>
      <c r="X134" s="146">
        <f t="shared" si="4"/>
        <v>8.988139126086514E-2</v>
      </c>
      <c r="Y134" s="146">
        <f t="shared" si="4"/>
        <v>8.420823472404626E-2</v>
      </c>
    </row>
    <row r="135" spans="1:25">
      <c r="A135" s="851" t="s">
        <v>343</v>
      </c>
      <c r="B135" s="1168">
        <v>13776.85</v>
      </c>
      <c r="C135" s="1168">
        <v>14336.78</v>
      </c>
      <c r="D135" s="1168">
        <v>12559.41</v>
      </c>
      <c r="E135" s="1168">
        <v>12361.27</v>
      </c>
      <c r="F135" s="1168">
        <v>13429.41</v>
      </c>
      <c r="G135" s="1168">
        <v>15050.29</v>
      </c>
      <c r="H135" s="1168">
        <v>15834.73</v>
      </c>
      <c r="I135" s="1168">
        <v>16687.59</v>
      </c>
      <c r="J135" s="1168">
        <v>17557.16</v>
      </c>
      <c r="K135" s="1168">
        <v>18436.490000000002</v>
      </c>
      <c r="L135" s="851">
        <v>2015</v>
      </c>
      <c r="O135" s="156"/>
      <c r="P135" s="156"/>
      <c r="Q135" s="146">
        <f t="shared" si="7"/>
        <v>4.0642817480048166E-2</v>
      </c>
      <c r="R135" s="146">
        <f t="shared" si="7"/>
        <v>-0.12397274701850769</v>
      </c>
      <c r="S135" s="146">
        <f t="shared" si="7"/>
        <v>-1.5776218787347474E-2</v>
      </c>
      <c r="T135" s="146">
        <f t="shared" si="6"/>
        <v>8.6410215131616619E-2</v>
      </c>
      <c r="U135" s="146">
        <f t="shared" si="6"/>
        <v>0.12069629268895654</v>
      </c>
      <c r="V135" s="146">
        <f t="shared" si="6"/>
        <v>5.2121254806385631E-2</v>
      </c>
      <c r="W135" s="146">
        <f t="shared" si="6"/>
        <v>5.3860091078281824E-2</v>
      </c>
      <c r="X135" s="146">
        <f t="shared" si="4"/>
        <v>5.2108782634280981E-2</v>
      </c>
      <c r="Y135" s="146">
        <f t="shared" si="4"/>
        <v>5.0083840438886584E-2</v>
      </c>
    </row>
    <row r="136" spans="1:25">
      <c r="A136" s="851" t="s">
        <v>344</v>
      </c>
      <c r="B136" s="1168">
        <v>21625.48</v>
      </c>
      <c r="C136" s="1168">
        <v>22112.53</v>
      </c>
      <c r="D136" s="1168">
        <v>19221.87</v>
      </c>
      <c r="E136" s="1168">
        <v>19820.78</v>
      </c>
      <c r="F136" s="1168">
        <v>20575.03</v>
      </c>
      <c r="G136" s="1168">
        <v>21662.66</v>
      </c>
      <c r="H136" s="1168">
        <v>22495.16</v>
      </c>
      <c r="I136" s="1168">
        <v>23329.38</v>
      </c>
      <c r="J136" s="1168">
        <v>24030.31</v>
      </c>
      <c r="K136" s="1168">
        <v>24721.5</v>
      </c>
      <c r="L136" s="851">
        <v>2016</v>
      </c>
      <c r="O136" s="156"/>
      <c r="P136" s="156"/>
      <c r="Q136" s="146">
        <f t="shared" si="7"/>
        <v>2.2522043441347783E-2</v>
      </c>
      <c r="R136" s="146">
        <f t="shared" si="7"/>
        <v>-0.13072497810065153</v>
      </c>
      <c r="S136" s="146">
        <f t="shared" si="7"/>
        <v>3.115773855509385E-2</v>
      </c>
      <c r="T136" s="146">
        <f t="shared" si="6"/>
        <v>3.8053497390112767E-2</v>
      </c>
      <c r="U136" s="146">
        <f t="shared" si="6"/>
        <v>5.2861648318374366E-2</v>
      </c>
      <c r="V136" s="146">
        <f t="shared" si="6"/>
        <v>3.8430183550865804E-2</v>
      </c>
      <c r="W136" s="146">
        <f t="shared" si="6"/>
        <v>3.7084421715604554E-2</v>
      </c>
      <c r="X136" s="146">
        <f t="shared" si="4"/>
        <v>3.0044947615410322E-2</v>
      </c>
      <c r="Y136" s="146">
        <f t="shared" si="4"/>
        <v>2.8763257735751058E-2</v>
      </c>
    </row>
    <row r="137" spans="1:25">
      <c r="A137" s="851" t="s">
        <v>345</v>
      </c>
      <c r="B137" s="1168">
        <v>28513.15</v>
      </c>
      <c r="C137" s="1168">
        <v>28981.34</v>
      </c>
      <c r="D137" s="1168">
        <v>29688.57</v>
      </c>
      <c r="E137" s="1168">
        <v>30790.11</v>
      </c>
      <c r="F137" s="1168">
        <v>30728.81</v>
      </c>
      <c r="G137" s="1168">
        <v>30586.3</v>
      </c>
      <c r="H137" s="1168">
        <v>30664.67</v>
      </c>
      <c r="I137" s="1168">
        <v>30697.25</v>
      </c>
      <c r="J137" s="1168">
        <v>30700.880000000001</v>
      </c>
      <c r="K137" s="1168">
        <v>30779.86</v>
      </c>
      <c r="L137" s="851">
        <v>2016</v>
      </c>
      <c r="O137" s="156"/>
      <c r="P137" s="156"/>
      <c r="Q137" s="146">
        <f t="shared" si="7"/>
        <v>1.642014298665706E-2</v>
      </c>
      <c r="R137" s="146">
        <f t="shared" si="7"/>
        <v>2.4402943411174105E-2</v>
      </c>
      <c r="S137" s="146">
        <f t="shared" si="7"/>
        <v>3.7103167986871854E-2</v>
      </c>
      <c r="T137" s="146">
        <f t="shared" si="6"/>
        <v>-1.9908990256936043E-3</v>
      </c>
      <c r="U137" s="146">
        <f t="shared" si="6"/>
        <v>-4.6376673877056573E-3</v>
      </c>
      <c r="V137" s="146">
        <f t="shared" si="6"/>
        <v>2.5622582659556858E-3</v>
      </c>
      <c r="W137" s="146">
        <f t="shared" si="6"/>
        <v>1.0624604797639936E-3</v>
      </c>
      <c r="X137" s="146">
        <f t="shared" si="4"/>
        <v>1.1825163491852031E-4</v>
      </c>
      <c r="Y137" s="146">
        <f t="shared" si="4"/>
        <v>2.5725646952139414E-3</v>
      </c>
    </row>
    <row r="138" spans="1:25">
      <c r="A138" s="851" t="s">
        <v>346</v>
      </c>
      <c r="B138" s="1168">
        <v>99180.39</v>
      </c>
      <c r="C138" s="1168">
        <v>93054.14</v>
      </c>
      <c r="D138" s="1168">
        <v>67537.19</v>
      </c>
      <c r="E138" s="1168">
        <v>59513.91</v>
      </c>
      <c r="F138" s="1168">
        <v>60811.86</v>
      </c>
      <c r="G138" s="1168">
        <v>65158.6</v>
      </c>
      <c r="H138" s="1168">
        <v>68254.58</v>
      </c>
      <c r="I138" s="1168">
        <v>72563.37</v>
      </c>
      <c r="J138" s="1168">
        <v>77311.16</v>
      </c>
      <c r="K138" s="1168">
        <v>82665.990000000005</v>
      </c>
      <c r="L138" s="851">
        <v>2014</v>
      </c>
      <c r="O138" s="156"/>
      <c r="P138" s="156"/>
      <c r="Q138" s="146">
        <f t="shared" si="7"/>
        <v>-6.1768762958080758E-2</v>
      </c>
      <c r="R138" s="146">
        <f t="shared" si="7"/>
        <v>-0.27421617136002763</v>
      </c>
      <c r="S138" s="146">
        <f t="shared" si="7"/>
        <v>-0.11879795413460348</v>
      </c>
      <c r="T138" s="146">
        <f t="shared" si="6"/>
        <v>2.1809187129529839E-2</v>
      </c>
      <c r="U138" s="146">
        <f t="shared" si="6"/>
        <v>7.1478491202209504E-2</v>
      </c>
      <c r="V138" s="146">
        <f t="shared" si="6"/>
        <v>4.7514526094790233E-2</v>
      </c>
      <c r="W138" s="146">
        <f t="shared" si="6"/>
        <v>6.3128217915925822E-2</v>
      </c>
      <c r="X138" s="146">
        <f t="shared" si="4"/>
        <v>6.542956866529237E-2</v>
      </c>
      <c r="Y138" s="146">
        <f t="shared" si="4"/>
        <v>6.926335085387425E-2</v>
      </c>
    </row>
    <row r="139" spans="1:25">
      <c r="A139" s="851" t="s">
        <v>347</v>
      </c>
      <c r="B139" s="1168">
        <v>9568.36</v>
      </c>
      <c r="C139" s="1168">
        <v>10000.58</v>
      </c>
      <c r="D139" s="1168">
        <v>8934.01</v>
      </c>
      <c r="E139" s="1168">
        <v>9493.42</v>
      </c>
      <c r="F139" s="1168">
        <v>10372.14</v>
      </c>
      <c r="G139" s="1168">
        <v>11817.37</v>
      </c>
      <c r="H139" s="1168">
        <v>12754.03</v>
      </c>
      <c r="I139" s="1168">
        <v>13599.86</v>
      </c>
      <c r="J139" s="1168">
        <v>14417.04</v>
      </c>
      <c r="K139" s="1168">
        <v>14586.88</v>
      </c>
      <c r="L139" s="851">
        <v>2016</v>
      </c>
      <c r="O139" s="156"/>
      <c r="P139" s="156"/>
      <c r="Q139" s="146">
        <f t="shared" si="7"/>
        <v>4.5171795375591905E-2</v>
      </c>
      <c r="R139" s="146">
        <f t="shared" si="7"/>
        <v>-0.10665081425277334</v>
      </c>
      <c r="S139" s="146">
        <f t="shared" si="7"/>
        <v>6.2615779476405287E-2</v>
      </c>
      <c r="T139" s="146">
        <f t="shared" si="6"/>
        <v>9.2560952744111136E-2</v>
      </c>
      <c r="U139" s="146">
        <f t="shared" si="6"/>
        <v>0.13933768730464502</v>
      </c>
      <c r="V139" s="146">
        <f t="shared" si="6"/>
        <v>7.9261290794821582E-2</v>
      </c>
      <c r="W139" s="146">
        <f t="shared" si="6"/>
        <v>6.6318645949554833E-2</v>
      </c>
      <c r="X139" s="146">
        <f t="shared" si="4"/>
        <v>6.0087383252474647E-2</v>
      </c>
      <c r="Y139" s="146">
        <f t="shared" si="4"/>
        <v>1.1780504181163387E-2</v>
      </c>
    </row>
    <row r="140" spans="1:25">
      <c r="A140" s="851" t="s">
        <v>348</v>
      </c>
      <c r="B140" s="1168">
        <v>16022.65</v>
      </c>
      <c r="C140" s="1168">
        <v>14388</v>
      </c>
      <c r="D140" s="1168">
        <v>9521.08</v>
      </c>
      <c r="E140" s="1168">
        <v>8945.64</v>
      </c>
      <c r="F140" s="1168">
        <v>10248.24</v>
      </c>
      <c r="G140" s="1168">
        <v>10630.2</v>
      </c>
      <c r="H140" s="1168">
        <v>11082.17</v>
      </c>
      <c r="I140" s="1168">
        <v>11565.76</v>
      </c>
      <c r="J140" s="1168">
        <v>12092.1</v>
      </c>
      <c r="K140" s="1168">
        <v>12678.34</v>
      </c>
      <c r="L140" s="851">
        <v>2016</v>
      </c>
      <c r="O140" s="156"/>
      <c r="P140" s="156"/>
      <c r="Q140" s="146">
        <f t="shared" si="7"/>
        <v>-0.10202120123699887</v>
      </c>
      <c r="R140" s="146">
        <f t="shared" si="7"/>
        <v>-0.3382624409229914</v>
      </c>
      <c r="S140" s="146">
        <f t="shared" si="7"/>
        <v>-6.0438521680313606E-2</v>
      </c>
      <c r="T140" s="146">
        <f t="shared" si="6"/>
        <v>0.14561283485586274</v>
      </c>
      <c r="U140" s="146">
        <f t="shared" si="6"/>
        <v>3.727078991124344E-2</v>
      </c>
      <c r="V140" s="146">
        <f t="shared" si="6"/>
        <v>4.2517544354762737E-2</v>
      </c>
      <c r="W140" s="146">
        <f t="shared" si="6"/>
        <v>4.3636760670518582E-2</v>
      </c>
      <c r="X140" s="146">
        <f t="shared" si="4"/>
        <v>4.5508466369698075E-2</v>
      </c>
      <c r="Y140" s="146">
        <f t="shared" si="4"/>
        <v>4.8481239817732114E-2</v>
      </c>
    </row>
    <row r="141" spans="1:25">
      <c r="A141" s="851" t="s">
        <v>349</v>
      </c>
      <c r="B141" s="851">
        <v>709.745</v>
      </c>
      <c r="C141" s="851">
        <v>728.14300000000003</v>
      </c>
      <c r="D141" s="851">
        <v>732.37199999999996</v>
      </c>
      <c r="E141" s="851">
        <v>729.09299999999996</v>
      </c>
      <c r="F141" s="851">
        <v>754.13900000000001</v>
      </c>
      <c r="G141" s="851">
        <v>776.20500000000004</v>
      </c>
      <c r="H141" s="851">
        <v>793.524</v>
      </c>
      <c r="I141" s="851">
        <v>832.33100000000002</v>
      </c>
      <c r="J141" s="851">
        <v>890.93299999999999</v>
      </c>
      <c r="K141" s="851">
        <v>953.66</v>
      </c>
      <c r="L141" s="851">
        <v>2012</v>
      </c>
      <c r="O141" s="156"/>
      <c r="P141" s="156"/>
      <c r="Q141" s="146">
        <f t="shared" si="7"/>
        <v>2.5921986065417846E-2</v>
      </c>
      <c r="R141" s="146">
        <f t="shared" si="7"/>
        <v>5.8079250916371894E-3</v>
      </c>
      <c r="S141" s="146">
        <f t="shared" si="7"/>
        <v>-4.4772328816502505E-3</v>
      </c>
      <c r="T141" s="146">
        <f t="shared" si="6"/>
        <v>3.4352270560820131E-2</v>
      </c>
      <c r="U141" s="146">
        <f t="shared" si="6"/>
        <v>2.925985793069974E-2</v>
      </c>
      <c r="V141" s="146">
        <f t="shared" si="6"/>
        <v>2.2312404583840539E-2</v>
      </c>
      <c r="W141" s="146">
        <f t="shared" si="6"/>
        <v>4.8904633004168696E-2</v>
      </c>
      <c r="X141" s="146">
        <f t="shared" si="4"/>
        <v>7.0407085642610889E-2</v>
      </c>
      <c r="Y141" s="146">
        <f t="shared" si="4"/>
        <v>7.0405967676581804E-2</v>
      </c>
    </row>
    <row r="142" spans="1:25">
      <c r="A142" s="851" t="s">
        <v>350</v>
      </c>
      <c r="B142" s="1168">
        <v>4219.07</v>
      </c>
      <c r="C142" s="1168">
        <v>4178.9799999999996</v>
      </c>
      <c r="D142" s="1168">
        <v>4147.7299999999996</v>
      </c>
      <c r="E142" s="1168">
        <v>4024.46</v>
      </c>
      <c r="F142" s="1168">
        <v>4283.0600000000004</v>
      </c>
      <c r="G142" s="1168">
        <v>4386.17</v>
      </c>
      <c r="H142" s="1168">
        <v>4500.37</v>
      </c>
      <c r="I142" s="1168">
        <v>4635.41</v>
      </c>
      <c r="J142" s="1168">
        <v>4772.3100000000004</v>
      </c>
      <c r="K142" s="1168">
        <v>4921.67</v>
      </c>
      <c r="L142" s="851">
        <v>2015</v>
      </c>
      <c r="O142" s="156"/>
      <c r="P142" s="156"/>
      <c r="Q142" s="146">
        <f t="shared" si="7"/>
        <v>-9.5020940633836481E-3</v>
      </c>
      <c r="R142" s="146">
        <f t="shared" si="7"/>
        <v>-7.4779013060602972E-3</v>
      </c>
      <c r="S142" s="146">
        <f t="shared" si="7"/>
        <v>-2.9719870869125864E-2</v>
      </c>
      <c r="T142" s="146">
        <f t="shared" si="6"/>
        <v>6.4257068029002662E-2</v>
      </c>
      <c r="U142" s="146">
        <f t="shared" si="6"/>
        <v>2.4073909774787072E-2</v>
      </c>
      <c r="V142" s="146">
        <f t="shared" si="6"/>
        <v>2.6036382538752401E-2</v>
      </c>
      <c r="W142" s="146">
        <f t="shared" si="6"/>
        <v>3.000642169421619E-2</v>
      </c>
      <c r="X142" s="146">
        <f t="shared" si="4"/>
        <v>2.9533525621250556E-2</v>
      </c>
      <c r="Y142" s="146">
        <f t="shared" si="4"/>
        <v>3.1297212461051327E-2</v>
      </c>
    </row>
    <row r="143" spans="1:25">
      <c r="A143" s="851" t="s">
        <v>351</v>
      </c>
      <c r="B143" s="1168">
        <v>55623.09</v>
      </c>
      <c r="C143" s="1168">
        <v>54768.34</v>
      </c>
      <c r="D143" s="1168">
        <v>46185.02</v>
      </c>
      <c r="E143" s="1168">
        <v>46433.22</v>
      </c>
      <c r="F143" s="1168">
        <v>47302.15</v>
      </c>
      <c r="G143" s="1168">
        <v>49419.92</v>
      </c>
      <c r="H143" s="1168">
        <v>50541.3</v>
      </c>
      <c r="I143" s="1168">
        <v>51616.38</v>
      </c>
      <c r="J143" s="1168">
        <v>52438.78</v>
      </c>
      <c r="K143" s="1168">
        <v>53232.5</v>
      </c>
      <c r="L143" s="851">
        <v>2015</v>
      </c>
      <c r="O143" s="156"/>
      <c r="P143" s="156"/>
      <c r="Q143" s="146">
        <f t="shared" si="7"/>
        <v>-1.5366819786531094E-2</v>
      </c>
      <c r="R143" s="146">
        <f t="shared" si="7"/>
        <v>-0.15672047025708646</v>
      </c>
      <c r="S143" s="146">
        <f t="shared" si="7"/>
        <v>5.3740368630348367E-3</v>
      </c>
      <c r="T143" s="146">
        <f t="shared" si="6"/>
        <v>1.8713541727237493E-2</v>
      </c>
      <c r="U143" s="146">
        <f t="shared" si="6"/>
        <v>4.4771115055023847E-2</v>
      </c>
      <c r="V143" s="146">
        <f t="shared" si="6"/>
        <v>2.2690850167301102E-2</v>
      </c>
      <c r="W143" s="146">
        <f t="shared" si="6"/>
        <v>2.1271316725133493E-2</v>
      </c>
      <c r="X143" s="146">
        <f t="shared" si="6"/>
        <v>1.5932926718223994E-2</v>
      </c>
      <c r="Y143" s="146">
        <f t="shared" ref="Y143:Y171" si="8">K143/J143-1</f>
        <v>1.513612635534245E-2</v>
      </c>
    </row>
    <row r="144" spans="1:25">
      <c r="A144" s="851" t="s">
        <v>619</v>
      </c>
      <c r="B144" s="1168">
        <v>1569.62</v>
      </c>
      <c r="C144" s="1168">
        <v>1760.97</v>
      </c>
      <c r="D144" s="1168">
        <v>1566.7</v>
      </c>
      <c r="E144" s="1168">
        <v>1688.94</v>
      </c>
      <c r="F144" s="1168">
        <v>1749.48</v>
      </c>
      <c r="G144" s="1168">
        <v>1876.28</v>
      </c>
      <c r="H144" s="1168">
        <v>1987.05</v>
      </c>
      <c r="I144" s="1168">
        <v>2105.09</v>
      </c>
      <c r="J144" s="1168">
        <v>2166.62</v>
      </c>
      <c r="K144" s="1168">
        <v>2275.85</v>
      </c>
      <c r="L144" s="851">
        <v>2011</v>
      </c>
      <c r="O144" s="156"/>
      <c r="P144" s="156"/>
      <c r="Q144" s="146">
        <f t="shared" si="7"/>
        <v>0.12190848740459481</v>
      </c>
      <c r="R144" s="146">
        <f t="shared" si="7"/>
        <v>-0.11031988052039499</v>
      </c>
      <c r="S144" s="146">
        <f t="shared" si="7"/>
        <v>7.8023871832514136E-2</v>
      </c>
      <c r="T144" s="146">
        <f t="shared" si="6"/>
        <v>3.5844967849657072E-2</v>
      </c>
      <c r="U144" s="146">
        <f t="shared" si="6"/>
        <v>7.2478679379015531E-2</v>
      </c>
      <c r="V144" s="146">
        <f t="shared" si="6"/>
        <v>5.9037030720361594E-2</v>
      </c>
      <c r="W144" s="146">
        <f t="shared" si="6"/>
        <v>5.940464507687282E-2</v>
      </c>
      <c r="X144" s="146">
        <f t="shared" si="6"/>
        <v>2.922915409792437E-2</v>
      </c>
      <c r="Y144" s="146">
        <f t="shared" si="8"/>
        <v>5.0414932013920222E-2</v>
      </c>
    </row>
    <row r="145" spans="1:25">
      <c r="A145" s="851" t="s">
        <v>353</v>
      </c>
      <c r="B145" s="1168">
        <v>24892.99</v>
      </c>
      <c r="C145" s="1168">
        <v>24580.47</v>
      </c>
      <c r="D145" s="1168">
        <v>21094.59</v>
      </c>
      <c r="E145" s="1168">
        <v>20365</v>
      </c>
      <c r="F145" s="1168">
        <v>20957.21</v>
      </c>
      <c r="G145" s="1168">
        <v>21453.06</v>
      </c>
      <c r="H145" s="1168">
        <v>21764.39</v>
      </c>
      <c r="I145" s="1168">
        <v>22148.09</v>
      </c>
      <c r="J145" s="1168">
        <v>22636.66</v>
      </c>
      <c r="K145" s="1168">
        <v>22763.82</v>
      </c>
      <c r="L145" s="851">
        <v>2015</v>
      </c>
      <c r="O145" s="156"/>
      <c r="P145" s="156"/>
      <c r="Q145" s="146">
        <f t="shared" si="7"/>
        <v>-1.2554538446365893E-2</v>
      </c>
      <c r="R145" s="146">
        <f t="shared" si="7"/>
        <v>-0.1418150263196758</v>
      </c>
      <c r="S145" s="146">
        <f t="shared" si="7"/>
        <v>-3.4586593055375814E-2</v>
      </c>
      <c r="T145" s="146">
        <f t="shared" si="6"/>
        <v>2.9079793763810313E-2</v>
      </c>
      <c r="U145" s="146">
        <f t="shared" si="6"/>
        <v>2.3660115063026232E-2</v>
      </c>
      <c r="V145" s="146">
        <f t="shared" si="6"/>
        <v>1.4512148849627815E-2</v>
      </c>
      <c r="W145" s="146">
        <f t="shared" si="6"/>
        <v>1.7629715328571161E-2</v>
      </c>
      <c r="X145" s="146">
        <f t="shared" si="6"/>
        <v>2.2059238516729973E-2</v>
      </c>
      <c r="Y145" s="146">
        <f t="shared" si="8"/>
        <v>5.6174364946064426E-3</v>
      </c>
    </row>
    <row r="146" spans="1:25">
      <c r="A146" s="851" t="s">
        <v>354</v>
      </c>
      <c r="B146" s="1168">
        <v>1045.9100000000001</v>
      </c>
      <c r="C146" s="1168">
        <v>1044.9100000000001</v>
      </c>
      <c r="D146" s="851">
        <v>903.63099999999997</v>
      </c>
      <c r="E146" s="851">
        <v>943.32600000000002</v>
      </c>
      <c r="F146" s="851">
        <v>998.20100000000002</v>
      </c>
      <c r="G146" s="1168">
        <v>1079.8</v>
      </c>
      <c r="H146" s="1168">
        <v>1144.73</v>
      </c>
      <c r="I146" s="1168">
        <v>1210.1500000000001</v>
      </c>
      <c r="J146" s="1168">
        <v>1274.5999999999999</v>
      </c>
      <c r="K146" s="1168">
        <v>1333.11</v>
      </c>
      <c r="L146" s="851">
        <v>2015</v>
      </c>
      <c r="O146" s="156"/>
      <c r="P146" s="156"/>
      <c r="Q146" s="146">
        <f t="shared" si="7"/>
        <v>-9.5610520981725955E-4</v>
      </c>
      <c r="R146" s="146">
        <f t="shared" si="7"/>
        <v>-0.13520685992095027</v>
      </c>
      <c r="S146" s="146">
        <f t="shared" si="7"/>
        <v>4.3928329152054468E-2</v>
      </c>
      <c r="T146" s="146">
        <f t="shared" si="6"/>
        <v>5.8171830311048334E-2</v>
      </c>
      <c r="U146" s="146">
        <f t="shared" si="6"/>
        <v>8.1746061164033934E-2</v>
      </c>
      <c r="V146" s="146">
        <f t="shared" si="6"/>
        <v>6.0131505834413845E-2</v>
      </c>
      <c r="W146" s="146">
        <f t="shared" si="6"/>
        <v>5.7148847326443875E-2</v>
      </c>
      <c r="X146" s="146">
        <f t="shared" si="6"/>
        <v>5.3257860595793849E-2</v>
      </c>
      <c r="Y146" s="146">
        <f t="shared" si="8"/>
        <v>4.5904597520790791E-2</v>
      </c>
    </row>
    <row r="147" spans="1:25">
      <c r="A147" s="851" t="s">
        <v>355</v>
      </c>
      <c r="B147" s="1168">
        <v>6351.68</v>
      </c>
      <c r="C147" s="1168">
        <v>6199.12</v>
      </c>
      <c r="D147" s="1168">
        <v>5237.25</v>
      </c>
      <c r="E147" s="1168">
        <v>5347.61</v>
      </c>
      <c r="F147" s="1168">
        <v>5599.61</v>
      </c>
      <c r="G147" s="1168">
        <v>6052.24</v>
      </c>
      <c r="H147" s="1168">
        <v>6470.94</v>
      </c>
      <c r="I147" s="1168">
        <v>6961.17</v>
      </c>
      <c r="J147" s="1168">
        <v>7469.28</v>
      </c>
      <c r="K147" s="1168">
        <v>8011.79</v>
      </c>
      <c r="L147" s="851">
        <v>2016</v>
      </c>
      <c r="O147" s="156"/>
      <c r="P147" s="156"/>
      <c r="Q147" s="146">
        <f t="shared" si="7"/>
        <v>-2.4018842259055928E-2</v>
      </c>
      <c r="R147" s="146">
        <f t="shared" si="7"/>
        <v>-0.15516234562324971</v>
      </c>
      <c r="S147" s="146">
        <f t="shared" si="7"/>
        <v>2.1072127547854258E-2</v>
      </c>
      <c r="T147" s="146">
        <f t="shared" si="6"/>
        <v>4.7123855329764153E-2</v>
      </c>
      <c r="U147" s="146">
        <f t="shared" si="6"/>
        <v>8.0832415114624023E-2</v>
      </c>
      <c r="V147" s="146">
        <f t="shared" si="6"/>
        <v>6.9180997448878401E-2</v>
      </c>
      <c r="W147" s="146">
        <f t="shared" si="6"/>
        <v>7.5758699663418305E-2</v>
      </c>
      <c r="X147" s="146">
        <f t="shared" si="6"/>
        <v>7.2992040131184766E-2</v>
      </c>
      <c r="Y147" s="146">
        <f t="shared" si="8"/>
        <v>7.2632168026904864E-2</v>
      </c>
    </row>
    <row r="148" spans="1:25">
      <c r="A148" s="851" t="s">
        <v>356</v>
      </c>
      <c r="B148" s="1168">
        <v>14762.22</v>
      </c>
      <c r="C148" s="1168">
        <v>14701.37</v>
      </c>
      <c r="D148" s="1168">
        <v>14782.72</v>
      </c>
      <c r="E148" s="1168">
        <v>15234</v>
      </c>
      <c r="F148" s="1168">
        <v>15658.06</v>
      </c>
      <c r="G148" s="1168">
        <v>16312.56</v>
      </c>
      <c r="H148" s="1168">
        <v>17116.34</v>
      </c>
      <c r="I148" s="1168">
        <v>17943.98</v>
      </c>
      <c r="J148" s="1168">
        <v>18871.810000000001</v>
      </c>
      <c r="K148" s="1168">
        <v>19743.96</v>
      </c>
      <c r="L148" s="851">
        <v>2015</v>
      </c>
      <c r="O148" s="156"/>
      <c r="P148" s="156"/>
      <c r="Q148" s="146">
        <f t="shared" si="7"/>
        <v>-4.1220087493614166E-3</v>
      </c>
      <c r="R148" s="146">
        <f t="shared" si="7"/>
        <v>5.53349789849511E-3</v>
      </c>
      <c r="S148" s="146">
        <f t="shared" si="7"/>
        <v>3.0527534851502391E-2</v>
      </c>
      <c r="T148" s="146">
        <f t="shared" si="6"/>
        <v>2.7836418537481977E-2</v>
      </c>
      <c r="U148" s="146">
        <f t="shared" si="6"/>
        <v>4.1799558821463245E-2</v>
      </c>
      <c r="V148" s="146">
        <f t="shared" si="6"/>
        <v>4.9273688495245382E-2</v>
      </c>
      <c r="W148" s="146">
        <f t="shared" si="6"/>
        <v>4.8353795262304766E-2</v>
      </c>
      <c r="X148" s="146">
        <f t="shared" si="6"/>
        <v>5.1707034894153958E-2</v>
      </c>
      <c r="Y148" s="146">
        <f t="shared" si="8"/>
        <v>4.6214433061799509E-2</v>
      </c>
    </row>
    <row r="149" spans="1:25">
      <c r="A149" s="851" t="s">
        <v>357</v>
      </c>
      <c r="B149" s="851">
        <v>805.26499999999999</v>
      </c>
      <c r="C149" s="851">
        <v>803.36099999999999</v>
      </c>
      <c r="D149" s="851">
        <v>672.89099999999996</v>
      </c>
      <c r="E149" s="851">
        <v>577.13300000000004</v>
      </c>
      <c r="F149" s="851">
        <v>593.90300000000002</v>
      </c>
      <c r="G149" s="851">
        <v>616.84199999999998</v>
      </c>
      <c r="H149" s="851">
        <v>648.23599999999999</v>
      </c>
      <c r="I149" s="851">
        <v>688.89</v>
      </c>
      <c r="J149" s="851">
        <v>735.37300000000005</v>
      </c>
      <c r="K149" s="851">
        <v>786.39200000000005</v>
      </c>
      <c r="L149" s="851">
        <v>2016</v>
      </c>
      <c r="O149" s="156"/>
      <c r="P149" s="156"/>
      <c r="Q149" s="146">
        <f t="shared" si="7"/>
        <v>-2.3644390355970213E-3</v>
      </c>
      <c r="R149" s="146">
        <f t="shared" si="7"/>
        <v>-0.16240519517377616</v>
      </c>
      <c r="S149" s="146">
        <f t="shared" si="7"/>
        <v>-0.1423083382003919</v>
      </c>
      <c r="T149" s="146">
        <f t="shared" si="6"/>
        <v>2.9057426970906075E-2</v>
      </c>
      <c r="U149" s="146">
        <f t="shared" si="6"/>
        <v>3.8624152428931913E-2</v>
      </c>
      <c r="V149" s="146">
        <f t="shared" si="6"/>
        <v>5.0894718582716436E-2</v>
      </c>
      <c r="W149" s="146">
        <f t="shared" si="6"/>
        <v>6.271481374067478E-2</v>
      </c>
      <c r="X149" s="146">
        <f t="shared" si="6"/>
        <v>6.7475213749655261E-2</v>
      </c>
      <c r="Y149" s="146">
        <f t="shared" si="8"/>
        <v>6.9378397085560595E-2</v>
      </c>
    </row>
    <row r="150" spans="1:25">
      <c r="A150" s="851" t="s">
        <v>358</v>
      </c>
      <c r="B150" s="1168">
        <v>56028.800000000003</v>
      </c>
      <c r="C150" s="1168">
        <v>56338.3</v>
      </c>
      <c r="D150" s="1168">
        <v>53628.76</v>
      </c>
      <c r="E150" s="1168">
        <v>52960.56</v>
      </c>
      <c r="F150" s="1168">
        <v>53880.13</v>
      </c>
      <c r="G150" s="1168">
        <v>55231.38</v>
      </c>
      <c r="H150" s="1168">
        <v>56679.16</v>
      </c>
      <c r="I150" s="1168">
        <v>58229.04</v>
      </c>
      <c r="J150" s="1168">
        <v>59877.04</v>
      </c>
      <c r="K150" s="1168">
        <v>61623.93</v>
      </c>
      <c r="L150" s="851">
        <v>2016</v>
      </c>
      <c r="O150" s="156"/>
      <c r="P150" s="156"/>
      <c r="Q150" s="146">
        <f t="shared" si="7"/>
        <v>5.5239448283739279E-3</v>
      </c>
      <c r="R150" s="146">
        <f t="shared" si="7"/>
        <v>-4.8094102945953288E-2</v>
      </c>
      <c r="S150" s="146">
        <f t="shared" si="7"/>
        <v>-1.2459732427152925E-2</v>
      </c>
      <c r="T150" s="146">
        <f t="shared" si="6"/>
        <v>1.7363298273281202E-2</v>
      </c>
      <c r="U150" s="146">
        <f t="shared" si="6"/>
        <v>2.5078818480950282E-2</v>
      </c>
      <c r="V150" s="146">
        <f t="shared" si="6"/>
        <v>2.6212997031759944E-2</v>
      </c>
      <c r="W150" s="146">
        <f t="shared" si="6"/>
        <v>2.7344794806415607E-2</v>
      </c>
      <c r="X150" s="146">
        <f t="shared" si="6"/>
        <v>2.830202936541637E-2</v>
      </c>
      <c r="Y150" s="146">
        <f t="shared" si="8"/>
        <v>2.9174621858395033E-2</v>
      </c>
    </row>
    <row r="151" spans="1:25">
      <c r="A151" s="851" t="s">
        <v>359</v>
      </c>
      <c r="B151" s="1168">
        <v>18205.88</v>
      </c>
      <c r="C151" s="1168">
        <v>18633.72</v>
      </c>
      <c r="D151" s="1168">
        <v>16105.15</v>
      </c>
      <c r="E151" s="1168">
        <v>16498.53</v>
      </c>
      <c r="F151" s="1168">
        <v>17491.099999999999</v>
      </c>
      <c r="G151" s="1168">
        <v>19128.150000000001</v>
      </c>
      <c r="H151" s="1168">
        <v>20239.37</v>
      </c>
      <c r="I151" s="1168">
        <v>21330.880000000001</v>
      </c>
      <c r="J151" s="1168">
        <v>22386.11</v>
      </c>
      <c r="K151" s="1168">
        <v>23451.58</v>
      </c>
      <c r="L151" s="851">
        <v>2016</v>
      </c>
      <c r="O151" s="156"/>
      <c r="P151" s="156"/>
      <c r="Q151" s="146">
        <f t="shared" si="7"/>
        <v>2.3500099967702859E-2</v>
      </c>
      <c r="R151" s="146">
        <f t="shared" si="7"/>
        <v>-0.13569861519868287</v>
      </c>
      <c r="S151" s="146">
        <f t="shared" si="7"/>
        <v>2.4425727174226752E-2</v>
      </c>
      <c r="T151" s="146">
        <f t="shared" si="6"/>
        <v>6.0161117384397222E-2</v>
      </c>
      <c r="U151" s="146">
        <f t="shared" si="6"/>
        <v>9.3593313170698522E-2</v>
      </c>
      <c r="V151" s="146">
        <f t="shared" si="6"/>
        <v>5.8093438204949166E-2</v>
      </c>
      <c r="W151" s="146">
        <f t="shared" si="6"/>
        <v>5.3930038336173602E-2</v>
      </c>
      <c r="X151" s="146">
        <f t="shared" si="6"/>
        <v>4.9469595253454068E-2</v>
      </c>
      <c r="Y151" s="146">
        <f t="shared" si="8"/>
        <v>4.7595138235271728E-2</v>
      </c>
    </row>
    <row r="152" spans="1:25">
      <c r="A152" s="851" t="s">
        <v>360</v>
      </c>
      <c r="B152" s="1168">
        <v>23378.09</v>
      </c>
      <c r="C152" s="1168">
        <v>24251.42</v>
      </c>
      <c r="D152" s="1168">
        <v>20890.3</v>
      </c>
      <c r="E152" s="1168">
        <v>21668.09</v>
      </c>
      <c r="F152" s="1168">
        <v>23276.5</v>
      </c>
      <c r="G152" s="1168">
        <v>25329.75</v>
      </c>
      <c r="H152" s="1168">
        <v>26480.79</v>
      </c>
      <c r="I152" s="1168">
        <v>27488.65</v>
      </c>
      <c r="J152" s="1168">
        <v>28435.11</v>
      </c>
      <c r="K152" s="1168">
        <v>29402.11</v>
      </c>
      <c r="L152" s="851">
        <v>2016</v>
      </c>
      <c r="O152" s="156"/>
      <c r="P152" s="156"/>
      <c r="Q152" s="146">
        <f t="shared" si="7"/>
        <v>3.7356772944239669E-2</v>
      </c>
      <c r="R152" s="146">
        <f t="shared" si="7"/>
        <v>-0.13859477094537143</v>
      </c>
      <c r="S152" s="146">
        <f t="shared" si="7"/>
        <v>3.7232112511548454E-2</v>
      </c>
      <c r="T152" s="146">
        <f t="shared" si="6"/>
        <v>7.4229431389660983E-2</v>
      </c>
      <c r="U152" s="146">
        <f t="shared" si="6"/>
        <v>8.8211286061048666E-2</v>
      </c>
      <c r="V152" s="146">
        <f t="shared" si="6"/>
        <v>4.5442217155716058E-2</v>
      </c>
      <c r="W152" s="146">
        <f t="shared" si="6"/>
        <v>3.8060042770627245E-2</v>
      </c>
      <c r="X152" s="146">
        <f t="shared" si="6"/>
        <v>3.4430937859807553E-2</v>
      </c>
      <c r="Y152" s="146">
        <f t="shared" si="8"/>
        <v>3.4007253708531415E-2</v>
      </c>
    </row>
    <row r="153" spans="1:25">
      <c r="A153" s="851" t="s">
        <v>361</v>
      </c>
      <c r="B153" s="1168">
        <v>2010.29</v>
      </c>
      <c r="C153" s="1168">
        <v>2042.09</v>
      </c>
      <c r="D153" s="1168">
        <v>1971.55</v>
      </c>
      <c r="E153" s="1168">
        <v>2053.17</v>
      </c>
      <c r="F153" s="1168">
        <v>2074.15</v>
      </c>
      <c r="G153" s="1168">
        <v>2187.8200000000002</v>
      </c>
      <c r="H153" s="1168">
        <v>2272.88</v>
      </c>
      <c r="I153" s="1168">
        <v>2362.9699999999998</v>
      </c>
      <c r="J153" s="1168">
        <v>2462.6</v>
      </c>
      <c r="K153" s="1168">
        <v>2570.23</v>
      </c>
      <c r="L153" s="851">
        <v>2014</v>
      </c>
      <c r="O153" s="156"/>
      <c r="P153" s="156"/>
      <c r="Q153" s="146">
        <f t="shared" si="7"/>
        <v>1.5818613234906298E-2</v>
      </c>
      <c r="R153" s="146">
        <f t="shared" si="7"/>
        <v>-3.4543041687682741E-2</v>
      </c>
      <c r="S153" s="146">
        <f t="shared" si="7"/>
        <v>4.1398899343156437E-2</v>
      </c>
      <c r="T153" s="146">
        <f t="shared" si="6"/>
        <v>1.0218345290453401E-2</v>
      </c>
      <c r="U153" s="146">
        <f t="shared" si="6"/>
        <v>5.4803172383868226E-2</v>
      </c>
      <c r="V153" s="146">
        <f t="shared" si="6"/>
        <v>3.8878884003254344E-2</v>
      </c>
      <c r="W153" s="146">
        <f t="shared" si="6"/>
        <v>3.9636936397873912E-2</v>
      </c>
      <c r="X153" s="146">
        <f t="shared" si="6"/>
        <v>4.2163040580286637E-2</v>
      </c>
      <c r="Y153" s="146">
        <f t="shared" si="8"/>
        <v>4.3705839356777521E-2</v>
      </c>
    </row>
    <row r="154" spans="1:25">
      <c r="A154" s="851" t="s">
        <v>362</v>
      </c>
      <c r="B154" s="1168">
        <v>6907.23</v>
      </c>
      <c r="C154" s="1168">
        <v>6512.76</v>
      </c>
      <c r="D154" s="1168">
        <v>5800.33</v>
      </c>
      <c r="E154" s="1168">
        <v>5302.04</v>
      </c>
      <c r="F154" s="1168">
        <v>6089.22</v>
      </c>
      <c r="G154" s="1168">
        <v>6291.72</v>
      </c>
      <c r="H154" s="1168">
        <v>6417.94</v>
      </c>
      <c r="I154" s="1168">
        <v>6576.58</v>
      </c>
      <c r="J154" s="1168">
        <v>6717.63</v>
      </c>
      <c r="K154" s="1168">
        <v>6859.74</v>
      </c>
      <c r="L154" s="851">
        <v>2016</v>
      </c>
      <c r="O154" s="156"/>
      <c r="P154" s="156"/>
      <c r="Q154" s="146">
        <f t="shared" si="7"/>
        <v>-5.710972415859894E-2</v>
      </c>
      <c r="R154" s="146">
        <f t="shared" si="7"/>
        <v>-0.10938987464607941</v>
      </c>
      <c r="S154" s="146">
        <f t="shared" si="7"/>
        <v>-8.5907181143141886E-2</v>
      </c>
      <c r="T154" s="146">
        <f t="shared" si="6"/>
        <v>0.14846738236603274</v>
      </c>
      <c r="U154" s="146">
        <f t="shared" si="6"/>
        <v>3.3255490851044955E-2</v>
      </c>
      <c r="V154" s="146">
        <f t="shared" si="6"/>
        <v>2.006128689770037E-2</v>
      </c>
      <c r="W154" s="146">
        <f t="shared" si="6"/>
        <v>2.4718211762652764E-2</v>
      </c>
      <c r="X154" s="146">
        <f t="shared" si="6"/>
        <v>2.1447317602766303E-2</v>
      </c>
      <c r="Y154" s="146">
        <f t="shared" si="8"/>
        <v>2.1154782266960215E-2</v>
      </c>
    </row>
    <row r="155" spans="1:25">
      <c r="A155" s="851" t="s">
        <v>363</v>
      </c>
      <c r="B155" s="1168">
        <v>1372.93</v>
      </c>
      <c r="C155" s="1168">
        <v>1326.35</v>
      </c>
      <c r="D155" s="1168">
        <v>1049.77</v>
      </c>
      <c r="E155" s="851">
        <v>244.46799999999999</v>
      </c>
      <c r="F155" s="851">
        <v>221.90799999999999</v>
      </c>
      <c r="G155" s="851">
        <v>223.46</v>
      </c>
      <c r="H155" s="851">
        <v>212.541</v>
      </c>
      <c r="I155" s="851">
        <v>214.74600000000001</v>
      </c>
      <c r="J155" s="851">
        <v>230.32400000000001</v>
      </c>
      <c r="K155" s="851">
        <v>231.68</v>
      </c>
      <c r="L155" s="851">
        <v>2008</v>
      </c>
      <c r="O155" s="156"/>
      <c r="P155" s="156"/>
      <c r="Q155" s="146">
        <f t="shared" si="7"/>
        <v>-3.3927439854908981E-2</v>
      </c>
      <c r="R155" s="146">
        <f t="shared" si="7"/>
        <v>-0.20852716100576763</v>
      </c>
      <c r="S155" s="146">
        <f t="shared" si="7"/>
        <v>-0.76712232203244524</v>
      </c>
      <c r="T155" s="146">
        <f t="shared" si="6"/>
        <v>-9.2282016460232041E-2</v>
      </c>
      <c r="U155" s="146">
        <f t="shared" si="6"/>
        <v>6.9938893595544727E-3</v>
      </c>
      <c r="V155" s="146">
        <f t="shared" si="6"/>
        <v>-4.8863331244965558E-2</v>
      </c>
      <c r="W155" s="146">
        <f t="shared" si="6"/>
        <v>1.0374468925995473E-2</v>
      </c>
      <c r="X155" s="146">
        <f t="shared" si="6"/>
        <v>7.2541514160915588E-2</v>
      </c>
      <c r="Y155" s="146">
        <f t="shared" si="8"/>
        <v>5.8873586773413589E-3</v>
      </c>
    </row>
    <row r="156" spans="1:25">
      <c r="A156" s="851" t="s">
        <v>364</v>
      </c>
      <c r="B156" s="1168">
        <v>29236.04</v>
      </c>
      <c r="C156" s="1168">
        <v>29663.94</v>
      </c>
      <c r="D156" s="1168">
        <v>25717.56</v>
      </c>
      <c r="E156" s="1168">
        <v>26565.15</v>
      </c>
      <c r="F156" s="1168">
        <v>28212.46</v>
      </c>
      <c r="G156" s="1168">
        <v>30689.49</v>
      </c>
      <c r="H156" s="1168">
        <v>32023.79</v>
      </c>
      <c r="I156" s="1168">
        <v>33241.82</v>
      </c>
      <c r="J156" s="1168">
        <v>34304.620000000003</v>
      </c>
      <c r="K156" s="1168">
        <v>35399.620000000003</v>
      </c>
      <c r="L156" s="851">
        <v>2016</v>
      </c>
      <c r="O156" s="156"/>
      <c r="P156" s="156"/>
      <c r="Q156" s="146">
        <f t="shared" si="7"/>
        <v>1.4636045100499206E-2</v>
      </c>
      <c r="R156" s="146">
        <f t="shared" si="7"/>
        <v>-0.13303627232255721</v>
      </c>
      <c r="S156" s="146">
        <f t="shared" si="7"/>
        <v>3.2957636727590112E-2</v>
      </c>
      <c r="T156" s="146">
        <f t="shared" si="6"/>
        <v>6.2010190042216973E-2</v>
      </c>
      <c r="U156" s="146">
        <f t="shared" si="6"/>
        <v>8.7799149737385562E-2</v>
      </c>
      <c r="V156" s="146">
        <f t="shared" si="6"/>
        <v>4.3477425007714343E-2</v>
      </c>
      <c r="W156" s="146">
        <f t="shared" si="6"/>
        <v>3.8035160735190976E-2</v>
      </c>
      <c r="X156" s="146">
        <f t="shared" si="6"/>
        <v>3.1971775311941508E-2</v>
      </c>
      <c r="Y156" s="146">
        <f t="shared" si="8"/>
        <v>3.1919898835783611E-2</v>
      </c>
    </row>
    <row r="157" spans="1:25">
      <c r="A157" s="851" t="s">
        <v>365</v>
      </c>
      <c r="B157" s="1168">
        <v>3576.2</v>
      </c>
      <c r="C157" s="1168">
        <v>3784.45</v>
      </c>
      <c r="D157" s="1168">
        <v>3769.53</v>
      </c>
      <c r="E157" s="1168">
        <v>3788.76</v>
      </c>
      <c r="F157" s="1168">
        <v>3905.6</v>
      </c>
      <c r="G157" s="1168">
        <v>4049.35</v>
      </c>
      <c r="H157" s="1168">
        <v>4336.12</v>
      </c>
      <c r="I157" s="1168">
        <v>4650.46</v>
      </c>
      <c r="J157" s="1168">
        <v>4986.4799999999996</v>
      </c>
      <c r="K157" s="1168">
        <v>5340.46</v>
      </c>
      <c r="L157" s="851">
        <v>2012</v>
      </c>
      <c r="O157" s="156"/>
      <c r="P157" s="156"/>
      <c r="Q157" s="146">
        <f t="shared" si="7"/>
        <v>5.8232201778424031E-2</v>
      </c>
      <c r="R157" s="146">
        <f t="shared" si="7"/>
        <v>-3.9424487045672807E-3</v>
      </c>
      <c r="S157" s="146">
        <f t="shared" si="7"/>
        <v>5.1014317434798784E-3</v>
      </c>
      <c r="T157" s="146">
        <f t="shared" si="6"/>
        <v>3.0838585711419952E-2</v>
      </c>
      <c r="U157" s="146">
        <f t="shared" si="6"/>
        <v>3.6806124539123353E-2</v>
      </c>
      <c r="V157" s="146">
        <f t="shared" si="6"/>
        <v>7.0818773383382494E-2</v>
      </c>
      <c r="W157" s="146">
        <f t="shared" si="6"/>
        <v>7.249338117948767E-2</v>
      </c>
      <c r="X157" s="146">
        <f t="shared" si="6"/>
        <v>7.2255217763403934E-2</v>
      </c>
      <c r="Y157" s="146">
        <f t="shared" si="8"/>
        <v>7.0987951420641515E-2</v>
      </c>
    </row>
    <row r="158" spans="1:25">
      <c r="A158" s="851" t="s">
        <v>366</v>
      </c>
      <c r="B158" s="1168">
        <v>14514.72</v>
      </c>
      <c r="C158" s="1168">
        <v>15429.86</v>
      </c>
      <c r="D158" s="1168">
        <v>15765.53</v>
      </c>
      <c r="E158" s="1168">
        <v>15991.47</v>
      </c>
      <c r="F158" s="1168">
        <v>16490.509999999998</v>
      </c>
      <c r="G158" s="1168">
        <v>17210.18</v>
      </c>
      <c r="H158" s="1168">
        <v>17922.400000000001</v>
      </c>
      <c r="I158" s="1168">
        <v>18639.490000000002</v>
      </c>
      <c r="J158" s="1168">
        <v>19324.05</v>
      </c>
      <c r="K158" s="1168">
        <v>20035.759999999998</v>
      </c>
      <c r="L158" s="851">
        <v>2003</v>
      </c>
      <c r="O158" s="156"/>
      <c r="P158" s="156"/>
      <c r="Q158" s="146">
        <f t="shared" si="7"/>
        <v>6.3049097743532068E-2</v>
      </c>
      <c r="R158" s="146">
        <f t="shared" si="7"/>
        <v>2.1754571979266224E-2</v>
      </c>
      <c r="S158" s="146">
        <f t="shared" si="7"/>
        <v>1.4331265742413946E-2</v>
      </c>
      <c r="T158" s="146">
        <f t="shared" si="6"/>
        <v>3.120663703837101E-2</v>
      </c>
      <c r="U158" s="146">
        <f t="shared" si="6"/>
        <v>4.3641464090558912E-2</v>
      </c>
      <c r="V158" s="146">
        <f t="shared" si="6"/>
        <v>4.1383646190801038E-2</v>
      </c>
      <c r="W158" s="146">
        <f t="shared" si="6"/>
        <v>4.0010824443154958E-2</v>
      </c>
      <c r="X158" s="146">
        <f t="shared" si="6"/>
        <v>3.672632673962628E-2</v>
      </c>
      <c r="Y158" s="146">
        <f t="shared" si="8"/>
        <v>3.6830271087064936E-2</v>
      </c>
    </row>
    <row r="159" spans="1:25">
      <c r="A159" s="851" t="s">
        <v>367</v>
      </c>
      <c r="B159" s="1168">
        <v>8726.0499999999993</v>
      </c>
      <c r="C159" s="1168">
        <v>9009.44</v>
      </c>
      <c r="D159" s="1168">
        <v>9513.91</v>
      </c>
      <c r="E159" s="1168">
        <v>9600.7199999999993</v>
      </c>
      <c r="F159" s="1168">
        <v>9780.17</v>
      </c>
      <c r="G159" s="1168">
        <v>10072.02</v>
      </c>
      <c r="H159" s="1168">
        <v>10380.120000000001</v>
      </c>
      <c r="I159" s="1168">
        <v>10620.67</v>
      </c>
      <c r="J159" s="1168">
        <v>10863.89</v>
      </c>
      <c r="K159" s="1168">
        <v>11121.56</v>
      </c>
      <c r="L159" s="851">
        <v>2012</v>
      </c>
      <c r="O159" s="156"/>
      <c r="P159" s="156"/>
      <c r="Q159" s="146">
        <f t="shared" si="7"/>
        <v>3.2476320901209776E-2</v>
      </c>
      <c r="R159" s="146">
        <f t="shared" si="7"/>
        <v>5.5993491271377538E-2</v>
      </c>
      <c r="S159" s="146">
        <f t="shared" si="7"/>
        <v>9.1245344973831521E-3</v>
      </c>
      <c r="T159" s="146">
        <f t="shared" si="6"/>
        <v>1.8691306485347114E-2</v>
      </c>
      <c r="U159" s="146">
        <f t="shared" si="6"/>
        <v>2.9840994583938851E-2</v>
      </c>
      <c r="V159" s="146">
        <f t="shared" si="6"/>
        <v>3.0589693030792287E-2</v>
      </c>
      <c r="W159" s="146">
        <f t="shared" si="6"/>
        <v>2.3174105887022511E-2</v>
      </c>
      <c r="X159" s="146">
        <f t="shared" si="6"/>
        <v>2.2900626796614532E-2</v>
      </c>
      <c r="Y159" s="146">
        <f t="shared" si="8"/>
        <v>2.3718023654510478E-2</v>
      </c>
    </row>
    <row r="160" spans="1:25">
      <c r="A160" s="851" t="s">
        <v>368</v>
      </c>
      <c r="B160" s="1168">
        <v>6569.79</v>
      </c>
      <c r="C160" s="1168">
        <v>6617.94</v>
      </c>
      <c r="D160" s="1168">
        <v>6865.65</v>
      </c>
      <c r="E160" s="1168">
        <v>6991.78</v>
      </c>
      <c r="F160" s="1168">
        <v>7395.66</v>
      </c>
      <c r="G160" s="1168">
        <v>7706.62</v>
      </c>
      <c r="H160" s="1168">
        <v>8056.96</v>
      </c>
      <c r="I160" s="1168">
        <v>8412.1</v>
      </c>
      <c r="J160" s="1168">
        <v>8787.2099999999991</v>
      </c>
      <c r="K160" s="1168">
        <v>9163.19</v>
      </c>
      <c r="L160" s="851">
        <v>2016</v>
      </c>
      <c r="O160" s="156"/>
      <c r="P160" s="156"/>
      <c r="Q160" s="146">
        <f t="shared" si="7"/>
        <v>7.3290013836058154E-3</v>
      </c>
      <c r="R160" s="146">
        <f t="shared" si="7"/>
        <v>3.7430076428616843E-2</v>
      </c>
      <c r="S160" s="146">
        <f t="shared" si="7"/>
        <v>1.8371166604764344E-2</v>
      </c>
      <c r="T160" s="146">
        <f t="shared" si="6"/>
        <v>5.7764975442591071E-2</v>
      </c>
      <c r="U160" s="146">
        <f t="shared" si="6"/>
        <v>4.2046281197350988E-2</v>
      </c>
      <c r="V160" s="146">
        <f t="shared" si="6"/>
        <v>4.5459617835056143E-2</v>
      </c>
      <c r="W160" s="146">
        <f t="shared" si="6"/>
        <v>4.4078659941218623E-2</v>
      </c>
      <c r="X160" s="146">
        <f t="shared" si="6"/>
        <v>4.4591719071337632E-2</v>
      </c>
      <c r="Y160" s="146">
        <f t="shared" si="8"/>
        <v>4.2787187286977391E-2</v>
      </c>
    </row>
    <row r="161" spans="1:25">
      <c r="A161" s="851" t="s">
        <v>369</v>
      </c>
      <c r="B161" s="1168">
        <v>1811.41</v>
      </c>
      <c r="C161" s="1168">
        <v>1906.2</v>
      </c>
      <c r="D161" s="1168">
        <v>2118.98</v>
      </c>
      <c r="E161" s="1168">
        <v>2304.11</v>
      </c>
      <c r="F161" s="1168">
        <v>2917.4</v>
      </c>
      <c r="G161" s="1168">
        <v>3458.78</v>
      </c>
      <c r="H161" s="1168">
        <v>3998.93</v>
      </c>
      <c r="I161" s="1168">
        <v>4567.25</v>
      </c>
      <c r="J161" s="1168">
        <v>5219.53</v>
      </c>
      <c r="K161" s="1168">
        <v>5923.84</v>
      </c>
      <c r="L161" s="851">
        <v>2010</v>
      </c>
      <c r="O161" s="156"/>
      <c r="P161" s="156"/>
      <c r="Q161" s="146">
        <f t="shared" si="7"/>
        <v>5.2329400853478703E-2</v>
      </c>
      <c r="R161" s="146">
        <f t="shared" si="7"/>
        <v>0.11162522295666766</v>
      </c>
      <c r="S161" s="146">
        <f t="shared" si="7"/>
        <v>8.7367507008088818E-2</v>
      </c>
      <c r="T161" s="146">
        <f t="shared" si="6"/>
        <v>0.26617218795977626</v>
      </c>
      <c r="U161" s="146">
        <f t="shared" si="6"/>
        <v>0.185569342565298</v>
      </c>
      <c r="V161" s="146">
        <f t="shared" si="6"/>
        <v>0.15616778170337509</v>
      </c>
      <c r="W161" s="146">
        <f t="shared" si="6"/>
        <v>0.14211801656943246</v>
      </c>
      <c r="X161" s="146">
        <f t="shared" si="6"/>
        <v>0.14281679347528597</v>
      </c>
      <c r="Y161" s="146">
        <f t="shared" si="8"/>
        <v>0.13493743689565929</v>
      </c>
    </row>
    <row r="162" spans="1:25">
      <c r="A162" s="851" t="s">
        <v>370</v>
      </c>
      <c r="B162" s="1168">
        <v>9412.64</v>
      </c>
      <c r="C162" s="1168">
        <v>9501.11</v>
      </c>
      <c r="D162" s="1168">
        <v>8767.9699999999993</v>
      </c>
      <c r="E162" s="1168">
        <v>6429.63</v>
      </c>
      <c r="F162" s="1168">
        <v>6415.72</v>
      </c>
      <c r="G162" s="1168">
        <v>6922.95</v>
      </c>
      <c r="H162" s="1168">
        <v>7472.38</v>
      </c>
      <c r="I162" s="1168">
        <v>7660.52</v>
      </c>
      <c r="J162" s="1168">
        <v>7818.44</v>
      </c>
      <c r="K162" s="1168">
        <v>8035.47</v>
      </c>
      <c r="L162" s="851">
        <v>2014</v>
      </c>
      <c r="O162" s="156"/>
      <c r="P162" s="156"/>
      <c r="Q162" s="146">
        <f t="shared" si="7"/>
        <v>9.3990633871050555E-3</v>
      </c>
      <c r="R162" s="146">
        <f t="shared" si="7"/>
        <v>-7.7163615619648795E-2</v>
      </c>
      <c r="S162" s="146">
        <f t="shared" si="7"/>
        <v>-0.26669114971880603</v>
      </c>
      <c r="T162" s="146">
        <f t="shared" si="6"/>
        <v>-2.1634215343651064E-3</v>
      </c>
      <c r="U162" s="146">
        <f t="shared" si="6"/>
        <v>7.906049515876612E-2</v>
      </c>
      <c r="V162" s="146">
        <f t="shared" si="6"/>
        <v>7.9363566109823092E-2</v>
      </c>
      <c r="W162" s="146">
        <f t="shared" si="6"/>
        <v>2.5178055719864423E-2</v>
      </c>
      <c r="X162" s="146">
        <f t="shared" si="6"/>
        <v>2.0614788552212993E-2</v>
      </c>
      <c r="Y162" s="146">
        <f t="shared" si="8"/>
        <v>2.7758734479000902E-2</v>
      </c>
    </row>
    <row r="163" spans="1:25">
      <c r="A163" s="851" t="s">
        <v>371</v>
      </c>
      <c r="B163" s="1168">
        <v>4046.01</v>
      </c>
      <c r="C163" s="1168">
        <v>3890.36</v>
      </c>
      <c r="D163" s="1168">
        <v>3511.76</v>
      </c>
      <c r="E163" s="1168">
        <v>3343.14</v>
      </c>
      <c r="F163" s="1168">
        <v>3513.22</v>
      </c>
      <c r="G163" s="1168">
        <v>3458.89</v>
      </c>
      <c r="H163" s="1168">
        <v>3443.18</v>
      </c>
      <c r="I163" s="1168">
        <v>3471.14</v>
      </c>
      <c r="J163" s="1168">
        <v>3519.72</v>
      </c>
      <c r="K163" s="1168">
        <v>3565.39</v>
      </c>
      <c r="L163" s="851">
        <v>2015</v>
      </c>
      <c r="O163" s="156"/>
      <c r="P163" s="156"/>
      <c r="Q163" s="146">
        <f t="shared" si="7"/>
        <v>-3.8469998838361774E-2</v>
      </c>
      <c r="R163" s="146">
        <f t="shared" si="7"/>
        <v>-9.7317471904913688E-2</v>
      </c>
      <c r="S163" s="146">
        <f t="shared" si="7"/>
        <v>-4.8015809736428605E-2</v>
      </c>
      <c r="T163" s="146">
        <f t="shared" si="6"/>
        <v>5.0874327727824742E-2</v>
      </c>
      <c r="U163" s="146">
        <f t="shared" si="6"/>
        <v>-1.5464445722157993E-2</v>
      </c>
      <c r="V163" s="146">
        <f t="shared" si="6"/>
        <v>-4.5419195175331328E-3</v>
      </c>
      <c r="W163" s="146">
        <f t="shared" si="6"/>
        <v>8.1204003276040826E-3</v>
      </c>
      <c r="X163" s="146">
        <f t="shared" si="6"/>
        <v>1.3995402086922404E-2</v>
      </c>
      <c r="Y163" s="146">
        <f t="shared" si="8"/>
        <v>1.2975463957360267E-2</v>
      </c>
    </row>
    <row r="164" spans="1:25">
      <c r="A164" s="851" t="s">
        <v>372</v>
      </c>
      <c r="B164" s="1168">
        <v>60005.2</v>
      </c>
      <c r="C164" s="1168">
        <v>58869.07</v>
      </c>
      <c r="D164" s="1168">
        <v>50319.11</v>
      </c>
      <c r="E164" s="1168">
        <v>51124.76</v>
      </c>
      <c r="F164" s="1168">
        <v>53248.14</v>
      </c>
      <c r="G164" s="1168">
        <v>57782.82</v>
      </c>
      <c r="H164" s="1168">
        <v>59852.58</v>
      </c>
      <c r="I164" s="1168">
        <v>61934.65</v>
      </c>
      <c r="J164" s="1168">
        <v>64069.91</v>
      </c>
      <c r="K164" s="1168">
        <v>66336.66</v>
      </c>
      <c r="L164" s="851">
        <v>2016</v>
      </c>
      <c r="O164" s="156"/>
      <c r="P164" s="156"/>
      <c r="Q164" s="146">
        <f t="shared" si="7"/>
        <v>-1.8933859065547565E-2</v>
      </c>
      <c r="R164" s="146">
        <f t="shared" si="7"/>
        <v>-0.14523687906060001</v>
      </c>
      <c r="S164" s="146">
        <f t="shared" si="7"/>
        <v>1.6010815771582587E-2</v>
      </c>
      <c r="T164" s="146">
        <f t="shared" si="6"/>
        <v>4.1533300107423399E-2</v>
      </c>
      <c r="U164" s="146">
        <f t="shared" si="6"/>
        <v>8.5161284506839019E-2</v>
      </c>
      <c r="V164" s="146">
        <f t="shared" si="6"/>
        <v>3.5819643278053981E-2</v>
      </c>
      <c r="W164" s="146">
        <f t="shared" si="6"/>
        <v>3.4786637434844003E-2</v>
      </c>
      <c r="X164" s="146">
        <f t="shared" si="6"/>
        <v>3.4476016252614761E-2</v>
      </c>
      <c r="Y164" s="146">
        <f t="shared" si="8"/>
        <v>3.5379322368331634E-2</v>
      </c>
    </row>
    <row r="165" spans="1:25">
      <c r="A165" s="851" t="s">
        <v>172</v>
      </c>
      <c r="B165" s="1168">
        <v>85670.720000000001</v>
      </c>
      <c r="C165" s="1168">
        <v>87132.56</v>
      </c>
      <c r="D165" s="1168">
        <v>82441.509999999995</v>
      </c>
      <c r="E165" s="1168">
        <v>80345.62</v>
      </c>
      <c r="F165" s="1168">
        <v>80836.66</v>
      </c>
      <c r="G165" s="1168">
        <v>83264.179999999993</v>
      </c>
      <c r="H165" s="1168">
        <v>84665.279999999999</v>
      </c>
      <c r="I165" s="1168">
        <v>85996.71</v>
      </c>
      <c r="J165" s="1168">
        <v>87187.58</v>
      </c>
      <c r="K165" s="1168">
        <v>88357.08</v>
      </c>
      <c r="L165" s="851">
        <v>2016</v>
      </c>
      <c r="O165" s="156"/>
      <c r="P165" s="156"/>
      <c r="Q165" s="146">
        <f t="shared" si="7"/>
        <v>1.7063472794438983E-2</v>
      </c>
      <c r="R165" s="146">
        <f t="shared" si="7"/>
        <v>-5.3838083031188422E-2</v>
      </c>
      <c r="S165" s="146">
        <f t="shared" si="7"/>
        <v>-2.5422751232965002E-2</v>
      </c>
      <c r="T165" s="146">
        <f t="shared" si="6"/>
        <v>6.1115963757576441E-3</v>
      </c>
      <c r="U165" s="146">
        <f t="shared" si="6"/>
        <v>3.0029939386411852E-2</v>
      </c>
      <c r="V165" s="146">
        <f t="shared" si="6"/>
        <v>1.6827163853652349E-2</v>
      </c>
      <c r="W165" s="146">
        <f t="shared" si="6"/>
        <v>1.5725808737655056E-2</v>
      </c>
      <c r="X165" s="146">
        <f t="shared" si="6"/>
        <v>1.3847855342372872E-2</v>
      </c>
      <c r="Y165" s="146">
        <f t="shared" si="8"/>
        <v>1.3413607763858026E-2</v>
      </c>
    </row>
    <row r="166" spans="1:25">
      <c r="A166" s="851" t="s">
        <v>374</v>
      </c>
      <c r="B166" s="1168">
        <v>21887.99</v>
      </c>
      <c r="C166" s="1168">
        <v>22638.92</v>
      </c>
      <c r="D166" s="1168">
        <v>22358.02</v>
      </c>
      <c r="E166" s="1168">
        <v>22497</v>
      </c>
      <c r="F166" s="1168">
        <v>24226.79</v>
      </c>
      <c r="G166" s="1168">
        <v>24889.46</v>
      </c>
      <c r="H166" s="1168">
        <v>25539.14</v>
      </c>
      <c r="I166" s="1168">
        <v>26346.38</v>
      </c>
      <c r="J166" s="1168">
        <v>27125.919999999998</v>
      </c>
      <c r="K166" s="1168">
        <v>27781.19</v>
      </c>
      <c r="L166" s="851">
        <v>2015</v>
      </c>
      <c r="O166" s="156"/>
      <c r="P166" s="156"/>
      <c r="Q166" s="146">
        <f t="shared" si="7"/>
        <v>3.4307855586556579E-2</v>
      </c>
      <c r="R166" s="146">
        <f t="shared" si="7"/>
        <v>-1.2407835709477233E-2</v>
      </c>
      <c r="S166" s="146">
        <f t="shared" si="7"/>
        <v>6.2161139492673545E-3</v>
      </c>
      <c r="T166" s="146">
        <f t="shared" si="6"/>
        <v>7.688980752989294E-2</v>
      </c>
      <c r="U166" s="146">
        <f t="shared" si="6"/>
        <v>2.7352777648214976E-2</v>
      </c>
      <c r="V166" s="146">
        <f t="shared" si="6"/>
        <v>2.6102615323916334E-2</v>
      </c>
      <c r="W166" s="146">
        <f t="shared" si="6"/>
        <v>3.1607955475399852E-2</v>
      </c>
      <c r="X166" s="146">
        <f t="shared" si="6"/>
        <v>2.9588125579301572E-2</v>
      </c>
      <c r="Y166" s="146">
        <f t="shared" si="8"/>
        <v>2.4156600034210829E-2</v>
      </c>
    </row>
    <row r="167" spans="1:25">
      <c r="A167" s="851" t="s">
        <v>375</v>
      </c>
      <c r="B167" s="1168">
        <v>1046.07</v>
      </c>
      <c r="C167" s="1168">
        <v>1113.24</v>
      </c>
      <c r="D167" s="851">
        <v>926.87699999999995</v>
      </c>
      <c r="E167" s="851">
        <v>799.82600000000002</v>
      </c>
      <c r="F167" s="851">
        <v>818.62900000000002</v>
      </c>
      <c r="G167" s="851">
        <v>790.67</v>
      </c>
      <c r="H167" s="851">
        <v>825.81700000000001</v>
      </c>
      <c r="I167" s="851">
        <v>860.33600000000001</v>
      </c>
      <c r="J167" s="851">
        <v>896.20500000000004</v>
      </c>
      <c r="K167" s="851">
        <v>932.54</v>
      </c>
      <c r="L167" s="851">
        <v>2014</v>
      </c>
      <c r="O167" s="156"/>
      <c r="P167" s="156"/>
      <c r="Q167" s="146">
        <f t="shared" si="7"/>
        <v>6.421176403108797E-2</v>
      </c>
      <c r="R167" s="146">
        <f t="shared" si="7"/>
        <v>-0.16740595019941795</v>
      </c>
      <c r="S167" s="146">
        <f t="shared" si="7"/>
        <v>-0.13707428277969991</v>
      </c>
      <c r="T167" s="146">
        <f t="shared" si="6"/>
        <v>2.3508863177741146E-2</v>
      </c>
      <c r="U167" s="146">
        <f t="shared" si="6"/>
        <v>-3.415344435635681E-2</v>
      </c>
      <c r="V167" s="146">
        <f t="shared" si="6"/>
        <v>4.4452173473130463E-2</v>
      </c>
      <c r="W167" s="146">
        <f t="shared" si="6"/>
        <v>4.1799817635141956E-2</v>
      </c>
      <c r="X167" s="146">
        <f t="shared" si="6"/>
        <v>4.1691850625801941E-2</v>
      </c>
      <c r="Y167" s="146">
        <f t="shared" si="8"/>
        <v>4.0543179294915799E-2</v>
      </c>
    </row>
    <row r="168" spans="1:25">
      <c r="A168" s="851" t="s">
        <v>376</v>
      </c>
      <c r="B168" s="851">
        <v>969.14800000000002</v>
      </c>
      <c r="C168" s="1168">
        <v>1032.3399999999999</v>
      </c>
      <c r="D168" s="851">
        <v>956.90599999999995</v>
      </c>
      <c r="E168" s="851">
        <v>979.84500000000003</v>
      </c>
      <c r="F168" s="1168">
        <v>1040.51</v>
      </c>
      <c r="G168" s="1168">
        <v>1118.25</v>
      </c>
      <c r="H168" s="1168">
        <v>1195.0899999999999</v>
      </c>
      <c r="I168" s="1168">
        <v>1275.6099999999999</v>
      </c>
      <c r="J168" s="1168">
        <v>1359.65</v>
      </c>
      <c r="K168" s="1168">
        <v>1448.19</v>
      </c>
      <c r="L168" s="851">
        <v>2012</v>
      </c>
      <c r="O168" s="156"/>
      <c r="P168" s="156"/>
      <c r="Q168" s="146">
        <f t="shared" si="7"/>
        <v>6.5203663423955671E-2</v>
      </c>
      <c r="R168" s="146">
        <f t="shared" si="7"/>
        <v>-7.3070887498304815E-2</v>
      </c>
      <c r="S168" s="146">
        <f t="shared" si="7"/>
        <v>2.3972051591274468E-2</v>
      </c>
      <c r="T168" s="146">
        <f t="shared" si="6"/>
        <v>6.1912853563573789E-2</v>
      </c>
      <c r="U168" s="146">
        <f t="shared" si="6"/>
        <v>7.4713361716850502E-2</v>
      </c>
      <c r="V168" s="146">
        <f t="shared" si="6"/>
        <v>6.8714509277889579E-2</v>
      </c>
      <c r="W168" s="146">
        <f t="shared" si="6"/>
        <v>6.7375678819168394E-2</v>
      </c>
      <c r="X168" s="146">
        <f t="shared" si="6"/>
        <v>6.5882205376251557E-2</v>
      </c>
      <c r="Y168" s="146">
        <f t="shared" si="8"/>
        <v>6.511969992277411E-2</v>
      </c>
    </row>
    <row r="169" spans="1:25">
      <c r="A169" s="851" t="s">
        <v>377</v>
      </c>
      <c r="B169" s="1168">
        <v>6157.36</v>
      </c>
      <c r="C169" s="1168">
        <v>5921.09</v>
      </c>
      <c r="D169" s="1168">
        <v>5799.19</v>
      </c>
      <c r="E169" s="1168">
        <v>5901.75</v>
      </c>
      <c r="F169" s="1168">
        <v>6336.34</v>
      </c>
      <c r="G169" s="1168">
        <v>6744.84</v>
      </c>
      <c r="H169" s="1168">
        <v>7193.98</v>
      </c>
      <c r="I169" s="1168">
        <v>7605.92</v>
      </c>
      <c r="J169" s="1168">
        <v>8016.26</v>
      </c>
      <c r="K169" s="1168">
        <v>8444.16</v>
      </c>
      <c r="L169" s="851">
        <v>2015</v>
      </c>
      <c r="O169" s="156"/>
      <c r="P169" s="156"/>
      <c r="Q169" s="146">
        <f t="shared" si="7"/>
        <v>-3.8371964608208686E-2</v>
      </c>
      <c r="R169" s="146">
        <f t="shared" si="7"/>
        <v>-2.0587425626025002E-2</v>
      </c>
      <c r="S169" s="146">
        <f t="shared" si="7"/>
        <v>1.7685228454318747E-2</v>
      </c>
      <c r="T169" s="146">
        <f t="shared" si="6"/>
        <v>7.3637480408353495E-2</v>
      </c>
      <c r="U169" s="146">
        <f t="shared" si="6"/>
        <v>6.4469394003478397E-2</v>
      </c>
      <c r="V169" s="146">
        <f t="shared" si="6"/>
        <v>6.6590163739984831E-2</v>
      </c>
      <c r="W169" s="146">
        <f t="shared" si="6"/>
        <v>5.7261766087756794E-2</v>
      </c>
      <c r="X169" s="146">
        <f t="shared" si="6"/>
        <v>5.3950080989545013E-2</v>
      </c>
      <c r="Y169" s="146">
        <f t="shared" si="8"/>
        <v>5.3379007167931203E-2</v>
      </c>
    </row>
    <row r="170" spans="1:25">
      <c r="A170" s="851" t="s">
        <v>378</v>
      </c>
      <c r="B170" s="1168">
        <v>4998.1400000000003</v>
      </c>
      <c r="C170" s="1168">
        <v>3491.91</v>
      </c>
      <c r="D170" s="1168">
        <v>2618.5300000000002</v>
      </c>
      <c r="E170" s="1168">
        <v>2229.9899999999998</v>
      </c>
      <c r="F170" s="1168">
        <v>2189.9499999999998</v>
      </c>
      <c r="G170" s="1168">
        <v>2240.11</v>
      </c>
      <c r="H170" s="1168">
        <v>2254.6999999999998</v>
      </c>
      <c r="I170" s="1168">
        <v>2297.7600000000002</v>
      </c>
      <c r="J170" s="1168">
        <v>2378.37</v>
      </c>
      <c r="K170" s="1168">
        <v>2514.31</v>
      </c>
      <c r="L170" s="851">
        <v>2015</v>
      </c>
      <c r="O170" s="156"/>
      <c r="P170" s="156"/>
      <c r="Q170" s="146">
        <f t="shared" si="7"/>
        <v>-0.30135810521514006</v>
      </c>
      <c r="R170" s="146">
        <f t="shared" si="7"/>
        <v>-0.25011526643011983</v>
      </c>
      <c r="S170" s="146">
        <f t="shared" si="7"/>
        <v>-0.14838096183736693</v>
      </c>
      <c r="T170" s="146">
        <f t="shared" si="6"/>
        <v>-1.795523746743255E-2</v>
      </c>
      <c r="U170" s="146">
        <f t="shared" si="6"/>
        <v>2.2904632525856838E-2</v>
      </c>
      <c r="V170" s="146">
        <f t="shared" si="6"/>
        <v>6.5130730187354935E-3</v>
      </c>
      <c r="W170" s="146">
        <f t="shared" si="6"/>
        <v>1.909788441921334E-2</v>
      </c>
      <c r="X170" s="146">
        <f t="shared" si="6"/>
        <v>3.5081992897430414E-2</v>
      </c>
      <c r="Y170" s="146">
        <f t="shared" si="8"/>
        <v>5.7156792256881861E-2</v>
      </c>
    </row>
    <row r="171" spans="1:25">
      <c r="A171" s="851" t="s">
        <v>379</v>
      </c>
      <c r="B171" s="851">
        <v>623.75900000000001</v>
      </c>
      <c r="C171" s="851">
        <v>648.18600000000004</v>
      </c>
      <c r="D171" s="851">
        <v>569.76400000000001</v>
      </c>
      <c r="E171" s="851">
        <v>590.45399999999995</v>
      </c>
      <c r="F171" s="851">
        <v>621.83100000000002</v>
      </c>
      <c r="G171" s="851">
        <v>674.72500000000002</v>
      </c>
      <c r="H171" s="851">
        <v>707.92200000000003</v>
      </c>
      <c r="I171" s="851">
        <v>743.41800000000001</v>
      </c>
      <c r="J171" s="851">
        <v>776.73699999999997</v>
      </c>
      <c r="K171" s="851">
        <v>814.38800000000003</v>
      </c>
      <c r="L171" s="851">
        <v>2013</v>
      </c>
      <c r="O171" s="156"/>
      <c r="P171" s="156"/>
      <c r="Q171" s="146">
        <f t="shared" si="7"/>
        <v>3.9160957998201296E-2</v>
      </c>
      <c r="R171" s="146">
        <f t="shared" si="7"/>
        <v>-0.12098687722351309</v>
      </c>
      <c r="S171" s="146">
        <f t="shared" si="7"/>
        <v>3.6313280586347974E-2</v>
      </c>
      <c r="T171" s="146">
        <f t="shared" si="6"/>
        <v>5.3140464794886766E-2</v>
      </c>
      <c r="U171" s="146">
        <f t="shared" si="6"/>
        <v>8.5061696827594568E-2</v>
      </c>
      <c r="V171" s="146">
        <f t="shared" si="6"/>
        <v>4.9200785505205902E-2</v>
      </c>
      <c r="W171" s="146">
        <f t="shared" si="6"/>
        <v>5.0141117241730093E-2</v>
      </c>
      <c r="X171" s="146">
        <f t="shared" si="6"/>
        <v>4.481866191025774E-2</v>
      </c>
      <c r="Y171" s="146">
        <f t="shared" si="8"/>
        <v>4.8473292761900266E-2</v>
      </c>
    </row>
    <row r="172" spans="1:25">
      <c r="A172" s="851" t="s">
        <v>380</v>
      </c>
      <c r="B172" s="1168">
        <v>4303.08</v>
      </c>
      <c r="C172" s="1168">
        <v>4296.6499999999996</v>
      </c>
      <c r="D172" s="1168">
        <v>3955.5</v>
      </c>
      <c r="E172" s="1168">
        <v>3956.78</v>
      </c>
      <c r="F172" s="1168">
        <v>4176.71</v>
      </c>
      <c r="G172" s="1168">
        <v>4163.96</v>
      </c>
      <c r="H172" s="1168">
        <v>4357.46</v>
      </c>
      <c r="I172" s="1168">
        <v>4539.3100000000004</v>
      </c>
      <c r="J172" s="1168">
        <v>4697.91</v>
      </c>
      <c r="K172" s="1168">
        <v>4838.63</v>
      </c>
      <c r="L172" s="851">
        <v>2016</v>
      </c>
      <c r="O172" s="156"/>
      <c r="P172" s="156"/>
      <c r="Q172" s="146">
        <f t="shared" si="7"/>
        <v>-1.4942785167834094E-3</v>
      </c>
      <c r="R172" s="146">
        <f t="shared" si="7"/>
        <v>-7.9399066714766042E-2</v>
      </c>
      <c r="S172" s="146">
        <f t="shared" si="7"/>
        <v>3.2360005056264463E-4</v>
      </c>
      <c r="T172" s="146">
        <f t="shared" si="6"/>
        <v>5.5583075126744319E-2</v>
      </c>
      <c r="U172" s="146">
        <f t="shared" si="6"/>
        <v>-3.0526419119354387E-3</v>
      </c>
      <c r="V172" s="146">
        <f t="shared" ref="V172:Y190" si="9">H172/G172-1</f>
        <v>4.6470187033496924E-2</v>
      </c>
      <c r="W172" s="146">
        <f t="shared" si="9"/>
        <v>4.1733027956653679E-2</v>
      </c>
      <c r="X172" s="146">
        <f t="shared" si="9"/>
        <v>3.4939230852266023E-2</v>
      </c>
      <c r="Y172" s="146">
        <f t="shared" si="9"/>
        <v>2.9953745388906938E-2</v>
      </c>
    </row>
    <row r="173" spans="1:25">
      <c r="A173" s="851" t="s">
        <v>381</v>
      </c>
      <c r="B173" s="1168">
        <v>19607.86</v>
      </c>
      <c r="C173" s="1168">
        <v>19325.400000000001</v>
      </c>
      <c r="D173" s="1168">
        <v>17321.77</v>
      </c>
      <c r="E173" s="1168">
        <v>15458.76</v>
      </c>
      <c r="F173" s="1168">
        <v>14784.1</v>
      </c>
      <c r="G173" s="1168">
        <v>15076.56</v>
      </c>
      <c r="H173" s="1168">
        <v>15554.67</v>
      </c>
      <c r="I173" s="1168">
        <v>16158.24</v>
      </c>
      <c r="J173" s="1168">
        <v>16783.009999999998</v>
      </c>
      <c r="K173" s="1168">
        <v>17443.240000000002</v>
      </c>
      <c r="L173" s="851">
        <v>2016</v>
      </c>
      <c r="O173" s="156"/>
      <c r="P173" s="156"/>
      <c r="Q173" s="146">
        <f t="shared" si="7"/>
        <v>-1.4405447611315014E-2</v>
      </c>
      <c r="R173" s="146">
        <f t="shared" si="7"/>
        <v>-0.10367857845115758</v>
      </c>
      <c r="S173" s="146">
        <f t="shared" si="7"/>
        <v>-0.10755309647917044</v>
      </c>
      <c r="T173" s="146">
        <f t="shared" si="7"/>
        <v>-4.3642569002947162E-2</v>
      </c>
      <c r="U173" s="146">
        <f t="shared" si="7"/>
        <v>1.9782063162451458E-2</v>
      </c>
      <c r="V173" s="146">
        <f t="shared" si="9"/>
        <v>3.1712141231156288E-2</v>
      </c>
      <c r="W173" s="146">
        <f t="shared" si="9"/>
        <v>3.8803137578617752E-2</v>
      </c>
      <c r="X173" s="146">
        <f t="shared" si="9"/>
        <v>3.8665721019120802E-2</v>
      </c>
      <c r="Y173" s="146">
        <f t="shared" si="9"/>
        <v>3.9339188858256158E-2</v>
      </c>
    </row>
    <row r="174" spans="1:25">
      <c r="A174" s="851" t="s">
        <v>382</v>
      </c>
      <c r="B174" s="1168">
        <v>4248.66</v>
      </c>
      <c r="C174" s="1168">
        <v>4328.63</v>
      </c>
      <c r="D174" s="1168">
        <v>3884.35</v>
      </c>
      <c r="E174" s="1168">
        <v>3748.7</v>
      </c>
      <c r="F174" s="1168">
        <v>3517.52</v>
      </c>
      <c r="G174" s="1168">
        <v>3428.77</v>
      </c>
      <c r="H174" s="1168">
        <v>3565.1</v>
      </c>
      <c r="I174" s="1168">
        <v>3728.28</v>
      </c>
      <c r="J174" s="1168">
        <v>3903.89</v>
      </c>
      <c r="K174" s="1168">
        <v>4094.66</v>
      </c>
      <c r="L174" s="851">
        <v>2011</v>
      </c>
      <c r="O174" s="156"/>
      <c r="P174" s="156"/>
      <c r="Q174" s="146">
        <f t="shared" si="7"/>
        <v>1.8822405181869062E-2</v>
      </c>
      <c r="R174" s="146">
        <f t="shared" si="7"/>
        <v>-0.10263755506938688</v>
      </c>
      <c r="S174" s="146">
        <f t="shared" si="7"/>
        <v>-3.4922187753420819E-2</v>
      </c>
      <c r="T174" s="146">
        <f t="shared" si="7"/>
        <v>-6.1669378717955525E-2</v>
      </c>
      <c r="U174" s="146">
        <f t="shared" si="7"/>
        <v>-2.5230844458595802E-2</v>
      </c>
      <c r="V174" s="146">
        <f t="shared" si="9"/>
        <v>3.976061386444707E-2</v>
      </c>
      <c r="W174" s="146">
        <f t="shared" si="9"/>
        <v>4.5771507110599963E-2</v>
      </c>
      <c r="X174" s="146">
        <f t="shared" si="9"/>
        <v>4.7102148980226799E-2</v>
      </c>
      <c r="Y174" s="146">
        <f t="shared" si="9"/>
        <v>4.8866643271198829E-2</v>
      </c>
    </row>
    <row r="175" spans="1:25">
      <c r="A175" s="851" t="s">
        <v>383</v>
      </c>
      <c r="B175" s="1168">
        <v>12395.39</v>
      </c>
      <c r="C175" s="1168">
        <v>12022.2</v>
      </c>
      <c r="D175" s="1168">
        <v>10914.88</v>
      </c>
      <c r="E175" s="1168">
        <v>10817.41</v>
      </c>
      <c r="F175" s="1168">
        <v>10434.02</v>
      </c>
      <c r="G175" s="1168">
        <v>11124.7</v>
      </c>
      <c r="H175" s="1168">
        <v>11706.89</v>
      </c>
      <c r="I175" s="1168">
        <v>12282.23</v>
      </c>
      <c r="J175" s="1168">
        <v>12841.73</v>
      </c>
      <c r="K175" s="1168">
        <v>13408.73</v>
      </c>
      <c r="L175" s="851">
        <v>2016</v>
      </c>
      <c r="O175" s="156"/>
      <c r="P175" s="156"/>
      <c r="Q175" s="146">
        <f t="shared" si="7"/>
        <v>-3.010716080736453E-2</v>
      </c>
      <c r="R175" s="146">
        <f t="shared" si="7"/>
        <v>-9.210627006704275E-2</v>
      </c>
      <c r="S175" s="146">
        <f t="shared" si="7"/>
        <v>-8.9300111407545346E-3</v>
      </c>
      <c r="T175" s="146">
        <f t="shared" si="7"/>
        <v>-3.5441940353559631E-2</v>
      </c>
      <c r="U175" s="146">
        <f t="shared" si="7"/>
        <v>6.6195004418239556E-2</v>
      </c>
      <c r="V175" s="146">
        <f t="shared" si="9"/>
        <v>5.2333096622830144E-2</v>
      </c>
      <c r="W175" s="146">
        <f t="shared" si="9"/>
        <v>4.9145417783886147E-2</v>
      </c>
      <c r="X175" s="146">
        <f t="shared" si="9"/>
        <v>4.5553616892046511E-2</v>
      </c>
      <c r="Y175" s="146">
        <f t="shared" si="9"/>
        <v>4.4152929550769215E-2</v>
      </c>
    </row>
    <row r="176" spans="1:25">
      <c r="A176" s="851" t="s">
        <v>384</v>
      </c>
      <c r="B176" s="1168">
        <v>7480.35</v>
      </c>
      <c r="C176" s="1168">
        <v>8191.35</v>
      </c>
      <c r="D176" s="1168">
        <v>6690.38</v>
      </c>
      <c r="E176" s="1168">
        <v>6622.41</v>
      </c>
      <c r="F176" s="1168">
        <v>7522.07</v>
      </c>
      <c r="G176" s="1168">
        <v>8273.36</v>
      </c>
      <c r="H176" s="1168">
        <v>9045.43</v>
      </c>
      <c r="I176" s="1168">
        <v>9904.5</v>
      </c>
      <c r="J176" s="1168">
        <v>10876.3</v>
      </c>
      <c r="K176" s="1168">
        <v>11965.43</v>
      </c>
      <c r="L176" s="851">
        <v>2004</v>
      </c>
      <c r="O176" s="156"/>
      <c r="P176" s="156"/>
      <c r="Q176" s="146">
        <f t="shared" si="7"/>
        <v>9.5049028454550877E-2</v>
      </c>
      <c r="R176" s="146">
        <f t="shared" si="7"/>
        <v>-0.18323841613409264</v>
      </c>
      <c r="S176" s="146">
        <f t="shared" si="7"/>
        <v>-1.01593631452922E-2</v>
      </c>
      <c r="T176" s="146">
        <f t="shared" si="7"/>
        <v>0.13585084584010954</v>
      </c>
      <c r="U176" s="146">
        <f t="shared" si="7"/>
        <v>9.9878092067742008E-2</v>
      </c>
      <c r="V176" s="146">
        <f t="shared" si="9"/>
        <v>9.332000541497032E-2</v>
      </c>
      <c r="W176" s="146">
        <f t="shared" si="9"/>
        <v>9.4972820529261703E-2</v>
      </c>
      <c r="X176" s="146">
        <f t="shared" si="9"/>
        <v>9.8117017517290073E-2</v>
      </c>
      <c r="Y176" s="146">
        <f t="shared" si="9"/>
        <v>0.10013791454814602</v>
      </c>
    </row>
    <row r="177" spans="1:25">
      <c r="A177" s="851" t="s">
        <v>385</v>
      </c>
      <c r="B177" s="1168">
        <v>3499.05</v>
      </c>
      <c r="C177" s="1168">
        <v>3459.46</v>
      </c>
      <c r="D177" s="1168">
        <v>3280.97</v>
      </c>
      <c r="E177" s="1168">
        <v>3375.48</v>
      </c>
      <c r="F177" s="1168">
        <v>3618.95</v>
      </c>
      <c r="G177" s="1168">
        <v>3746.61</v>
      </c>
      <c r="H177" s="1168">
        <v>3869.19</v>
      </c>
      <c r="I177" s="1168">
        <v>3989.49</v>
      </c>
      <c r="J177" s="1168">
        <v>4114.8999999999996</v>
      </c>
      <c r="K177" s="1168">
        <v>4241.1400000000003</v>
      </c>
      <c r="L177" s="851">
        <v>2013</v>
      </c>
      <c r="O177" s="156"/>
      <c r="P177" s="156"/>
      <c r="Q177" s="146">
        <f t="shared" si="7"/>
        <v>-1.1314499649905052E-2</v>
      </c>
      <c r="R177" s="146">
        <f t="shared" si="7"/>
        <v>-5.1594757563319216E-2</v>
      </c>
      <c r="S177" s="146">
        <f t="shared" si="7"/>
        <v>2.8805505688866528E-2</v>
      </c>
      <c r="T177" s="146">
        <f t="shared" si="7"/>
        <v>7.212900091246266E-2</v>
      </c>
      <c r="U177" s="146">
        <f t="shared" si="7"/>
        <v>3.5275425192390131E-2</v>
      </c>
      <c r="V177" s="146">
        <f t="shared" si="9"/>
        <v>3.2717576689327066E-2</v>
      </c>
      <c r="W177" s="146">
        <f t="shared" si="9"/>
        <v>3.1091778899459577E-2</v>
      </c>
      <c r="X177" s="146">
        <f t="shared" si="9"/>
        <v>3.1435095713988392E-2</v>
      </c>
      <c r="Y177" s="146">
        <f t="shared" si="9"/>
        <v>3.0678752825099131E-2</v>
      </c>
    </row>
    <row r="178" spans="1:25">
      <c r="A178" s="851" t="s">
        <v>386</v>
      </c>
      <c r="B178" s="851">
        <v>770.18299999999999</v>
      </c>
      <c r="C178" s="851">
        <v>810.64</v>
      </c>
      <c r="D178" s="851">
        <v>710.25</v>
      </c>
      <c r="E178" s="851">
        <v>692.19100000000003</v>
      </c>
      <c r="F178" s="851">
        <v>700.52499999999998</v>
      </c>
      <c r="G178" s="851">
        <v>730.45</v>
      </c>
      <c r="H178" s="851">
        <v>769.005</v>
      </c>
      <c r="I178" s="851">
        <v>833.44399999999996</v>
      </c>
      <c r="J178" s="851">
        <v>847.98</v>
      </c>
      <c r="K178" s="851">
        <v>917.73500000000001</v>
      </c>
      <c r="L178" s="851">
        <v>2016</v>
      </c>
      <c r="O178" s="156"/>
      <c r="P178" s="156"/>
      <c r="Q178" s="146">
        <f t="shared" si="7"/>
        <v>5.2529074258974795E-2</v>
      </c>
      <c r="R178" s="146">
        <f t="shared" si="7"/>
        <v>-0.12384042238231519</v>
      </c>
      <c r="S178" s="146">
        <f t="shared" si="7"/>
        <v>-2.5426258359732445E-2</v>
      </c>
      <c r="T178" s="146">
        <f t="shared" si="7"/>
        <v>1.2040029413846742E-2</v>
      </c>
      <c r="U178" s="146">
        <f t="shared" si="7"/>
        <v>4.2717961528853543E-2</v>
      </c>
      <c r="V178" s="146">
        <f t="shared" si="9"/>
        <v>5.278253131631172E-2</v>
      </c>
      <c r="W178" s="146">
        <f t="shared" si="9"/>
        <v>8.3795293918765168E-2</v>
      </c>
      <c r="X178" s="146">
        <f t="shared" si="9"/>
        <v>1.7440883850624811E-2</v>
      </c>
      <c r="Y178" s="146">
        <f t="shared" si="9"/>
        <v>8.22601948159154E-2</v>
      </c>
    </row>
    <row r="179" spans="1:25">
      <c r="A179" s="851" t="s">
        <v>387</v>
      </c>
      <c r="B179" s="1168">
        <v>3968.8</v>
      </c>
      <c r="C179" s="1168">
        <v>3095.05</v>
      </c>
      <c r="D179" s="1168">
        <v>2135.1799999999998</v>
      </c>
      <c r="E179" s="1168">
        <v>2198.84</v>
      </c>
      <c r="F179" s="1168">
        <v>2458.59</v>
      </c>
      <c r="G179" s="1168">
        <v>2597.1799999999998</v>
      </c>
      <c r="H179" s="1168">
        <v>2818.22</v>
      </c>
      <c r="I179" s="1168">
        <v>3049.91</v>
      </c>
      <c r="J179" s="1168">
        <v>3319.26</v>
      </c>
      <c r="K179" s="1168">
        <v>3594.88</v>
      </c>
      <c r="L179" s="851">
        <v>2016</v>
      </c>
      <c r="O179" s="156"/>
      <c r="P179" s="156"/>
      <c r="Q179" s="146">
        <f t="shared" si="7"/>
        <v>-0.22015470671235637</v>
      </c>
      <c r="R179" s="146">
        <f t="shared" si="7"/>
        <v>-0.31013069255747094</v>
      </c>
      <c r="S179" s="146">
        <f t="shared" si="7"/>
        <v>2.9814816549424528E-2</v>
      </c>
      <c r="T179" s="146">
        <f t="shared" si="7"/>
        <v>0.11813046879263611</v>
      </c>
      <c r="U179" s="146">
        <f t="shared" si="7"/>
        <v>5.6369707840672856E-2</v>
      </c>
      <c r="V179" s="146">
        <f t="shared" si="9"/>
        <v>8.5107693729352674E-2</v>
      </c>
      <c r="W179" s="146">
        <f t="shared" si="9"/>
        <v>8.2211466812385225E-2</v>
      </c>
      <c r="X179" s="146">
        <f t="shared" si="9"/>
        <v>8.8314081399123445E-2</v>
      </c>
      <c r="Y179" s="146">
        <f t="shared" si="9"/>
        <v>8.3036580442628738E-2</v>
      </c>
    </row>
    <row r="180" spans="1:25">
      <c r="A180" s="851" t="s">
        <v>388</v>
      </c>
      <c r="B180" s="1168">
        <v>43232.83</v>
      </c>
      <c r="C180" s="1168">
        <v>43346.53</v>
      </c>
      <c r="D180" s="1168">
        <v>37361.17</v>
      </c>
      <c r="E180" s="1168">
        <v>35383.919999999998</v>
      </c>
      <c r="F180" s="1168">
        <v>37346.11</v>
      </c>
      <c r="G180" s="1168">
        <v>38436.080000000002</v>
      </c>
      <c r="H180" s="1168">
        <v>39342.31</v>
      </c>
      <c r="I180" s="1168">
        <v>40254.57</v>
      </c>
      <c r="J180" s="1168">
        <v>41182.089999999997</v>
      </c>
      <c r="K180" s="1168">
        <v>42034.93</v>
      </c>
      <c r="L180" s="851">
        <v>2005</v>
      </c>
      <c r="O180" s="156"/>
      <c r="P180" s="156"/>
      <c r="Q180" s="146">
        <f t="shared" si="7"/>
        <v>2.6299458073875126E-3</v>
      </c>
      <c r="R180" s="146">
        <f t="shared" si="7"/>
        <v>-0.13808164113713373</v>
      </c>
      <c r="S180" s="146">
        <f t="shared" si="7"/>
        <v>-5.2922593162901488E-2</v>
      </c>
      <c r="T180" s="146">
        <f t="shared" si="7"/>
        <v>5.5454285449435758E-2</v>
      </c>
      <c r="U180" s="146">
        <f t="shared" si="7"/>
        <v>2.9185636736998921E-2</v>
      </c>
      <c r="V180" s="146">
        <f t="shared" si="9"/>
        <v>2.3577586476040135E-2</v>
      </c>
      <c r="W180" s="146">
        <f t="shared" si="9"/>
        <v>2.318775892925462E-2</v>
      </c>
      <c r="X180" s="146">
        <f t="shared" si="9"/>
        <v>2.30413590307883E-2</v>
      </c>
      <c r="Y180" s="146">
        <f t="shared" si="9"/>
        <v>2.0709002384289077E-2</v>
      </c>
    </row>
    <row r="181" spans="1:25">
      <c r="A181" s="851" t="s">
        <v>389</v>
      </c>
      <c r="B181" s="1168">
        <v>42452.95</v>
      </c>
      <c r="C181" s="1168">
        <v>46478.84</v>
      </c>
      <c r="D181" s="1168">
        <v>43976.42</v>
      </c>
      <c r="E181" s="1168">
        <v>40049.78</v>
      </c>
      <c r="F181" s="1168">
        <v>38846.79</v>
      </c>
      <c r="G181" s="1168">
        <v>40026.480000000003</v>
      </c>
      <c r="H181" s="1168">
        <v>40800.480000000003</v>
      </c>
      <c r="I181" s="1168">
        <v>41624.11</v>
      </c>
      <c r="J181" s="1168">
        <v>42486.19</v>
      </c>
      <c r="K181" s="1168">
        <v>43411.93</v>
      </c>
      <c r="L181" s="851">
        <v>2016</v>
      </c>
      <c r="O181" s="156"/>
      <c r="P181" s="156"/>
      <c r="Q181" s="146">
        <f t="shared" ref="Q181:U190" si="10">C181/B181-1</f>
        <v>9.4831807919119937E-2</v>
      </c>
      <c r="R181" s="146">
        <f t="shared" si="10"/>
        <v>-5.3839983958291482E-2</v>
      </c>
      <c r="S181" s="146">
        <f t="shared" si="10"/>
        <v>-8.9289669327334953E-2</v>
      </c>
      <c r="T181" s="146">
        <f t="shared" si="10"/>
        <v>-3.0037368494908012E-2</v>
      </c>
      <c r="U181" s="146">
        <f t="shared" si="10"/>
        <v>3.0367760116086773E-2</v>
      </c>
      <c r="V181" s="146">
        <f t="shared" si="9"/>
        <v>1.9337198774411313E-2</v>
      </c>
      <c r="W181" s="146">
        <f t="shared" si="9"/>
        <v>2.0186772312482448E-2</v>
      </c>
      <c r="X181" s="146">
        <f t="shared" si="9"/>
        <v>2.0711073461991081E-2</v>
      </c>
      <c r="Y181" s="146">
        <f t="shared" si="9"/>
        <v>2.178919785464406E-2</v>
      </c>
    </row>
    <row r="182" spans="1:25">
      <c r="A182" s="851" t="s">
        <v>390</v>
      </c>
      <c r="B182" s="1168">
        <v>52741.73</v>
      </c>
      <c r="C182" s="1168">
        <v>54668.08</v>
      </c>
      <c r="D182" s="1168">
        <v>56436.71</v>
      </c>
      <c r="E182" s="1168">
        <v>57607.61</v>
      </c>
      <c r="F182" s="1168">
        <v>59495.34</v>
      </c>
      <c r="G182" s="1168">
        <v>61687.41</v>
      </c>
      <c r="H182" s="1168">
        <v>63809.64</v>
      </c>
      <c r="I182" s="1168">
        <v>65895.679999999993</v>
      </c>
      <c r="J182" s="1168">
        <v>67990.42</v>
      </c>
      <c r="K182" s="1168">
        <v>70028.820000000007</v>
      </c>
      <c r="L182" s="851">
        <v>2016</v>
      </c>
      <c r="O182" s="156"/>
      <c r="P182" s="156"/>
      <c r="Q182" s="146">
        <f t="shared" si="10"/>
        <v>3.6524209577501576E-2</v>
      </c>
      <c r="R182" s="146">
        <f t="shared" si="10"/>
        <v>3.2352151383403305E-2</v>
      </c>
      <c r="S182" s="146">
        <f t="shared" si="10"/>
        <v>2.0747134267748768E-2</v>
      </c>
      <c r="T182" s="146">
        <f t="shared" si="10"/>
        <v>3.2768760932800234E-2</v>
      </c>
      <c r="U182" s="146">
        <f t="shared" si="10"/>
        <v>3.6844398233542464E-2</v>
      </c>
      <c r="V182" s="146">
        <f t="shared" si="9"/>
        <v>3.4402968125910816E-2</v>
      </c>
      <c r="W182" s="146">
        <f t="shared" si="9"/>
        <v>3.2691612113780799E-2</v>
      </c>
      <c r="X182" s="146">
        <f t="shared" si="9"/>
        <v>3.178873030826912E-2</v>
      </c>
      <c r="Y182" s="146">
        <f t="shared" si="9"/>
        <v>2.9980694338996638E-2</v>
      </c>
    </row>
    <row r="183" spans="1:25">
      <c r="A183" s="851" t="s">
        <v>391</v>
      </c>
      <c r="B183" s="1168">
        <v>16723.45</v>
      </c>
      <c r="C183" s="1168">
        <v>16572.36</v>
      </c>
      <c r="D183" s="1168">
        <v>15365.96</v>
      </c>
      <c r="E183" s="1168">
        <v>15062.15</v>
      </c>
      <c r="F183" s="1168">
        <v>17252.22</v>
      </c>
      <c r="G183" s="1168">
        <v>18772.11</v>
      </c>
      <c r="H183" s="1168">
        <v>19765.599999999999</v>
      </c>
      <c r="I183" s="1168">
        <v>20829.13</v>
      </c>
      <c r="J183" s="1168">
        <v>21901.42</v>
      </c>
      <c r="K183" s="1168">
        <v>23027.67</v>
      </c>
      <c r="L183" s="851">
        <v>2015</v>
      </c>
      <c r="O183" s="156"/>
      <c r="P183" s="156"/>
      <c r="Q183" s="146">
        <f t="shared" si="10"/>
        <v>-9.0346190528868275E-3</v>
      </c>
      <c r="R183" s="146">
        <f t="shared" si="10"/>
        <v>-7.2795908367909057E-2</v>
      </c>
      <c r="S183" s="146">
        <f t="shared" si="10"/>
        <v>-1.9771625072562915E-2</v>
      </c>
      <c r="T183" s="146">
        <f t="shared" si="10"/>
        <v>0.14540221681499665</v>
      </c>
      <c r="U183" s="146">
        <f t="shared" si="10"/>
        <v>8.8098227358565984E-2</v>
      </c>
      <c r="V183" s="146">
        <f t="shared" si="9"/>
        <v>5.2923725676015998E-2</v>
      </c>
      <c r="W183" s="146">
        <f t="shared" si="9"/>
        <v>5.3807119439835072E-2</v>
      </c>
      <c r="X183" s="146">
        <f t="shared" si="9"/>
        <v>5.1480306666672915E-2</v>
      </c>
      <c r="Y183" s="146">
        <f t="shared" si="9"/>
        <v>5.1423606323242943E-2</v>
      </c>
    </row>
    <row r="184" spans="1:25">
      <c r="A184" s="851" t="s">
        <v>392</v>
      </c>
      <c r="B184" s="1168">
        <v>1890.47</v>
      </c>
      <c r="C184" s="1168">
        <v>2064.41</v>
      </c>
      <c r="D184" s="1168">
        <v>2111.7399999999998</v>
      </c>
      <c r="E184" s="1168">
        <v>2132.71</v>
      </c>
      <c r="F184" s="1168">
        <v>2128.21</v>
      </c>
      <c r="G184" s="1168">
        <v>2118.38</v>
      </c>
      <c r="H184" s="1168">
        <v>2222.46</v>
      </c>
      <c r="I184" s="1168">
        <v>2331.65</v>
      </c>
      <c r="J184" s="1168">
        <v>2446.21</v>
      </c>
      <c r="K184" s="1168">
        <v>2566.39</v>
      </c>
      <c r="L184" s="851">
        <v>2013</v>
      </c>
      <c r="O184" s="156"/>
      <c r="P184" s="156"/>
      <c r="Q184" s="146">
        <f t="shared" si="10"/>
        <v>9.2008865520214478E-2</v>
      </c>
      <c r="R184" s="146">
        <f t="shared" si="10"/>
        <v>2.29266473229639E-2</v>
      </c>
      <c r="S184" s="146">
        <f t="shared" si="10"/>
        <v>9.9301997404985798E-3</v>
      </c>
      <c r="T184" s="146">
        <f t="shared" si="10"/>
        <v>-2.1099915131452818E-3</v>
      </c>
      <c r="U184" s="146">
        <f t="shared" si="10"/>
        <v>-4.6189050892533334E-3</v>
      </c>
      <c r="V184" s="146">
        <f t="shared" si="9"/>
        <v>4.9131883797996601E-2</v>
      </c>
      <c r="W184" s="146">
        <f t="shared" si="9"/>
        <v>4.9130243063992163E-2</v>
      </c>
      <c r="X184" s="146">
        <f t="shared" si="9"/>
        <v>4.913258851028246E-2</v>
      </c>
      <c r="Y184" s="146">
        <f t="shared" si="9"/>
        <v>4.9129060873759789E-2</v>
      </c>
    </row>
    <row r="185" spans="1:25">
      <c r="A185" s="851" t="s">
        <v>393</v>
      </c>
      <c r="B185" s="1168">
        <v>3123.98</v>
      </c>
      <c r="C185" s="1168">
        <v>3103.89</v>
      </c>
      <c r="D185" s="1168">
        <v>2908.64</v>
      </c>
      <c r="E185" s="1168">
        <v>2937.92</v>
      </c>
      <c r="F185" s="1168">
        <v>2976.16</v>
      </c>
      <c r="G185" s="1168">
        <v>3109.52</v>
      </c>
      <c r="H185" s="1168">
        <v>3237.95</v>
      </c>
      <c r="I185" s="1168">
        <v>3354.2</v>
      </c>
      <c r="J185" s="1168">
        <v>3474.63</v>
      </c>
      <c r="K185" s="1168">
        <v>3599.38</v>
      </c>
      <c r="L185" s="851">
        <v>2015</v>
      </c>
      <c r="O185" s="156"/>
      <c r="P185" s="156"/>
      <c r="Q185" s="146">
        <f t="shared" si="10"/>
        <v>-6.4308990454484682E-3</v>
      </c>
      <c r="R185" s="146">
        <f t="shared" si="10"/>
        <v>-6.290493541974751E-2</v>
      </c>
      <c r="S185" s="146">
        <f t="shared" si="10"/>
        <v>1.0066560316849271E-2</v>
      </c>
      <c r="T185" s="146">
        <f t="shared" si="10"/>
        <v>1.3016011327741994E-2</v>
      </c>
      <c r="U185" s="146">
        <f t="shared" si="10"/>
        <v>4.4809418848449134E-2</v>
      </c>
      <c r="V185" s="146">
        <f t="shared" si="9"/>
        <v>4.1302194550927318E-2</v>
      </c>
      <c r="W185" s="146">
        <f t="shared" si="9"/>
        <v>3.59023456199139E-2</v>
      </c>
      <c r="X185" s="146">
        <f t="shared" si="9"/>
        <v>3.5904239460974319E-2</v>
      </c>
      <c r="Y185" s="146">
        <f t="shared" si="9"/>
        <v>3.5903103352011634E-2</v>
      </c>
    </row>
    <row r="186" spans="1:25">
      <c r="A186" s="851" t="s">
        <v>394</v>
      </c>
      <c r="B186" s="1168">
        <v>7869.44</v>
      </c>
      <c r="C186" s="1168">
        <v>7029.89</v>
      </c>
      <c r="D186" s="1168">
        <v>7922.7</v>
      </c>
      <c r="E186" s="1168">
        <v>7620.16</v>
      </c>
      <c r="F186" s="1168">
        <v>6850.12</v>
      </c>
      <c r="G186" s="1168">
        <v>6528.46</v>
      </c>
      <c r="H186" s="1168">
        <v>5736.83</v>
      </c>
      <c r="I186" s="1168">
        <v>5905.87</v>
      </c>
      <c r="J186" s="1168">
        <v>5164.2700000000004</v>
      </c>
      <c r="K186" s="1168">
        <v>4821.91</v>
      </c>
      <c r="L186" s="851">
        <v>2010</v>
      </c>
      <c r="O186" s="156"/>
      <c r="P186" s="156"/>
      <c r="Q186" s="146">
        <f t="shared" si="10"/>
        <v>-0.10668484669811307</v>
      </c>
      <c r="R186" s="146">
        <f t="shared" si="10"/>
        <v>0.12700198722881861</v>
      </c>
      <c r="S186" s="146">
        <f t="shared" si="10"/>
        <v>-3.8186476832392957E-2</v>
      </c>
      <c r="T186" s="146">
        <f t="shared" si="10"/>
        <v>-0.10105299626254571</v>
      </c>
      <c r="U186" s="146">
        <f t="shared" si="10"/>
        <v>-4.6956841631971336E-2</v>
      </c>
      <c r="V186" s="146">
        <f t="shared" si="9"/>
        <v>-0.12125830594045151</v>
      </c>
      <c r="W186" s="146">
        <f t="shared" si="9"/>
        <v>2.9465750248830691E-2</v>
      </c>
      <c r="X186" s="146">
        <f t="shared" si="9"/>
        <v>-0.12556998376191819</v>
      </c>
      <c r="Y186" s="146">
        <f t="shared" si="9"/>
        <v>-6.6293977658023362E-2</v>
      </c>
    </row>
    <row r="187" spans="1:25">
      <c r="A187" s="851" t="s">
        <v>395</v>
      </c>
      <c r="B187" s="1168">
        <v>1900.24</v>
      </c>
      <c r="C187" s="1168">
        <v>2048.9499999999998</v>
      </c>
      <c r="D187" s="1168">
        <v>2087.5300000000002</v>
      </c>
      <c r="E187" s="1168">
        <v>2171.83</v>
      </c>
      <c r="F187" s="1168">
        <v>2306.23</v>
      </c>
      <c r="G187" s="1168">
        <v>2481.5</v>
      </c>
      <c r="H187" s="1168">
        <v>2677.31</v>
      </c>
      <c r="I187" s="1168">
        <v>2881.45</v>
      </c>
      <c r="J187" s="1168">
        <v>3096.75</v>
      </c>
      <c r="K187" s="1168">
        <v>3329.18</v>
      </c>
      <c r="L187" s="851">
        <v>2015</v>
      </c>
      <c r="O187" s="156"/>
      <c r="P187" s="156"/>
      <c r="Q187" s="146">
        <f t="shared" si="10"/>
        <v>7.8258535763903403E-2</v>
      </c>
      <c r="R187" s="146">
        <f t="shared" si="10"/>
        <v>1.8829156397179192E-2</v>
      </c>
      <c r="S187" s="146">
        <f t="shared" si="10"/>
        <v>4.0382653183427264E-2</v>
      </c>
      <c r="T187" s="146">
        <f t="shared" si="10"/>
        <v>6.188329657477798E-2</v>
      </c>
      <c r="U187" s="146">
        <f t="shared" si="10"/>
        <v>7.5998491043824723E-2</v>
      </c>
      <c r="V187" s="146">
        <f t="shared" si="9"/>
        <v>7.8907918597622473E-2</v>
      </c>
      <c r="W187" s="146">
        <f t="shared" si="9"/>
        <v>7.624817447363208E-2</v>
      </c>
      <c r="X187" s="146">
        <f t="shared" si="9"/>
        <v>7.4719325339672737E-2</v>
      </c>
      <c r="Y187" s="146">
        <f t="shared" si="9"/>
        <v>7.5056107209170886E-2</v>
      </c>
    </row>
    <row r="188" spans="1:25">
      <c r="A188" s="851" t="s">
        <v>396</v>
      </c>
      <c r="B188" s="1168">
        <v>1515.95</v>
      </c>
      <c r="C188" s="1168">
        <v>1574.25</v>
      </c>
      <c r="D188" s="1168">
        <v>1334.12</v>
      </c>
      <c r="E188" s="851">
        <v>937.71199999999999</v>
      </c>
      <c r="F188" s="851">
        <v>856.40899999999999</v>
      </c>
      <c r="G188" s="851">
        <v>830.37</v>
      </c>
      <c r="H188" s="851">
        <v>905.31700000000001</v>
      </c>
      <c r="I188" s="851">
        <v>927.58699999999999</v>
      </c>
      <c r="J188" s="851">
        <v>928.04899999999998</v>
      </c>
      <c r="K188" s="851">
        <v>944.24400000000003</v>
      </c>
      <c r="L188" s="851">
        <v>2008</v>
      </c>
      <c r="O188" s="156"/>
      <c r="P188" s="156"/>
      <c r="Q188" s="146">
        <f t="shared" si="10"/>
        <v>3.8457732774827669E-2</v>
      </c>
      <c r="R188" s="146">
        <f t="shared" si="10"/>
        <v>-0.15253612831507068</v>
      </c>
      <c r="S188" s="146">
        <f t="shared" si="10"/>
        <v>-0.29713069289119409</v>
      </c>
      <c r="T188" s="146">
        <f t="shared" si="10"/>
        <v>-8.67035934274063E-2</v>
      </c>
      <c r="U188" s="146">
        <f t="shared" si="10"/>
        <v>-3.040486496522099E-2</v>
      </c>
      <c r="V188" s="146">
        <f t="shared" si="9"/>
        <v>9.0257355154930829E-2</v>
      </c>
      <c r="W188" s="146">
        <f t="shared" si="9"/>
        <v>2.4599118319881264E-2</v>
      </c>
      <c r="X188" s="146">
        <f t="shared" si="9"/>
        <v>4.9806648864203495E-4</v>
      </c>
      <c r="Y188" s="146">
        <f t="shared" si="9"/>
        <v>1.7450587199598244E-2</v>
      </c>
    </row>
    <row r="189" spans="1:25">
      <c r="A189" s="851" t="s">
        <v>397</v>
      </c>
      <c r="B189" s="1168">
        <v>1839.53</v>
      </c>
      <c r="C189" s="1168">
        <v>1727.03</v>
      </c>
      <c r="D189" s="1168">
        <v>1310.3499999999999</v>
      </c>
      <c r="E189" s="1168">
        <v>1256.92</v>
      </c>
      <c r="F189" s="1168">
        <v>1483.69</v>
      </c>
      <c r="G189" s="1168">
        <v>1537.6</v>
      </c>
      <c r="H189" s="1168">
        <v>1541.53</v>
      </c>
      <c r="I189" s="1168">
        <v>1563.47</v>
      </c>
      <c r="J189" s="1168">
        <v>1607.06</v>
      </c>
      <c r="K189" s="1168">
        <v>1663.68</v>
      </c>
      <c r="L189" s="851">
        <v>2010</v>
      </c>
      <c r="O189" s="156"/>
      <c r="P189" s="156"/>
      <c r="Q189" s="146">
        <f t="shared" si="10"/>
        <v>-6.1156925953912089E-2</v>
      </c>
      <c r="R189" s="146">
        <f t="shared" si="10"/>
        <v>-0.24126969421492395</v>
      </c>
      <c r="S189" s="146">
        <f t="shared" si="10"/>
        <v>-4.0775365360399718E-2</v>
      </c>
      <c r="T189" s="146">
        <f t="shared" si="10"/>
        <v>0.18041721032364832</v>
      </c>
      <c r="U189" s="146">
        <f t="shared" si="10"/>
        <v>3.6335083474310581E-2</v>
      </c>
      <c r="V189" s="146">
        <f t="shared" si="9"/>
        <v>2.5559313215401946E-3</v>
      </c>
      <c r="W189" s="146">
        <f t="shared" si="9"/>
        <v>1.4232613053265286E-2</v>
      </c>
      <c r="X189" s="146">
        <f t="shared" si="9"/>
        <v>2.7880291914779143E-2</v>
      </c>
      <c r="Y189" s="146">
        <f t="shared" si="9"/>
        <v>3.5232038629547269E-2</v>
      </c>
    </row>
    <row r="190" spans="1:25">
      <c r="A190" s="851" t="s">
        <v>398</v>
      </c>
      <c r="B190" s="1168">
        <v>1133.57</v>
      </c>
      <c r="C190" s="1168">
        <v>1149.24</v>
      </c>
      <c r="D190" s="1168">
        <v>1137.07</v>
      </c>
      <c r="E190" s="1168">
        <v>1111.8800000000001</v>
      </c>
      <c r="F190" s="1168">
        <v>1149.72</v>
      </c>
      <c r="G190" s="1168">
        <v>1238.54</v>
      </c>
      <c r="H190" s="1168">
        <v>1315.63</v>
      </c>
      <c r="I190" s="1168">
        <v>1334.29</v>
      </c>
      <c r="J190" s="1168">
        <v>1348.13</v>
      </c>
      <c r="K190" s="1168">
        <v>1353.05</v>
      </c>
      <c r="L190" s="851">
        <v>2012</v>
      </c>
      <c r="O190" s="156"/>
      <c r="P190" s="156"/>
      <c r="Q190" s="146">
        <f t="shared" si="10"/>
        <v>1.3823583898656455E-2</v>
      </c>
      <c r="R190" s="146">
        <f t="shared" si="10"/>
        <v>-1.0589607044655613E-2</v>
      </c>
      <c r="S190" s="146">
        <f t="shared" si="10"/>
        <v>-2.2153429428267257E-2</v>
      </c>
      <c r="T190" s="146">
        <f t="shared" si="10"/>
        <v>3.4032449544914911E-2</v>
      </c>
      <c r="U190" s="146">
        <f t="shared" si="10"/>
        <v>7.7253592178965214E-2</v>
      </c>
      <c r="V190" s="146">
        <f t="shared" si="9"/>
        <v>6.2242640528364257E-2</v>
      </c>
      <c r="W190" s="146">
        <f t="shared" si="9"/>
        <v>1.4183319018264973E-2</v>
      </c>
      <c r="X190" s="146">
        <f t="shared" si="9"/>
        <v>1.0372557689857675E-2</v>
      </c>
      <c r="Y190" s="146">
        <f t="shared" si="9"/>
        <v>3.6494996773306365E-3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S100"/>
  <sheetViews>
    <sheetView topLeftCell="AA65" zoomScale="40" zoomScaleNormal="40" workbookViewId="0">
      <selection activeCell="AT98" sqref="AT98"/>
    </sheetView>
  </sheetViews>
  <sheetFormatPr defaultRowHeight="15.75"/>
  <sheetData>
    <row r="2" spans="1:71">
      <c r="AR2" s="851"/>
      <c r="AS2" t="s">
        <v>724</v>
      </c>
      <c r="BD2" s="165"/>
    </row>
    <row r="3" spans="1:71">
      <c r="AR3" s="1178"/>
      <c r="AS3" s="1174"/>
      <c r="AT3" s="1175"/>
      <c r="AU3" s="1500" t="s">
        <v>727</v>
      </c>
      <c r="AV3" s="1501"/>
      <c r="AW3" s="1501"/>
      <c r="AX3" s="1502"/>
      <c r="AY3" s="1500" t="s">
        <v>728</v>
      </c>
      <c r="AZ3" s="1501"/>
      <c r="BA3" s="1501"/>
      <c r="BB3" s="1502"/>
      <c r="BC3" s="1500" t="s">
        <v>729</v>
      </c>
      <c r="BD3" s="1501"/>
      <c r="BE3" s="1501"/>
      <c r="BF3" s="1502"/>
      <c r="BG3" s="1499" t="s">
        <v>730</v>
      </c>
      <c r="BH3" s="1499"/>
      <c r="BI3" s="1499"/>
      <c r="BJ3" s="1499"/>
      <c r="BK3" s="1499" t="s">
        <v>731</v>
      </c>
      <c r="BL3" s="1499"/>
      <c r="BM3" s="1499"/>
      <c r="BN3" s="1499"/>
      <c r="BO3" s="1499" t="s">
        <v>732</v>
      </c>
      <c r="BP3" s="1499"/>
      <c r="BQ3" s="1499"/>
    </row>
    <row r="4" spans="1:71" ht="57">
      <c r="AR4" s="1179" t="s">
        <v>726</v>
      </c>
      <c r="AS4" s="1176" t="s">
        <v>733</v>
      </c>
      <c r="AT4" s="1176" t="s">
        <v>734</v>
      </c>
      <c r="AU4" s="1177">
        <v>2006</v>
      </c>
      <c r="AV4" s="1177">
        <v>2015</v>
      </c>
      <c r="AW4" s="1177">
        <v>2016</v>
      </c>
      <c r="AX4" s="1177">
        <v>2026</v>
      </c>
      <c r="AY4" s="1177">
        <v>2006</v>
      </c>
      <c r="AZ4" s="1177">
        <v>2015</v>
      </c>
      <c r="BA4" s="1177">
        <v>2016</v>
      </c>
      <c r="BB4" s="1177">
        <v>2026</v>
      </c>
      <c r="BC4" s="1177">
        <v>2006</v>
      </c>
      <c r="BD4" s="1177">
        <v>2015</v>
      </c>
      <c r="BE4" s="1177">
        <v>2016</v>
      </c>
      <c r="BF4" s="1177">
        <v>2026</v>
      </c>
      <c r="BG4" s="1177">
        <v>2006</v>
      </c>
      <c r="BH4" s="1177">
        <v>2015</v>
      </c>
      <c r="BI4" s="1177">
        <v>2016</v>
      </c>
      <c r="BJ4" s="1177">
        <v>2026</v>
      </c>
      <c r="BK4" s="1177">
        <v>2006</v>
      </c>
      <c r="BL4" s="1177">
        <v>2015</v>
      </c>
      <c r="BM4" s="1177">
        <v>2016</v>
      </c>
      <c r="BN4" s="1177">
        <v>2026</v>
      </c>
      <c r="BO4" s="1176" t="s">
        <v>735</v>
      </c>
      <c r="BP4" s="1176" t="s">
        <v>736</v>
      </c>
      <c r="BQ4" s="1176" t="s">
        <v>737</v>
      </c>
      <c r="BR4" s="1176" t="s">
        <v>855</v>
      </c>
      <c r="BS4" s="1176" t="s">
        <v>740</v>
      </c>
    </row>
    <row r="5" spans="1:71">
      <c r="AR5" s="1170" t="s">
        <v>577</v>
      </c>
      <c r="AS5" s="1170" t="s">
        <v>649</v>
      </c>
      <c r="AT5" s="1170" t="s">
        <v>621</v>
      </c>
      <c r="AU5" s="1172">
        <v>21300</v>
      </c>
      <c r="AV5" s="1172">
        <v>19700</v>
      </c>
      <c r="AW5" s="1172">
        <v>18100</v>
      </c>
      <c r="AX5" s="1172">
        <v>18100</v>
      </c>
      <c r="AY5" s="1172">
        <v>1120</v>
      </c>
      <c r="AZ5" s="1172">
        <v>1030</v>
      </c>
      <c r="BA5" s="1171">
        <v>950</v>
      </c>
      <c r="BB5" s="1171">
        <v>950</v>
      </c>
      <c r="BC5" s="1171">
        <v>460</v>
      </c>
      <c r="BD5" s="1171">
        <v>420</v>
      </c>
      <c r="BE5" s="1171">
        <v>390</v>
      </c>
      <c r="BF5" s="1171">
        <v>390</v>
      </c>
      <c r="BG5" s="1171">
        <v>72</v>
      </c>
      <c r="BH5" s="1171">
        <v>66</v>
      </c>
      <c r="BI5" s="1171">
        <v>61</v>
      </c>
      <c r="BJ5" s="1171">
        <v>61</v>
      </c>
      <c r="BK5" s="1171">
        <v>8</v>
      </c>
      <c r="BL5" s="1171">
        <v>8</v>
      </c>
      <c r="BM5" s="1171">
        <v>7</v>
      </c>
      <c r="BN5" s="1171">
        <v>7</v>
      </c>
      <c r="BO5" s="1173">
        <v>0.15</v>
      </c>
      <c r="BP5" s="1173">
        <v>0.08</v>
      </c>
      <c r="BQ5" s="1173">
        <v>0</v>
      </c>
      <c r="BR5" s="1173">
        <f t="shared" ref="BR5:BR36" si="0">IF(BQ5&gt;0,((1+BQ5)^0.1)-1,0)</f>
        <v>0</v>
      </c>
      <c r="BS5" s="1173">
        <f t="shared" ref="BS5:BS36" si="1">SUM(AW5,BA5,BE5,BI5,BM5)/SUM($AW$94,$BA$94,$BE$94,$BI$94,$BM$94)</f>
        <v>1.4410720606946341E-3</v>
      </c>
    </row>
    <row r="6" spans="1:71" ht="45">
      <c r="AR6" s="1170" t="s">
        <v>725</v>
      </c>
      <c r="AS6" s="1170" t="s">
        <v>638</v>
      </c>
      <c r="AT6" s="1170" t="s">
        <v>624</v>
      </c>
      <c r="AU6" s="1172">
        <v>46700</v>
      </c>
      <c r="AV6" s="1172">
        <v>52000</v>
      </c>
      <c r="AW6" s="1172">
        <v>59800</v>
      </c>
      <c r="AX6" s="1172">
        <v>107600</v>
      </c>
      <c r="AY6" s="1172">
        <v>2790</v>
      </c>
      <c r="AZ6" s="1172">
        <v>3100</v>
      </c>
      <c r="BA6" s="1172">
        <v>3570</v>
      </c>
      <c r="BB6" s="1172">
        <v>6430</v>
      </c>
      <c r="BC6" s="1171">
        <v>770</v>
      </c>
      <c r="BD6" s="1171">
        <v>850</v>
      </c>
      <c r="BE6" s="1171">
        <v>980</v>
      </c>
      <c r="BF6" s="1172">
        <v>1760</v>
      </c>
      <c r="BG6" s="1171">
        <v>162</v>
      </c>
      <c r="BH6" s="1171">
        <v>180</v>
      </c>
      <c r="BI6" s="1171">
        <v>207</v>
      </c>
      <c r="BJ6" s="1171">
        <v>373</v>
      </c>
      <c r="BK6" s="1171">
        <v>13</v>
      </c>
      <c r="BL6" s="1171">
        <v>15</v>
      </c>
      <c r="BM6" s="1171">
        <v>17</v>
      </c>
      <c r="BN6" s="1171">
        <v>31</v>
      </c>
      <c r="BO6" s="1173">
        <v>0.28000000000000003</v>
      </c>
      <c r="BP6" s="1173">
        <v>0.15</v>
      </c>
      <c r="BQ6" s="1173">
        <v>0.8</v>
      </c>
      <c r="BR6" s="1173">
        <f t="shared" si="0"/>
        <v>6.0540481614018704E-2</v>
      </c>
      <c r="BS6" s="1173">
        <f t="shared" si="1"/>
        <v>4.77013467537909E-3</v>
      </c>
    </row>
    <row r="7" spans="1:71" ht="30">
      <c r="AR7" s="1170" t="s">
        <v>725</v>
      </c>
      <c r="AS7" s="1170" t="s">
        <v>643</v>
      </c>
      <c r="AT7" s="1170" t="s">
        <v>621</v>
      </c>
      <c r="AU7" s="1171">
        <v>300</v>
      </c>
      <c r="AV7" s="1171">
        <v>600</v>
      </c>
      <c r="AW7" s="1171">
        <v>600</v>
      </c>
      <c r="AX7" s="1172">
        <v>1000</v>
      </c>
      <c r="AY7" s="1171">
        <v>20</v>
      </c>
      <c r="AZ7" s="1171">
        <v>30</v>
      </c>
      <c r="BA7" s="1171">
        <v>30</v>
      </c>
      <c r="BB7" s="1171">
        <v>50</v>
      </c>
      <c r="BC7" s="1171">
        <v>10</v>
      </c>
      <c r="BD7" s="1171">
        <v>10</v>
      </c>
      <c r="BE7" s="1171">
        <v>10</v>
      </c>
      <c r="BF7" s="1171">
        <v>20</v>
      </c>
      <c r="BG7" s="1171">
        <v>1</v>
      </c>
      <c r="BH7" s="1171">
        <v>1</v>
      </c>
      <c r="BI7" s="1171">
        <v>1</v>
      </c>
      <c r="BJ7" s="1171">
        <v>2</v>
      </c>
      <c r="BK7" s="1170" t="s">
        <v>633</v>
      </c>
      <c r="BL7" s="1170" t="s">
        <v>633</v>
      </c>
      <c r="BM7" s="1170" t="s">
        <v>633</v>
      </c>
      <c r="BN7" s="1170" t="s">
        <v>633</v>
      </c>
      <c r="BO7" s="1173">
        <v>0.85</v>
      </c>
      <c r="BP7" s="1173">
        <v>0.05</v>
      </c>
      <c r="BQ7" s="1173">
        <v>0.7</v>
      </c>
      <c r="BR7" s="1173">
        <f t="shared" si="0"/>
        <v>5.4495891854766221E-2</v>
      </c>
      <c r="BS7" s="1173">
        <f t="shared" si="1"/>
        <v>4.7351199041688555E-5</v>
      </c>
    </row>
    <row r="8" spans="1:71" ht="45">
      <c r="AR8" s="1170" t="s">
        <v>725</v>
      </c>
      <c r="AS8" s="1170" t="s">
        <v>644</v>
      </c>
      <c r="AT8" s="1170" t="s">
        <v>621</v>
      </c>
      <c r="AU8" s="1172">
        <v>1700</v>
      </c>
      <c r="AV8" s="1172">
        <v>2300</v>
      </c>
      <c r="AW8" s="1172">
        <v>2500</v>
      </c>
      <c r="AX8" s="1172">
        <v>5000</v>
      </c>
      <c r="AY8" s="1171">
        <v>70</v>
      </c>
      <c r="AZ8" s="1171">
        <v>90</v>
      </c>
      <c r="BA8" s="1171">
        <v>100</v>
      </c>
      <c r="BB8" s="1171">
        <v>200</v>
      </c>
      <c r="BC8" s="1171">
        <v>20</v>
      </c>
      <c r="BD8" s="1171">
        <v>30</v>
      </c>
      <c r="BE8" s="1171">
        <v>30</v>
      </c>
      <c r="BF8" s="1171">
        <v>60</v>
      </c>
      <c r="BG8" s="1171">
        <v>1</v>
      </c>
      <c r="BH8" s="1171">
        <v>2</v>
      </c>
      <c r="BI8" s="1171">
        <v>2</v>
      </c>
      <c r="BJ8" s="1171">
        <v>4</v>
      </c>
      <c r="BK8" s="1170" t="s">
        <v>633</v>
      </c>
      <c r="BL8" s="1170" t="s">
        <v>633</v>
      </c>
      <c r="BM8" s="1170" t="s">
        <v>633</v>
      </c>
      <c r="BN8" s="1170" t="s">
        <v>633</v>
      </c>
      <c r="BO8" s="1173">
        <v>0.45</v>
      </c>
      <c r="BP8" s="1173">
        <v>7.0000000000000007E-2</v>
      </c>
      <c r="BQ8" s="1173">
        <v>0.8</v>
      </c>
      <c r="BR8" s="1173">
        <f t="shared" si="0"/>
        <v>6.0540481614018704E-2</v>
      </c>
      <c r="BS8" s="1173">
        <f t="shared" si="1"/>
        <v>1.9442801228974148E-4</v>
      </c>
    </row>
    <row r="9" spans="1:71" ht="30">
      <c r="AR9" s="1170" t="s">
        <v>725</v>
      </c>
      <c r="AS9" s="1170" t="s">
        <v>661</v>
      </c>
      <c r="AT9" s="1170" t="s">
        <v>662</v>
      </c>
      <c r="AU9" s="1172">
        <v>24700</v>
      </c>
      <c r="AV9" s="1172">
        <v>32000</v>
      </c>
      <c r="AW9" s="1172">
        <v>34600</v>
      </c>
      <c r="AX9" s="1172">
        <v>48400</v>
      </c>
      <c r="AY9" s="1172">
        <v>1000</v>
      </c>
      <c r="AZ9" s="1172">
        <v>1300</v>
      </c>
      <c r="BA9" s="1172">
        <v>1400</v>
      </c>
      <c r="BB9" s="1172">
        <v>1960</v>
      </c>
      <c r="BC9" s="1171">
        <v>310</v>
      </c>
      <c r="BD9" s="1171">
        <v>410</v>
      </c>
      <c r="BE9" s="1171">
        <v>440</v>
      </c>
      <c r="BF9" s="1171">
        <v>620</v>
      </c>
      <c r="BG9" s="1171">
        <v>50</v>
      </c>
      <c r="BH9" s="1171">
        <v>65</v>
      </c>
      <c r="BI9" s="1171">
        <v>70</v>
      </c>
      <c r="BJ9" s="1171">
        <v>98</v>
      </c>
      <c r="BK9" s="1171">
        <v>3</v>
      </c>
      <c r="BL9" s="1171">
        <v>4</v>
      </c>
      <c r="BM9" s="1171">
        <v>4</v>
      </c>
      <c r="BN9" s="1171">
        <v>6</v>
      </c>
      <c r="BO9" s="1173">
        <v>0.4</v>
      </c>
      <c r="BP9" s="1173">
        <v>0.08</v>
      </c>
      <c r="BQ9" s="1173">
        <v>0.4</v>
      </c>
      <c r="BR9" s="1173">
        <f t="shared" si="0"/>
        <v>3.4219694129380196E-2</v>
      </c>
      <c r="BS9" s="1173">
        <f t="shared" si="1"/>
        <v>2.6973193163934727E-3</v>
      </c>
    </row>
    <row r="10" spans="1:71" ht="30">
      <c r="AD10" t="s">
        <v>718</v>
      </c>
      <c r="AR10" s="1170" t="s">
        <v>725</v>
      </c>
      <c r="AS10" s="1170" t="s">
        <v>671</v>
      </c>
      <c r="AT10" s="1170" t="s">
        <v>628</v>
      </c>
      <c r="AU10" s="1172">
        <v>3900</v>
      </c>
      <c r="AV10" s="1172">
        <v>5500</v>
      </c>
      <c r="AW10" s="1172">
        <v>5800</v>
      </c>
      <c r="AX10" s="1172">
        <v>6400</v>
      </c>
      <c r="AY10" s="1171">
        <v>670</v>
      </c>
      <c r="AZ10" s="1171">
        <v>950</v>
      </c>
      <c r="BA10" s="1172">
        <v>1010</v>
      </c>
      <c r="BB10" s="1172">
        <v>1110</v>
      </c>
      <c r="BC10" s="1171">
        <v>240</v>
      </c>
      <c r="BD10" s="1171">
        <v>340</v>
      </c>
      <c r="BE10" s="1171">
        <v>360</v>
      </c>
      <c r="BF10" s="1171">
        <v>400</v>
      </c>
      <c r="BG10" s="1171">
        <v>27</v>
      </c>
      <c r="BH10" s="1171">
        <v>39</v>
      </c>
      <c r="BI10" s="1171">
        <v>41</v>
      </c>
      <c r="BJ10" s="1171">
        <v>45</v>
      </c>
      <c r="BK10" s="1171">
        <v>2</v>
      </c>
      <c r="BL10" s="1171">
        <v>3</v>
      </c>
      <c r="BM10" s="1171">
        <v>3</v>
      </c>
      <c r="BN10" s="1171">
        <v>3</v>
      </c>
      <c r="BO10" s="1173">
        <v>0.5</v>
      </c>
      <c r="BP10" s="1173">
        <v>0.06</v>
      </c>
      <c r="BQ10" s="1173">
        <v>0.1</v>
      </c>
      <c r="BR10" s="1173">
        <f t="shared" si="0"/>
        <v>9.5765827768869993E-3</v>
      </c>
      <c r="BS10" s="1173">
        <f t="shared" si="1"/>
        <v>5.329041339886759E-4</v>
      </c>
    </row>
    <row r="11" spans="1:71" ht="30">
      <c r="AR11" s="1170" t="s">
        <v>725</v>
      </c>
      <c r="AS11" s="1170" t="s">
        <v>678</v>
      </c>
      <c r="AT11" s="1170" t="s">
        <v>628</v>
      </c>
      <c r="AU11" s="1172">
        <v>8100</v>
      </c>
      <c r="AV11" s="1172">
        <v>12200</v>
      </c>
      <c r="AW11" s="1172">
        <v>13400</v>
      </c>
      <c r="AX11" s="1172">
        <v>16100</v>
      </c>
      <c r="AY11" s="1172">
        <v>1470</v>
      </c>
      <c r="AZ11" s="1172">
        <v>2200</v>
      </c>
      <c r="BA11" s="1172">
        <v>2420</v>
      </c>
      <c r="BB11" s="1172">
        <v>2900</v>
      </c>
      <c r="BC11" s="1171">
        <v>730</v>
      </c>
      <c r="BD11" s="1172">
        <v>1100</v>
      </c>
      <c r="BE11" s="1172">
        <v>1210</v>
      </c>
      <c r="BF11" s="1172">
        <v>1450</v>
      </c>
      <c r="BG11" s="1171">
        <v>70</v>
      </c>
      <c r="BH11" s="1171">
        <v>105</v>
      </c>
      <c r="BI11" s="1171">
        <v>116</v>
      </c>
      <c r="BJ11" s="1171">
        <v>139</v>
      </c>
      <c r="BK11" s="1171">
        <v>4</v>
      </c>
      <c r="BL11" s="1171">
        <v>6</v>
      </c>
      <c r="BM11" s="1171">
        <v>7</v>
      </c>
      <c r="BN11" s="1171">
        <v>8</v>
      </c>
      <c r="BO11" s="1173">
        <v>0.65</v>
      </c>
      <c r="BP11" s="1173">
        <v>0.1</v>
      </c>
      <c r="BQ11" s="1173">
        <v>0.2</v>
      </c>
      <c r="BR11" s="1173">
        <f t="shared" si="0"/>
        <v>1.8399376147024249E-2</v>
      </c>
      <c r="BS11" s="1173">
        <f t="shared" si="1"/>
        <v>1.2671062670235318E-3</v>
      </c>
    </row>
    <row r="12" spans="1:71" ht="30">
      <c r="A12" t="s">
        <v>719</v>
      </c>
      <c r="L12" t="s">
        <v>720</v>
      </c>
      <c r="AR12" s="1170" t="s">
        <v>725</v>
      </c>
      <c r="AS12" s="1170" t="s">
        <v>710</v>
      </c>
      <c r="AT12" s="1170" t="s">
        <v>662</v>
      </c>
      <c r="AU12" s="1172">
        <v>47400</v>
      </c>
      <c r="AV12" s="1172">
        <v>72000</v>
      </c>
      <c r="AW12" s="1172">
        <v>80600</v>
      </c>
      <c r="AX12" s="1172">
        <v>129000</v>
      </c>
      <c r="AY12" s="1172">
        <v>2040</v>
      </c>
      <c r="AZ12" s="1172">
        <v>3100</v>
      </c>
      <c r="BA12" s="1172">
        <v>3470</v>
      </c>
      <c r="BB12" s="1172">
        <v>5550</v>
      </c>
      <c r="BC12" s="1171">
        <v>890</v>
      </c>
      <c r="BD12" s="1172">
        <v>1350</v>
      </c>
      <c r="BE12" s="1172">
        <v>1510</v>
      </c>
      <c r="BF12" s="1172">
        <v>2420</v>
      </c>
      <c r="BG12" s="1171">
        <v>128</v>
      </c>
      <c r="BH12" s="1171">
        <v>195</v>
      </c>
      <c r="BI12" s="1171">
        <v>218</v>
      </c>
      <c r="BJ12" s="1171">
        <v>349</v>
      </c>
      <c r="BK12" s="1171">
        <v>7</v>
      </c>
      <c r="BL12" s="1171">
        <v>11</v>
      </c>
      <c r="BM12" s="1171">
        <v>12</v>
      </c>
      <c r="BN12" s="1171">
        <v>19</v>
      </c>
      <c r="BO12" s="1173">
        <v>0.7</v>
      </c>
      <c r="BP12" s="1173">
        <v>0.12</v>
      </c>
      <c r="BQ12" s="1173">
        <v>0.6</v>
      </c>
      <c r="BR12" s="1173">
        <f t="shared" si="0"/>
        <v>4.8122389468957749E-2</v>
      </c>
      <c r="BS12" s="1173">
        <f t="shared" si="1"/>
        <v>6.3388555222578706E-3</v>
      </c>
    </row>
    <row r="13" spans="1:71" ht="30">
      <c r="AR13" s="1170" t="s">
        <v>725</v>
      </c>
      <c r="AS13" s="1170" t="s">
        <v>620</v>
      </c>
      <c r="AT13" s="1170" t="s">
        <v>621</v>
      </c>
      <c r="AU13" s="1172">
        <v>5500</v>
      </c>
      <c r="AV13" s="1172">
        <v>4700</v>
      </c>
      <c r="AW13" s="1172">
        <v>4500</v>
      </c>
      <c r="AX13" s="1172">
        <v>4500</v>
      </c>
      <c r="AY13" s="1171">
        <v>220</v>
      </c>
      <c r="AZ13" s="1171">
        <v>190</v>
      </c>
      <c r="BA13" s="1171">
        <v>180</v>
      </c>
      <c r="BB13" s="1171">
        <v>180</v>
      </c>
      <c r="BC13" s="1171">
        <v>100</v>
      </c>
      <c r="BD13" s="1171">
        <v>80</v>
      </c>
      <c r="BE13" s="1171">
        <v>80</v>
      </c>
      <c r="BF13" s="1171">
        <v>80</v>
      </c>
      <c r="BG13" s="1171">
        <v>12</v>
      </c>
      <c r="BH13" s="1171">
        <v>11</v>
      </c>
      <c r="BI13" s="1171">
        <v>10</v>
      </c>
      <c r="BJ13" s="1171">
        <v>10</v>
      </c>
      <c r="BK13" s="1171">
        <v>1</v>
      </c>
      <c r="BL13" s="1171">
        <v>1</v>
      </c>
      <c r="BM13" s="1171">
        <v>1</v>
      </c>
      <c r="BN13" s="1171">
        <v>1</v>
      </c>
      <c r="BO13" s="1173">
        <v>0.18</v>
      </c>
      <c r="BP13" s="1173">
        <v>0.05</v>
      </c>
      <c r="BQ13" s="1173">
        <v>0</v>
      </c>
      <c r="BR13" s="1173">
        <f t="shared" si="0"/>
        <v>0</v>
      </c>
      <c r="BS13" s="1173">
        <f t="shared" si="1"/>
        <v>3.5243770768782543E-4</v>
      </c>
    </row>
    <row r="14" spans="1:71" ht="30">
      <c r="AR14" s="1170" t="s">
        <v>725</v>
      </c>
      <c r="AS14" s="1170" t="s">
        <v>622</v>
      </c>
      <c r="AT14" s="1170" t="s">
        <v>621</v>
      </c>
      <c r="AU14" s="1172">
        <v>3400</v>
      </c>
      <c r="AV14" s="1172">
        <v>6400</v>
      </c>
      <c r="AW14" s="1172">
        <v>6100</v>
      </c>
      <c r="AX14" s="1172">
        <v>8500</v>
      </c>
      <c r="AY14" s="1171">
        <v>180</v>
      </c>
      <c r="AZ14" s="1171">
        <v>330</v>
      </c>
      <c r="BA14" s="1171">
        <v>320</v>
      </c>
      <c r="BB14" s="1171">
        <v>450</v>
      </c>
      <c r="BC14" s="1171">
        <v>40</v>
      </c>
      <c r="BD14" s="1171">
        <v>70</v>
      </c>
      <c r="BE14" s="1171">
        <v>70</v>
      </c>
      <c r="BF14" s="1171">
        <v>100</v>
      </c>
      <c r="BG14" s="1171">
        <v>9</v>
      </c>
      <c r="BH14" s="1171">
        <v>17</v>
      </c>
      <c r="BI14" s="1171">
        <v>16</v>
      </c>
      <c r="BJ14" s="1171">
        <v>22</v>
      </c>
      <c r="BK14" s="1171">
        <v>1</v>
      </c>
      <c r="BL14" s="1171">
        <v>1</v>
      </c>
      <c r="BM14" s="1171">
        <v>1</v>
      </c>
      <c r="BN14" s="1171">
        <v>1</v>
      </c>
      <c r="BO14" s="1173">
        <v>0.82</v>
      </c>
      <c r="BP14" s="1173">
        <v>0.04</v>
      </c>
      <c r="BQ14" s="1173">
        <v>0.4</v>
      </c>
      <c r="BR14" s="1173">
        <f t="shared" si="0"/>
        <v>3.4219694129380196E-2</v>
      </c>
      <c r="BS14" s="1173">
        <f t="shared" si="1"/>
        <v>4.8067746047467618E-4</v>
      </c>
    </row>
    <row r="15" spans="1:71" ht="45">
      <c r="AR15" s="1170" t="s">
        <v>725</v>
      </c>
      <c r="AS15" s="1170" t="s">
        <v>623</v>
      </c>
      <c r="AT15" s="1170" t="s">
        <v>624</v>
      </c>
      <c r="AU15" s="1172">
        <v>23100</v>
      </c>
      <c r="AV15" s="1172">
        <v>33500</v>
      </c>
      <c r="AW15" s="1172">
        <v>36900</v>
      </c>
      <c r="AX15" s="1172">
        <v>48000</v>
      </c>
      <c r="AY15" s="1171">
        <v>960</v>
      </c>
      <c r="AZ15" s="1172">
        <v>1400</v>
      </c>
      <c r="BA15" s="1172">
        <v>1540</v>
      </c>
      <c r="BB15" s="1172">
        <v>2000</v>
      </c>
      <c r="BC15" s="1171">
        <v>340</v>
      </c>
      <c r="BD15" s="1171">
        <v>500</v>
      </c>
      <c r="BE15" s="1171">
        <v>550</v>
      </c>
      <c r="BF15" s="1171">
        <v>720</v>
      </c>
      <c r="BG15" s="1171">
        <v>39</v>
      </c>
      <c r="BH15" s="1171">
        <v>56</v>
      </c>
      <c r="BI15" s="1171">
        <v>62</v>
      </c>
      <c r="BJ15" s="1171">
        <v>81</v>
      </c>
      <c r="BK15" s="1171">
        <v>4</v>
      </c>
      <c r="BL15" s="1171">
        <v>5</v>
      </c>
      <c r="BM15" s="1171">
        <v>6</v>
      </c>
      <c r="BN15" s="1171">
        <v>8</v>
      </c>
      <c r="BO15" s="1173">
        <v>0.6</v>
      </c>
      <c r="BP15" s="1173">
        <v>0.08</v>
      </c>
      <c r="BQ15" s="1173">
        <v>0.3</v>
      </c>
      <c r="BR15" s="1173">
        <f t="shared" si="0"/>
        <v>2.6583631304232025E-2</v>
      </c>
      <c r="BS15" s="1173">
        <f t="shared" si="1"/>
        <v>2.8852466960534659E-3</v>
      </c>
    </row>
    <row r="16" spans="1:71" ht="30">
      <c r="AR16" s="1170" t="s">
        <v>725</v>
      </c>
      <c r="AS16" s="1170" t="s">
        <v>627</v>
      </c>
      <c r="AT16" s="1170" t="s">
        <v>628</v>
      </c>
      <c r="AU16" s="1172">
        <v>103500</v>
      </c>
      <c r="AV16" s="1172">
        <v>113000</v>
      </c>
      <c r="AW16" s="1172">
        <v>110700</v>
      </c>
      <c r="AX16" s="1172">
        <v>110700</v>
      </c>
      <c r="AY16" s="1172">
        <v>2100</v>
      </c>
      <c r="AZ16" s="1172">
        <v>2300</v>
      </c>
      <c r="BA16" s="1172">
        <v>2250</v>
      </c>
      <c r="BB16" s="1172">
        <v>2250</v>
      </c>
      <c r="BC16" s="1171">
        <v>740</v>
      </c>
      <c r="BD16" s="1171">
        <v>810</v>
      </c>
      <c r="BE16" s="1171">
        <v>790</v>
      </c>
      <c r="BF16" s="1171">
        <v>790</v>
      </c>
      <c r="BG16" s="1171">
        <v>85</v>
      </c>
      <c r="BH16" s="1171">
        <v>93</v>
      </c>
      <c r="BI16" s="1171">
        <v>91</v>
      </c>
      <c r="BJ16" s="1171">
        <v>91</v>
      </c>
      <c r="BK16" s="1171">
        <v>7</v>
      </c>
      <c r="BL16" s="1171">
        <v>7</v>
      </c>
      <c r="BM16" s="1171">
        <v>7</v>
      </c>
      <c r="BN16" s="1171">
        <v>7</v>
      </c>
      <c r="BO16" s="1173">
        <v>7.0000000000000007E-2</v>
      </c>
      <c r="BP16" s="1173">
        <v>0.02</v>
      </c>
      <c r="BQ16" s="1173">
        <v>0</v>
      </c>
      <c r="BR16" s="1173">
        <f t="shared" si="0"/>
        <v>0</v>
      </c>
      <c r="BS16" s="1173">
        <f t="shared" si="1"/>
        <v>8.4093070148326711E-3</v>
      </c>
    </row>
    <row r="17" spans="1:71" ht="30">
      <c r="AR17" s="1170" t="s">
        <v>725</v>
      </c>
      <c r="AS17" s="1170" t="s">
        <v>631</v>
      </c>
      <c r="AT17" s="1170" t="s">
        <v>628</v>
      </c>
      <c r="AU17" s="1172">
        <v>100700</v>
      </c>
      <c r="AV17" s="1172">
        <v>115100</v>
      </c>
      <c r="AW17" s="1172">
        <v>104700</v>
      </c>
      <c r="AX17" s="1172">
        <v>104700</v>
      </c>
      <c r="AY17" s="1172">
        <v>2010</v>
      </c>
      <c r="AZ17" s="1172">
        <v>2300</v>
      </c>
      <c r="BA17" s="1172">
        <v>2090</v>
      </c>
      <c r="BB17" s="1172">
        <v>2090</v>
      </c>
      <c r="BC17" s="1171">
        <v>630</v>
      </c>
      <c r="BD17" s="1171">
        <v>730</v>
      </c>
      <c r="BE17" s="1171">
        <v>660</v>
      </c>
      <c r="BF17" s="1171">
        <v>660</v>
      </c>
      <c r="BG17" s="1171">
        <v>67</v>
      </c>
      <c r="BH17" s="1171">
        <v>77</v>
      </c>
      <c r="BI17" s="1171">
        <v>70</v>
      </c>
      <c r="BJ17" s="1171">
        <v>70</v>
      </c>
      <c r="BK17" s="1171">
        <v>4</v>
      </c>
      <c r="BL17" s="1171">
        <v>4</v>
      </c>
      <c r="BM17" s="1171">
        <v>4</v>
      </c>
      <c r="BN17" s="1171">
        <v>4</v>
      </c>
      <c r="BO17" s="1173">
        <v>0.04</v>
      </c>
      <c r="BP17" s="1173">
        <v>-0.09</v>
      </c>
      <c r="BQ17" s="1173">
        <v>0</v>
      </c>
      <c r="BR17" s="1173">
        <f t="shared" si="0"/>
        <v>0</v>
      </c>
      <c r="BS17" s="1173">
        <f t="shared" si="1"/>
        <v>7.9428866236482369E-3</v>
      </c>
    </row>
    <row r="18" spans="1:71" ht="30">
      <c r="AR18" s="1170" t="s">
        <v>725</v>
      </c>
      <c r="AS18" s="1170" t="s">
        <v>632</v>
      </c>
      <c r="AT18" s="1170" t="s">
        <v>621</v>
      </c>
      <c r="AU18" s="1172">
        <v>2400</v>
      </c>
      <c r="AV18" s="1172">
        <v>2600</v>
      </c>
      <c r="AW18" s="1172">
        <v>2800</v>
      </c>
      <c r="AX18" s="1172">
        <v>4200</v>
      </c>
      <c r="AY18" s="1171">
        <v>80</v>
      </c>
      <c r="AZ18" s="1171">
        <v>90</v>
      </c>
      <c r="BA18" s="1171">
        <v>100</v>
      </c>
      <c r="BB18" s="1171">
        <v>150</v>
      </c>
      <c r="BC18" s="1171">
        <v>30</v>
      </c>
      <c r="BD18" s="1171">
        <v>30</v>
      </c>
      <c r="BE18" s="1171">
        <v>30</v>
      </c>
      <c r="BF18" s="1171">
        <v>50</v>
      </c>
      <c r="BG18" s="1171">
        <v>2</v>
      </c>
      <c r="BH18" s="1171">
        <v>2</v>
      </c>
      <c r="BI18" s="1171">
        <v>2</v>
      </c>
      <c r="BJ18" s="1171">
        <v>3</v>
      </c>
      <c r="BK18" s="1170" t="s">
        <v>633</v>
      </c>
      <c r="BL18" s="1170" t="s">
        <v>633</v>
      </c>
      <c r="BM18" s="1170" t="s">
        <v>633</v>
      </c>
      <c r="BN18" s="1170" t="s">
        <v>633</v>
      </c>
      <c r="BO18" s="1173">
        <v>0.19</v>
      </c>
      <c r="BP18" s="1173">
        <v>0.06</v>
      </c>
      <c r="BQ18" s="1173">
        <v>0.5</v>
      </c>
      <c r="BR18" s="1173">
        <f t="shared" si="0"/>
        <v>4.1379743992410623E-2</v>
      </c>
      <c r="BS18" s="1173">
        <f t="shared" si="1"/>
        <v>2.1658925989115577E-4</v>
      </c>
    </row>
    <row r="19" spans="1:71" ht="45">
      <c r="AR19" s="1170" t="s">
        <v>725</v>
      </c>
      <c r="AS19" s="1170" t="s">
        <v>634</v>
      </c>
      <c r="AT19" s="1170" t="s">
        <v>624</v>
      </c>
      <c r="AU19" s="1172">
        <v>105300</v>
      </c>
      <c r="AV19" s="1172">
        <v>180000</v>
      </c>
      <c r="AW19" s="1172">
        <v>154800</v>
      </c>
      <c r="AX19" s="1172">
        <v>185800</v>
      </c>
      <c r="AY19" s="1172">
        <v>3040</v>
      </c>
      <c r="AZ19" s="1172">
        <v>5200</v>
      </c>
      <c r="BA19" s="1172">
        <v>4470</v>
      </c>
      <c r="BB19" s="1172">
        <v>5360</v>
      </c>
      <c r="BC19" s="1172">
        <v>1400</v>
      </c>
      <c r="BD19" s="1172">
        <v>2400</v>
      </c>
      <c r="BE19" s="1172">
        <v>2060</v>
      </c>
      <c r="BF19" s="1172">
        <v>2470</v>
      </c>
      <c r="BG19" s="1171">
        <v>277</v>
      </c>
      <c r="BH19" s="1171">
        <v>473</v>
      </c>
      <c r="BI19" s="1171">
        <v>407</v>
      </c>
      <c r="BJ19" s="1171">
        <v>488</v>
      </c>
      <c r="BK19" s="1171">
        <v>23</v>
      </c>
      <c r="BL19" s="1171">
        <v>40</v>
      </c>
      <c r="BM19" s="1171">
        <v>34</v>
      </c>
      <c r="BN19" s="1171">
        <v>41</v>
      </c>
      <c r="BO19" s="1173">
        <v>0.47</v>
      </c>
      <c r="BP19" s="1173">
        <v>-0.14000000000000001</v>
      </c>
      <c r="BQ19" s="1173">
        <v>0.2</v>
      </c>
      <c r="BR19" s="1173">
        <f t="shared" si="0"/>
        <v>1.8399376147024249E-2</v>
      </c>
      <c r="BS19" s="1173">
        <f t="shared" si="1"/>
        <v>1.195015728576131E-2</v>
      </c>
    </row>
    <row r="20" spans="1:71" ht="30">
      <c r="AR20" s="1170" t="s">
        <v>725</v>
      </c>
      <c r="AS20" s="1170" t="s">
        <v>635</v>
      </c>
      <c r="AT20" s="1170" t="s">
        <v>628</v>
      </c>
      <c r="AU20" s="1172">
        <v>3100</v>
      </c>
      <c r="AV20" s="1172">
        <v>4600</v>
      </c>
      <c r="AW20" s="1172">
        <v>4800</v>
      </c>
      <c r="AX20" s="1172">
        <v>5300</v>
      </c>
      <c r="AY20" s="1171">
        <v>140</v>
      </c>
      <c r="AZ20" s="1171">
        <v>200</v>
      </c>
      <c r="BA20" s="1171">
        <v>210</v>
      </c>
      <c r="BB20" s="1171">
        <v>230</v>
      </c>
      <c r="BC20" s="1171">
        <v>50</v>
      </c>
      <c r="BD20" s="1171">
        <v>70</v>
      </c>
      <c r="BE20" s="1171">
        <v>70</v>
      </c>
      <c r="BF20" s="1171">
        <v>80</v>
      </c>
      <c r="BG20" s="1171">
        <v>5</v>
      </c>
      <c r="BH20" s="1171">
        <v>8</v>
      </c>
      <c r="BI20" s="1171">
        <v>8</v>
      </c>
      <c r="BJ20" s="1171">
        <v>9</v>
      </c>
      <c r="BK20" s="1170" t="s">
        <v>633</v>
      </c>
      <c r="BL20" s="1170" t="s">
        <v>633</v>
      </c>
      <c r="BM20" s="1170" t="s">
        <v>633</v>
      </c>
      <c r="BN20" s="1170" t="s">
        <v>633</v>
      </c>
      <c r="BO20" s="1173">
        <v>0.53</v>
      </c>
      <c r="BP20" s="1173">
        <v>0.05</v>
      </c>
      <c r="BQ20" s="1173">
        <v>0.1</v>
      </c>
      <c r="BR20" s="1173">
        <f t="shared" si="0"/>
        <v>9.5765827768869993E-3</v>
      </c>
      <c r="BS20" s="1173">
        <f t="shared" si="1"/>
        <v>3.7585475931998656E-4</v>
      </c>
    </row>
    <row r="21" spans="1:71" ht="45">
      <c r="A21" t="s">
        <v>721</v>
      </c>
      <c r="AR21" s="1170" t="s">
        <v>725</v>
      </c>
      <c r="AS21" s="1170" t="s">
        <v>636</v>
      </c>
      <c r="AT21" s="1170" t="s">
        <v>637</v>
      </c>
      <c r="AU21" s="1172">
        <v>223900</v>
      </c>
      <c r="AV21" s="1172">
        <v>292000</v>
      </c>
      <c r="AW21" s="1172">
        <v>335800</v>
      </c>
      <c r="AX21" s="1172">
        <v>503700</v>
      </c>
      <c r="AY21" s="1172">
        <v>7510</v>
      </c>
      <c r="AZ21" s="1172">
        <v>9800</v>
      </c>
      <c r="BA21" s="1172">
        <v>11270</v>
      </c>
      <c r="BB21" s="1172">
        <v>16910</v>
      </c>
      <c r="BC21" s="1172">
        <v>2740</v>
      </c>
      <c r="BD21" s="1172">
        <v>3570</v>
      </c>
      <c r="BE21" s="1172">
        <v>4110</v>
      </c>
      <c r="BF21" s="1172">
        <v>6170</v>
      </c>
      <c r="BG21" s="1171">
        <v>322</v>
      </c>
      <c r="BH21" s="1171">
        <v>420</v>
      </c>
      <c r="BI21" s="1171">
        <v>483</v>
      </c>
      <c r="BJ21" s="1171">
        <v>725</v>
      </c>
      <c r="BK21" s="1171">
        <v>27</v>
      </c>
      <c r="BL21" s="1171">
        <v>35</v>
      </c>
      <c r="BM21" s="1171">
        <v>40</v>
      </c>
      <c r="BN21" s="1171">
        <v>60</v>
      </c>
      <c r="BO21" s="1173">
        <v>0.5</v>
      </c>
      <c r="BP21" s="1173">
        <v>0.15</v>
      </c>
      <c r="BQ21" s="1173">
        <v>0.5</v>
      </c>
      <c r="BR21" s="1173">
        <f t="shared" si="0"/>
        <v>4.1379743992410623E-2</v>
      </c>
      <c r="BS21" s="1173">
        <f t="shared" si="1"/>
        <v>2.598059088386738E-2</v>
      </c>
    </row>
    <row r="22" spans="1:71" ht="45">
      <c r="AR22" s="1170" t="s">
        <v>725</v>
      </c>
      <c r="AS22" s="1170" t="s">
        <v>639</v>
      </c>
      <c r="AT22" s="1170" t="s">
        <v>624</v>
      </c>
      <c r="AU22" s="1172">
        <v>16000</v>
      </c>
      <c r="AV22" s="1172">
        <v>21200</v>
      </c>
      <c r="AW22" s="1172">
        <v>22500</v>
      </c>
      <c r="AX22" s="1172">
        <v>29300</v>
      </c>
      <c r="AY22" s="1171">
        <v>830</v>
      </c>
      <c r="AZ22" s="1172">
        <v>1100</v>
      </c>
      <c r="BA22" s="1172">
        <v>1170</v>
      </c>
      <c r="BB22" s="1172">
        <v>1520</v>
      </c>
      <c r="BC22" s="1171">
        <v>240</v>
      </c>
      <c r="BD22" s="1171">
        <v>320</v>
      </c>
      <c r="BE22" s="1171">
        <v>340</v>
      </c>
      <c r="BF22" s="1171">
        <v>440</v>
      </c>
      <c r="BG22" s="1171">
        <v>36</v>
      </c>
      <c r="BH22" s="1171">
        <v>48</v>
      </c>
      <c r="BI22" s="1171">
        <v>51</v>
      </c>
      <c r="BJ22" s="1171">
        <v>66</v>
      </c>
      <c r="BK22" s="1171">
        <v>4</v>
      </c>
      <c r="BL22" s="1171">
        <v>6</v>
      </c>
      <c r="BM22" s="1171">
        <v>6</v>
      </c>
      <c r="BN22" s="1171">
        <v>8</v>
      </c>
      <c r="BO22" s="1173">
        <v>0.41</v>
      </c>
      <c r="BP22" s="1173">
        <v>0.06</v>
      </c>
      <c r="BQ22" s="1173">
        <v>0.3</v>
      </c>
      <c r="BR22" s="1173">
        <f t="shared" si="0"/>
        <v>2.6583631304232025E-2</v>
      </c>
      <c r="BS22" s="1173">
        <f t="shared" si="1"/>
        <v>1.7778491534107934E-3</v>
      </c>
    </row>
    <row r="23" spans="1:71" ht="45">
      <c r="AR23" s="1170" t="s">
        <v>725</v>
      </c>
      <c r="AS23" s="1170" t="s">
        <v>642</v>
      </c>
      <c r="AT23" s="1170" t="s">
        <v>624</v>
      </c>
      <c r="AU23" s="1172">
        <v>18200</v>
      </c>
      <c r="AV23" s="1172">
        <v>28200</v>
      </c>
      <c r="AW23" s="1172">
        <v>29600</v>
      </c>
      <c r="AX23" s="1172">
        <v>38500</v>
      </c>
      <c r="AY23" s="1171">
        <v>840</v>
      </c>
      <c r="AZ23" s="1172">
        <v>1300</v>
      </c>
      <c r="BA23" s="1172">
        <v>1370</v>
      </c>
      <c r="BB23" s="1172">
        <v>1780</v>
      </c>
      <c r="BC23" s="1171">
        <v>290</v>
      </c>
      <c r="BD23" s="1171">
        <v>450</v>
      </c>
      <c r="BE23" s="1171">
        <v>470</v>
      </c>
      <c r="BF23" s="1171">
        <v>610</v>
      </c>
      <c r="BG23" s="1171">
        <v>33</v>
      </c>
      <c r="BH23" s="1171">
        <v>50</v>
      </c>
      <c r="BI23" s="1171">
        <v>53</v>
      </c>
      <c r="BJ23" s="1171">
        <v>69</v>
      </c>
      <c r="BK23" s="1171">
        <v>2</v>
      </c>
      <c r="BL23" s="1171">
        <v>3</v>
      </c>
      <c r="BM23" s="1171">
        <v>3</v>
      </c>
      <c r="BN23" s="1171">
        <v>4</v>
      </c>
      <c r="BO23" s="1173">
        <v>0.63</v>
      </c>
      <c r="BP23" s="1173">
        <v>0.05</v>
      </c>
      <c r="BQ23" s="1173">
        <v>0.3</v>
      </c>
      <c r="BR23" s="1173">
        <f t="shared" si="0"/>
        <v>2.6583631304232025E-2</v>
      </c>
      <c r="BS23" s="1173">
        <f t="shared" si="1"/>
        <v>2.3266355148471494E-3</v>
      </c>
    </row>
    <row r="24" spans="1:71" ht="30">
      <c r="AR24" s="1170" t="s">
        <v>725</v>
      </c>
      <c r="AS24" s="1170" t="s">
        <v>645</v>
      </c>
      <c r="AT24" s="1170" t="s">
        <v>628</v>
      </c>
      <c r="AU24" s="1172">
        <v>9200</v>
      </c>
      <c r="AV24" s="1172">
        <v>11400</v>
      </c>
      <c r="AW24" s="1172">
        <v>11900</v>
      </c>
      <c r="AX24" s="1172">
        <v>13100</v>
      </c>
      <c r="AY24" s="1171">
        <v>360</v>
      </c>
      <c r="AZ24" s="1171">
        <v>450</v>
      </c>
      <c r="BA24" s="1171">
        <v>470</v>
      </c>
      <c r="BB24" s="1171">
        <v>520</v>
      </c>
      <c r="BC24" s="1171">
        <v>90</v>
      </c>
      <c r="BD24" s="1171">
        <v>120</v>
      </c>
      <c r="BE24" s="1171">
        <v>120</v>
      </c>
      <c r="BF24" s="1171">
        <v>130</v>
      </c>
      <c r="BG24" s="1171">
        <v>8</v>
      </c>
      <c r="BH24" s="1171">
        <v>11</v>
      </c>
      <c r="BI24" s="1171">
        <v>11</v>
      </c>
      <c r="BJ24" s="1171">
        <v>12</v>
      </c>
      <c r="BK24" s="1170" t="s">
        <v>633</v>
      </c>
      <c r="BL24" s="1170" t="s">
        <v>633</v>
      </c>
      <c r="BM24" s="1170" t="s">
        <v>633</v>
      </c>
      <c r="BN24" s="1170" t="s">
        <v>633</v>
      </c>
      <c r="BO24" s="1173">
        <v>0.3</v>
      </c>
      <c r="BP24" s="1173">
        <v>0.04</v>
      </c>
      <c r="BQ24" s="1173">
        <v>0.1</v>
      </c>
      <c r="BR24" s="1173">
        <f t="shared" si="0"/>
        <v>9.5765827768869993E-3</v>
      </c>
      <c r="BS24" s="1173">
        <f t="shared" si="1"/>
        <v>9.2345918755093394E-4</v>
      </c>
    </row>
    <row r="25" spans="1:71" ht="30">
      <c r="A25" t="s">
        <v>722</v>
      </c>
      <c r="AR25" s="1170" t="s">
        <v>725</v>
      </c>
      <c r="AS25" s="1170" t="s">
        <v>646</v>
      </c>
      <c r="AT25" s="1170" t="s">
        <v>628</v>
      </c>
      <c r="AU25" s="1172">
        <v>10200</v>
      </c>
      <c r="AV25" s="1172">
        <v>12400</v>
      </c>
      <c r="AW25" s="1172">
        <v>12800</v>
      </c>
      <c r="AX25" s="1172">
        <v>14100</v>
      </c>
      <c r="AY25" s="1171">
        <v>600</v>
      </c>
      <c r="AZ25" s="1171">
        <v>730</v>
      </c>
      <c r="BA25" s="1171">
        <v>750</v>
      </c>
      <c r="BB25" s="1171">
        <v>830</v>
      </c>
      <c r="BC25" s="1171">
        <v>210</v>
      </c>
      <c r="BD25" s="1171">
        <v>250</v>
      </c>
      <c r="BE25" s="1171">
        <v>260</v>
      </c>
      <c r="BF25" s="1171">
        <v>290</v>
      </c>
      <c r="BG25" s="1171">
        <v>23</v>
      </c>
      <c r="BH25" s="1171">
        <v>28</v>
      </c>
      <c r="BI25" s="1171">
        <v>29</v>
      </c>
      <c r="BJ25" s="1171">
        <v>32</v>
      </c>
      <c r="BK25" s="1171">
        <v>2</v>
      </c>
      <c r="BL25" s="1171">
        <v>2</v>
      </c>
      <c r="BM25" s="1171">
        <v>2</v>
      </c>
      <c r="BN25" s="1171">
        <v>2</v>
      </c>
      <c r="BO25" s="1173">
        <v>0.25</v>
      </c>
      <c r="BP25" s="1173">
        <v>0.03</v>
      </c>
      <c r="BQ25" s="1173">
        <v>0.1</v>
      </c>
      <c r="BR25" s="1173">
        <f t="shared" si="0"/>
        <v>9.5765827768869993E-3</v>
      </c>
      <c r="BS25" s="1173">
        <f t="shared" si="1"/>
        <v>1.0224460935039177E-3</v>
      </c>
    </row>
    <row r="26" spans="1:71" ht="45">
      <c r="AR26" s="1170" t="s">
        <v>725</v>
      </c>
      <c r="AS26" s="1170" t="s">
        <v>647</v>
      </c>
      <c r="AT26" s="1170" t="s">
        <v>628</v>
      </c>
      <c r="AU26" s="1172">
        <v>13000</v>
      </c>
      <c r="AV26" s="1172">
        <v>17000</v>
      </c>
      <c r="AW26" s="1172">
        <v>17300</v>
      </c>
      <c r="AX26" s="1172">
        <v>19000</v>
      </c>
      <c r="AY26" s="1171">
        <v>580</v>
      </c>
      <c r="AZ26" s="1171">
        <v>750</v>
      </c>
      <c r="BA26" s="1171">
        <v>770</v>
      </c>
      <c r="BB26" s="1171">
        <v>850</v>
      </c>
      <c r="BC26" s="1171">
        <v>210</v>
      </c>
      <c r="BD26" s="1171">
        <v>270</v>
      </c>
      <c r="BE26" s="1171">
        <v>280</v>
      </c>
      <c r="BF26" s="1171">
        <v>310</v>
      </c>
      <c r="BG26" s="1171">
        <v>24</v>
      </c>
      <c r="BH26" s="1171">
        <v>31</v>
      </c>
      <c r="BI26" s="1171">
        <v>32</v>
      </c>
      <c r="BJ26" s="1171">
        <v>35</v>
      </c>
      <c r="BK26" s="1171">
        <v>4</v>
      </c>
      <c r="BL26" s="1171">
        <v>5</v>
      </c>
      <c r="BM26" s="1171">
        <v>5</v>
      </c>
      <c r="BN26" s="1171">
        <v>6</v>
      </c>
      <c r="BO26" s="1173">
        <v>0.33</v>
      </c>
      <c r="BP26" s="1173">
        <v>0.02</v>
      </c>
      <c r="BQ26" s="1173">
        <v>0.1</v>
      </c>
      <c r="BR26" s="1173">
        <f t="shared" si="0"/>
        <v>9.5765827768869993E-3</v>
      </c>
      <c r="BS26" s="1173">
        <f t="shared" si="1"/>
        <v>1.3582628654906824E-3</v>
      </c>
    </row>
    <row r="27" spans="1:71" ht="30">
      <c r="AR27" s="1170" t="s">
        <v>725</v>
      </c>
      <c r="AS27" s="1170" t="s">
        <v>648</v>
      </c>
      <c r="AT27" s="1170" t="s">
        <v>628</v>
      </c>
      <c r="AU27" s="1172">
        <v>63700</v>
      </c>
      <c r="AV27" s="1172">
        <v>74800</v>
      </c>
      <c r="AW27" s="1172">
        <v>73300</v>
      </c>
      <c r="AX27" s="1172">
        <v>80600</v>
      </c>
      <c r="AY27" s="1172">
        <v>1700</v>
      </c>
      <c r="AZ27" s="1172">
        <v>2000</v>
      </c>
      <c r="BA27" s="1172">
        <v>1960</v>
      </c>
      <c r="BB27" s="1172">
        <v>2160</v>
      </c>
      <c r="BC27" s="1171">
        <v>580</v>
      </c>
      <c r="BD27" s="1171">
        <v>680</v>
      </c>
      <c r="BE27" s="1171">
        <v>670</v>
      </c>
      <c r="BF27" s="1171">
        <v>740</v>
      </c>
      <c r="BG27" s="1171">
        <v>64</v>
      </c>
      <c r="BH27" s="1171">
        <v>76</v>
      </c>
      <c r="BI27" s="1171">
        <v>74</v>
      </c>
      <c r="BJ27" s="1171">
        <v>81</v>
      </c>
      <c r="BK27" s="1171">
        <v>4</v>
      </c>
      <c r="BL27" s="1171">
        <v>5</v>
      </c>
      <c r="BM27" s="1171">
        <v>5</v>
      </c>
      <c r="BN27" s="1171">
        <v>6</v>
      </c>
      <c r="BO27" s="1173">
        <v>0.15</v>
      </c>
      <c r="BP27" s="1173">
        <v>0.02</v>
      </c>
      <c r="BQ27" s="1173">
        <v>0.1</v>
      </c>
      <c r="BR27" s="1173">
        <f t="shared" si="0"/>
        <v>9.5765827768869993E-3</v>
      </c>
      <c r="BS27" s="1173">
        <f t="shared" si="1"/>
        <v>5.6148475631196655E-3</v>
      </c>
    </row>
    <row r="28" spans="1:71" ht="30">
      <c r="AR28" s="1170" t="s">
        <v>725</v>
      </c>
      <c r="AS28" s="1170" t="s">
        <v>650</v>
      </c>
      <c r="AT28" s="1170" t="s">
        <v>628</v>
      </c>
      <c r="AU28" s="1172">
        <v>1400</v>
      </c>
      <c r="AV28" s="1172">
        <v>1800</v>
      </c>
      <c r="AW28" s="1172">
        <v>1900</v>
      </c>
      <c r="AX28" s="1172">
        <v>2100</v>
      </c>
      <c r="AY28" s="1171">
        <v>60</v>
      </c>
      <c r="AZ28" s="1171">
        <v>80</v>
      </c>
      <c r="BA28" s="1171">
        <v>80</v>
      </c>
      <c r="BB28" s="1171">
        <v>90</v>
      </c>
      <c r="BC28" s="1171">
        <v>20</v>
      </c>
      <c r="BD28" s="1171">
        <v>30</v>
      </c>
      <c r="BE28" s="1171">
        <v>30</v>
      </c>
      <c r="BF28" s="1171">
        <v>30</v>
      </c>
      <c r="BG28" s="1171">
        <v>2</v>
      </c>
      <c r="BH28" s="1171">
        <v>3</v>
      </c>
      <c r="BI28" s="1171">
        <v>3</v>
      </c>
      <c r="BJ28" s="1171">
        <v>3</v>
      </c>
      <c r="BK28" s="1169"/>
      <c r="BL28" s="1169"/>
      <c r="BM28" s="1169"/>
      <c r="BN28" s="1169"/>
      <c r="BO28" s="1173">
        <v>0.37</v>
      </c>
      <c r="BP28" s="1173">
        <v>0.03</v>
      </c>
      <c r="BQ28" s="1173">
        <v>0.1</v>
      </c>
      <c r="BR28" s="1173">
        <f t="shared" si="0"/>
        <v>9.5765827768869993E-3</v>
      </c>
      <c r="BS28" s="1173">
        <f t="shared" si="1"/>
        <v>1.4870197140548995E-4</v>
      </c>
    </row>
    <row r="29" spans="1:71" ht="30">
      <c r="AR29" s="1170" t="s">
        <v>725</v>
      </c>
      <c r="AS29" s="1170" t="s">
        <v>651</v>
      </c>
      <c r="AT29" s="1170" t="s">
        <v>621</v>
      </c>
      <c r="AU29" s="1172">
        <v>1000</v>
      </c>
      <c r="AV29" s="1172">
        <v>2800</v>
      </c>
      <c r="AW29" s="1172">
        <v>3100</v>
      </c>
      <c r="AX29" s="1172">
        <v>6200</v>
      </c>
      <c r="AY29" s="1171">
        <v>50</v>
      </c>
      <c r="AZ29" s="1171">
        <v>140</v>
      </c>
      <c r="BA29" s="1171">
        <v>150</v>
      </c>
      <c r="BB29" s="1171">
        <v>300</v>
      </c>
      <c r="BC29" s="1171">
        <v>10</v>
      </c>
      <c r="BD29" s="1171">
        <v>40</v>
      </c>
      <c r="BE29" s="1171">
        <v>40</v>
      </c>
      <c r="BF29" s="1171">
        <v>80</v>
      </c>
      <c r="BG29" s="1171">
        <v>1</v>
      </c>
      <c r="BH29" s="1171">
        <v>4</v>
      </c>
      <c r="BI29" s="1171">
        <v>4</v>
      </c>
      <c r="BJ29" s="1171">
        <v>8</v>
      </c>
      <c r="BK29" s="1169"/>
      <c r="BL29" s="1169"/>
      <c r="BM29" s="1169"/>
      <c r="BN29" s="1169"/>
      <c r="BO29" s="1173">
        <v>2.19</v>
      </c>
      <c r="BP29" s="1173">
        <v>0.1</v>
      </c>
      <c r="BQ29" s="1173">
        <v>1</v>
      </c>
      <c r="BR29" s="1173">
        <f t="shared" si="0"/>
        <v>7.1773462536293131E-2</v>
      </c>
      <c r="BS29" s="1173">
        <f t="shared" si="1"/>
        <v>2.4333049866352902E-4</v>
      </c>
    </row>
    <row r="30" spans="1:71" ht="30">
      <c r="AR30" s="1170" t="s">
        <v>725</v>
      </c>
      <c r="AS30" s="1170" t="s">
        <v>652</v>
      </c>
      <c r="AT30" s="1170" t="s">
        <v>628</v>
      </c>
      <c r="AU30" s="1172">
        <v>47300</v>
      </c>
      <c r="AV30" s="1172">
        <v>49200</v>
      </c>
      <c r="AW30" s="1172">
        <v>48200</v>
      </c>
      <c r="AX30" s="1172">
        <v>48200</v>
      </c>
      <c r="AY30" s="1172">
        <v>1060</v>
      </c>
      <c r="AZ30" s="1172">
        <v>1100</v>
      </c>
      <c r="BA30" s="1172">
        <v>1080</v>
      </c>
      <c r="BB30" s="1172">
        <v>1080</v>
      </c>
      <c r="BC30" s="1171">
        <v>450</v>
      </c>
      <c r="BD30" s="1171">
        <v>470</v>
      </c>
      <c r="BE30" s="1171">
        <v>460</v>
      </c>
      <c r="BF30" s="1171">
        <v>460</v>
      </c>
      <c r="BG30" s="1171">
        <v>63</v>
      </c>
      <c r="BH30" s="1171">
        <v>65</v>
      </c>
      <c r="BI30" s="1171">
        <v>64</v>
      </c>
      <c r="BJ30" s="1171">
        <v>64</v>
      </c>
      <c r="BK30" s="1171">
        <v>5</v>
      </c>
      <c r="BL30" s="1171">
        <v>5</v>
      </c>
      <c r="BM30" s="1171">
        <v>5</v>
      </c>
      <c r="BN30" s="1171">
        <v>5</v>
      </c>
      <c r="BO30" s="1173">
        <v>0.02</v>
      </c>
      <c r="BP30" s="1173">
        <v>0.02</v>
      </c>
      <c r="BQ30" s="1173">
        <v>0</v>
      </c>
      <c r="BR30" s="1173">
        <f t="shared" si="0"/>
        <v>0</v>
      </c>
      <c r="BS30" s="1173">
        <f t="shared" si="1"/>
        <v>3.6794319392628163E-3</v>
      </c>
    </row>
    <row r="31" spans="1:71" ht="30">
      <c r="AR31" s="1170" t="s">
        <v>725</v>
      </c>
      <c r="AS31" s="1170" t="s">
        <v>653</v>
      </c>
      <c r="AT31" s="1170" t="s">
        <v>628</v>
      </c>
      <c r="AU31" s="1172">
        <v>323000</v>
      </c>
      <c r="AV31" s="1172">
        <v>323000</v>
      </c>
      <c r="AW31" s="1172">
        <v>290700</v>
      </c>
      <c r="AX31" s="1172">
        <v>290700</v>
      </c>
      <c r="AY31" s="1172">
        <v>8200</v>
      </c>
      <c r="AZ31" s="1172">
        <v>8200</v>
      </c>
      <c r="BA31" s="1172">
        <v>7380</v>
      </c>
      <c r="BB31" s="1172">
        <v>7380</v>
      </c>
      <c r="BC31" s="1172">
        <v>3330</v>
      </c>
      <c r="BD31" s="1172">
        <v>3330</v>
      </c>
      <c r="BE31" s="1172">
        <v>3000</v>
      </c>
      <c r="BF31" s="1172">
        <v>3000</v>
      </c>
      <c r="BG31" s="1171">
        <v>420</v>
      </c>
      <c r="BH31" s="1171">
        <v>420</v>
      </c>
      <c r="BI31" s="1171">
        <v>378</v>
      </c>
      <c r="BJ31" s="1171">
        <v>378</v>
      </c>
      <c r="BK31" s="1171">
        <v>43</v>
      </c>
      <c r="BL31" s="1171">
        <v>43</v>
      </c>
      <c r="BM31" s="1171">
        <v>39</v>
      </c>
      <c r="BN31" s="1171">
        <v>39</v>
      </c>
      <c r="BO31" s="1173">
        <v>0.1</v>
      </c>
      <c r="BP31" s="1173">
        <v>0.1</v>
      </c>
      <c r="BQ31" s="1173">
        <v>0</v>
      </c>
      <c r="BR31" s="1173">
        <f t="shared" si="0"/>
        <v>0</v>
      </c>
      <c r="BS31" s="1173">
        <f t="shared" si="1"/>
        <v>2.227183222694536E-2</v>
      </c>
    </row>
    <row r="32" spans="1:71" ht="30">
      <c r="AR32" s="1170" t="s">
        <v>725</v>
      </c>
      <c r="AS32" s="1170" t="s">
        <v>654</v>
      </c>
      <c r="AT32" s="1170" t="s">
        <v>628</v>
      </c>
      <c r="AU32" s="1172">
        <v>685500</v>
      </c>
      <c r="AV32" s="1172">
        <v>824000</v>
      </c>
      <c r="AW32" s="1172">
        <v>774600</v>
      </c>
      <c r="AX32" s="1172">
        <v>774600</v>
      </c>
      <c r="AY32" s="1172">
        <v>21130</v>
      </c>
      <c r="AZ32" s="1172">
        <v>25400</v>
      </c>
      <c r="BA32" s="1172">
        <v>23880</v>
      </c>
      <c r="BB32" s="1172">
        <v>23880</v>
      </c>
      <c r="BC32" s="1172">
        <v>7740</v>
      </c>
      <c r="BD32" s="1172">
        <v>9310</v>
      </c>
      <c r="BE32" s="1172">
        <v>8750</v>
      </c>
      <c r="BF32" s="1172">
        <v>8750</v>
      </c>
      <c r="BG32" s="1171">
        <v>915</v>
      </c>
      <c r="BH32" s="1172">
        <v>1100</v>
      </c>
      <c r="BI32" s="1172">
        <v>1034</v>
      </c>
      <c r="BJ32" s="1172">
        <v>1034</v>
      </c>
      <c r="BK32" s="1171">
        <v>69</v>
      </c>
      <c r="BL32" s="1171">
        <v>83</v>
      </c>
      <c r="BM32" s="1171">
        <v>78</v>
      </c>
      <c r="BN32" s="1171">
        <v>78</v>
      </c>
      <c r="BO32" s="1173">
        <v>0.13</v>
      </c>
      <c r="BP32" s="1173">
        <v>0.06</v>
      </c>
      <c r="BQ32" s="1173">
        <v>0</v>
      </c>
      <c r="BR32" s="1173">
        <f t="shared" si="0"/>
        <v>0</v>
      </c>
      <c r="BS32" s="1173">
        <f t="shared" si="1"/>
        <v>5.9712890695408131E-2</v>
      </c>
    </row>
    <row r="33" spans="1:71" ht="30">
      <c r="AR33" s="1170" t="s">
        <v>725</v>
      </c>
      <c r="AS33" s="1170" t="s">
        <v>655</v>
      </c>
      <c r="AT33" s="1170" t="s">
        <v>621</v>
      </c>
      <c r="AU33" s="1172">
        <v>1900</v>
      </c>
      <c r="AV33" s="1172">
        <v>2700</v>
      </c>
      <c r="AW33" s="1172">
        <v>2900</v>
      </c>
      <c r="AX33" s="1172">
        <v>5200</v>
      </c>
      <c r="AY33" s="1171">
        <v>80</v>
      </c>
      <c r="AZ33" s="1171">
        <v>110</v>
      </c>
      <c r="BA33" s="1171">
        <v>120</v>
      </c>
      <c r="BB33" s="1171">
        <v>220</v>
      </c>
      <c r="BC33" s="1171">
        <v>20</v>
      </c>
      <c r="BD33" s="1171">
        <v>30</v>
      </c>
      <c r="BE33" s="1171">
        <v>30</v>
      </c>
      <c r="BF33" s="1171">
        <v>50</v>
      </c>
      <c r="BG33" s="1171">
        <v>3</v>
      </c>
      <c r="BH33" s="1171">
        <v>4</v>
      </c>
      <c r="BI33" s="1171">
        <v>4</v>
      </c>
      <c r="BJ33" s="1171">
        <v>7</v>
      </c>
      <c r="BK33" s="1170" t="s">
        <v>633</v>
      </c>
      <c r="BL33" s="1170" t="s">
        <v>633</v>
      </c>
      <c r="BM33" s="1170" t="s">
        <v>633</v>
      </c>
      <c r="BN33" s="1170" t="s">
        <v>633</v>
      </c>
      <c r="BO33" s="1173">
        <v>0.49</v>
      </c>
      <c r="BP33" s="1173">
        <v>0.08</v>
      </c>
      <c r="BQ33" s="1173">
        <v>0.8</v>
      </c>
      <c r="BR33" s="1173">
        <f t="shared" si="0"/>
        <v>6.0540481614018704E-2</v>
      </c>
      <c r="BS33" s="1173">
        <f t="shared" si="1"/>
        <v>2.2560150058239758E-4</v>
      </c>
    </row>
    <row r="34" spans="1:71" ht="30">
      <c r="AR34" s="1170" t="s">
        <v>725</v>
      </c>
      <c r="AS34" s="1170" t="s">
        <v>656</v>
      </c>
      <c r="AT34" s="1170" t="s">
        <v>628</v>
      </c>
      <c r="AU34" s="1172">
        <v>54800</v>
      </c>
      <c r="AV34" s="1172">
        <v>42600</v>
      </c>
      <c r="AW34" s="1172">
        <v>40000</v>
      </c>
      <c r="AX34" s="1172">
        <v>40000</v>
      </c>
      <c r="AY34" s="1172">
        <v>2050</v>
      </c>
      <c r="AZ34" s="1172">
        <v>1600</v>
      </c>
      <c r="BA34" s="1172">
        <v>1500</v>
      </c>
      <c r="BB34" s="1172">
        <v>1500</v>
      </c>
      <c r="BC34" s="1171">
        <v>730</v>
      </c>
      <c r="BD34" s="1171">
        <v>560</v>
      </c>
      <c r="BE34" s="1171">
        <v>530</v>
      </c>
      <c r="BF34" s="1171">
        <v>530</v>
      </c>
      <c r="BG34" s="1171">
        <v>85</v>
      </c>
      <c r="BH34" s="1171">
        <v>66</v>
      </c>
      <c r="BI34" s="1171">
        <v>62</v>
      </c>
      <c r="BJ34" s="1171">
        <v>62</v>
      </c>
      <c r="BK34" s="1171">
        <v>4</v>
      </c>
      <c r="BL34" s="1171">
        <v>3</v>
      </c>
      <c r="BM34" s="1171">
        <v>3</v>
      </c>
      <c r="BN34" s="1171">
        <v>3</v>
      </c>
      <c r="BO34" s="1173">
        <v>-0.27</v>
      </c>
      <c r="BP34" s="1173">
        <v>-0.06</v>
      </c>
      <c r="BQ34" s="1173">
        <v>0</v>
      </c>
      <c r="BR34" s="1173">
        <f t="shared" si="0"/>
        <v>0</v>
      </c>
      <c r="BS34" s="1173">
        <f t="shared" si="1"/>
        <v>3.1095923926051168E-3</v>
      </c>
    </row>
    <row r="35" spans="1:71" ht="30">
      <c r="AR35" s="1170" t="s">
        <v>725</v>
      </c>
      <c r="AS35" s="1170" t="s">
        <v>658</v>
      </c>
      <c r="AT35" s="1170" t="s">
        <v>628</v>
      </c>
      <c r="AU35" s="1172">
        <v>9400</v>
      </c>
      <c r="AV35" s="1172">
        <v>12100</v>
      </c>
      <c r="AW35" s="1172">
        <v>13100</v>
      </c>
      <c r="AX35" s="1172">
        <v>15700</v>
      </c>
      <c r="AY35" s="1171">
        <v>410</v>
      </c>
      <c r="AZ35" s="1171">
        <v>530</v>
      </c>
      <c r="BA35" s="1171">
        <v>570</v>
      </c>
      <c r="BB35" s="1171">
        <v>680</v>
      </c>
      <c r="BC35" s="1171">
        <v>150</v>
      </c>
      <c r="BD35" s="1171">
        <v>190</v>
      </c>
      <c r="BE35" s="1171">
        <v>210</v>
      </c>
      <c r="BF35" s="1171">
        <v>250</v>
      </c>
      <c r="BG35" s="1171">
        <v>17</v>
      </c>
      <c r="BH35" s="1171">
        <v>22</v>
      </c>
      <c r="BI35" s="1171">
        <v>24</v>
      </c>
      <c r="BJ35" s="1171">
        <v>29</v>
      </c>
      <c r="BK35" s="1170" t="s">
        <v>633</v>
      </c>
      <c r="BL35" s="1170" t="s">
        <v>633</v>
      </c>
      <c r="BM35" s="1170" t="s">
        <v>633</v>
      </c>
      <c r="BN35" s="1170" t="s">
        <v>633</v>
      </c>
      <c r="BO35" s="1173">
        <v>0.4</v>
      </c>
      <c r="BP35" s="1173">
        <v>0.08</v>
      </c>
      <c r="BQ35" s="1173">
        <v>0.2</v>
      </c>
      <c r="BR35" s="1173">
        <f t="shared" si="0"/>
        <v>1.8399376147024249E-2</v>
      </c>
      <c r="BS35" s="1173">
        <f t="shared" si="1"/>
        <v>1.0270999555002148E-3</v>
      </c>
    </row>
    <row r="36" spans="1:71" ht="30">
      <c r="A36" s="851" t="s">
        <v>723</v>
      </c>
      <c r="AR36" s="1170" t="s">
        <v>725</v>
      </c>
      <c r="AS36" s="1170" t="s">
        <v>663</v>
      </c>
      <c r="AT36" s="1170" t="s">
        <v>628</v>
      </c>
      <c r="AU36" s="1172">
        <v>66500</v>
      </c>
      <c r="AV36" s="1172">
        <v>78400</v>
      </c>
      <c r="AW36" s="1172">
        <v>83100</v>
      </c>
      <c r="AX36" s="1172">
        <v>108000</v>
      </c>
      <c r="AY36" s="1172">
        <v>2210</v>
      </c>
      <c r="AZ36" s="1172">
        <v>2600</v>
      </c>
      <c r="BA36" s="1172">
        <v>2760</v>
      </c>
      <c r="BB36" s="1172">
        <v>3590</v>
      </c>
      <c r="BC36" s="1171">
        <v>710</v>
      </c>
      <c r="BD36" s="1171">
        <v>840</v>
      </c>
      <c r="BE36" s="1171">
        <v>890</v>
      </c>
      <c r="BF36" s="1172">
        <v>1160</v>
      </c>
      <c r="BG36" s="1171">
        <v>76</v>
      </c>
      <c r="BH36" s="1171">
        <v>90</v>
      </c>
      <c r="BI36" s="1171">
        <v>95</v>
      </c>
      <c r="BJ36" s="1171">
        <v>124</v>
      </c>
      <c r="BK36" s="1171">
        <v>4</v>
      </c>
      <c r="BL36" s="1171">
        <v>5</v>
      </c>
      <c r="BM36" s="1171">
        <v>5</v>
      </c>
      <c r="BN36" s="1171">
        <v>7</v>
      </c>
      <c r="BO36" s="1173">
        <v>0.25</v>
      </c>
      <c r="BP36" s="1173">
        <v>0.06</v>
      </c>
      <c r="BQ36" s="1173">
        <v>0.3</v>
      </c>
      <c r="BR36" s="1173">
        <f t="shared" si="0"/>
        <v>2.6583631304232025E-2</v>
      </c>
      <c r="BS36" s="1173">
        <f t="shared" si="1"/>
        <v>6.4156811806094401E-3</v>
      </c>
    </row>
    <row r="37" spans="1:71" ht="30">
      <c r="AR37" s="1170" t="s">
        <v>725</v>
      </c>
      <c r="AS37" s="1170" t="s">
        <v>664</v>
      </c>
      <c r="AT37" s="1170" t="s">
        <v>662</v>
      </c>
      <c r="AU37" s="1172">
        <v>51200</v>
      </c>
      <c r="AV37" s="1172">
        <v>75000</v>
      </c>
      <c r="AW37" s="1172">
        <v>82500</v>
      </c>
      <c r="AX37" s="1172">
        <v>123800</v>
      </c>
      <c r="AY37" s="1172">
        <v>2660</v>
      </c>
      <c r="AZ37" s="1172">
        <v>3900</v>
      </c>
      <c r="BA37" s="1172">
        <v>4290</v>
      </c>
      <c r="BB37" s="1172">
        <v>6440</v>
      </c>
      <c r="BC37" s="1172">
        <v>1030</v>
      </c>
      <c r="BD37" s="1172">
        <v>1510</v>
      </c>
      <c r="BE37" s="1172">
        <v>1660</v>
      </c>
      <c r="BF37" s="1172">
        <v>2490</v>
      </c>
      <c r="BG37" s="1171">
        <v>125</v>
      </c>
      <c r="BH37" s="1171">
        <v>183</v>
      </c>
      <c r="BI37" s="1171">
        <v>201</v>
      </c>
      <c r="BJ37" s="1171">
        <v>302</v>
      </c>
      <c r="BK37" s="1171">
        <v>12</v>
      </c>
      <c r="BL37" s="1171">
        <v>17</v>
      </c>
      <c r="BM37" s="1171">
        <v>19</v>
      </c>
      <c r="BN37" s="1171">
        <v>29</v>
      </c>
      <c r="BO37" s="1173">
        <v>0.61</v>
      </c>
      <c r="BP37" s="1173">
        <v>0.1</v>
      </c>
      <c r="BQ37" s="1173">
        <v>0.5</v>
      </c>
      <c r="BR37" s="1173">
        <f t="shared" ref="BR37:BR68" si="2">IF(BQ37&gt;0,((1+BQ37)^0.1)-1,0)</f>
        <v>4.1379743992410623E-2</v>
      </c>
      <c r="BS37" s="1173">
        <f t="shared" ref="BS37:BS68" si="3">SUM(AW37,BA37,BE37,BI37,BM37)/SUM($AW$94,$BA$94,$BE$94,$BI$94,$BM$94)</f>
        <v>6.5501260827246872E-3</v>
      </c>
    </row>
    <row r="38" spans="1:71" ht="30">
      <c r="AR38" s="1170" t="s">
        <v>725</v>
      </c>
      <c r="AS38" s="1170" t="s">
        <v>665</v>
      </c>
      <c r="AT38" s="1170" t="s">
        <v>628</v>
      </c>
      <c r="AU38" s="1172">
        <v>242200</v>
      </c>
      <c r="AV38" s="1172">
        <v>245000</v>
      </c>
      <c r="AW38" s="1172">
        <v>215600</v>
      </c>
      <c r="AX38" s="1172">
        <v>215600</v>
      </c>
      <c r="AY38" s="1172">
        <v>6530</v>
      </c>
      <c r="AZ38" s="1172">
        <v>6600</v>
      </c>
      <c r="BA38" s="1172">
        <v>5810</v>
      </c>
      <c r="BB38" s="1172">
        <v>5810</v>
      </c>
      <c r="BC38" s="1172">
        <v>2620</v>
      </c>
      <c r="BD38" s="1172">
        <v>2650</v>
      </c>
      <c r="BE38" s="1172">
        <v>2330</v>
      </c>
      <c r="BF38" s="1172">
        <v>2330</v>
      </c>
      <c r="BG38" s="1171">
        <v>330</v>
      </c>
      <c r="BH38" s="1171">
        <v>334</v>
      </c>
      <c r="BI38" s="1171">
        <v>294</v>
      </c>
      <c r="BJ38" s="1171">
        <v>294</v>
      </c>
      <c r="BK38" s="1171">
        <v>34</v>
      </c>
      <c r="BL38" s="1171">
        <v>34</v>
      </c>
      <c r="BM38" s="1171">
        <v>30</v>
      </c>
      <c r="BN38" s="1171">
        <v>30</v>
      </c>
      <c r="BO38" s="1173">
        <v>-0.11</v>
      </c>
      <c r="BP38" s="1173">
        <v>-0.12</v>
      </c>
      <c r="BQ38" s="1173">
        <v>0</v>
      </c>
      <c r="BR38" s="1173">
        <f t="shared" si="2"/>
        <v>0</v>
      </c>
      <c r="BS38" s="1173">
        <f t="shared" si="3"/>
        <v>1.6551792608544315E-2</v>
      </c>
    </row>
    <row r="39" spans="1:71" ht="30">
      <c r="AR39" s="1170" t="s">
        <v>725</v>
      </c>
      <c r="AS39" s="1170" t="s">
        <v>667</v>
      </c>
      <c r="AT39" s="1170" t="s">
        <v>662</v>
      </c>
      <c r="AU39" s="1172">
        <v>3600</v>
      </c>
      <c r="AV39" s="1172">
        <v>6300</v>
      </c>
      <c r="AW39" s="1172">
        <v>6600</v>
      </c>
      <c r="AX39" s="1172">
        <v>11900</v>
      </c>
      <c r="AY39" s="1171">
        <v>180</v>
      </c>
      <c r="AZ39" s="1171">
        <v>300</v>
      </c>
      <c r="BA39" s="1171">
        <v>320</v>
      </c>
      <c r="BB39" s="1171">
        <v>580</v>
      </c>
      <c r="BC39" s="1171">
        <v>60</v>
      </c>
      <c r="BD39" s="1171">
        <v>100</v>
      </c>
      <c r="BE39" s="1171">
        <v>110</v>
      </c>
      <c r="BF39" s="1171">
        <v>200</v>
      </c>
      <c r="BG39" s="1171">
        <v>7</v>
      </c>
      <c r="BH39" s="1171">
        <v>12</v>
      </c>
      <c r="BI39" s="1171">
        <v>13</v>
      </c>
      <c r="BJ39" s="1171">
        <v>23</v>
      </c>
      <c r="BK39" s="1171">
        <v>1</v>
      </c>
      <c r="BL39" s="1171">
        <v>1</v>
      </c>
      <c r="BM39" s="1171">
        <v>1</v>
      </c>
      <c r="BN39" s="1171">
        <v>2</v>
      </c>
      <c r="BO39" s="1173">
        <v>0.81</v>
      </c>
      <c r="BP39" s="1173">
        <v>0.05</v>
      </c>
      <c r="BQ39" s="1173">
        <v>0.8</v>
      </c>
      <c r="BR39" s="1173">
        <f t="shared" si="2"/>
        <v>6.0540481614018704E-2</v>
      </c>
      <c r="BS39" s="1173">
        <f t="shared" si="3"/>
        <v>5.2034609368120785E-4</v>
      </c>
    </row>
    <row r="40" spans="1:71" ht="30">
      <c r="AR40" s="1170" t="s">
        <v>725</v>
      </c>
      <c r="AS40" s="1170" t="s">
        <v>669</v>
      </c>
      <c r="AT40" s="1170" t="s">
        <v>621</v>
      </c>
      <c r="AU40" s="1172">
        <v>4900</v>
      </c>
      <c r="AV40" s="1172">
        <v>8500</v>
      </c>
      <c r="AW40" s="1172">
        <v>9400</v>
      </c>
      <c r="AX40" s="1172">
        <v>16900</v>
      </c>
      <c r="AY40" s="1171">
        <v>190</v>
      </c>
      <c r="AZ40" s="1171">
        <v>340</v>
      </c>
      <c r="BA40" s="1171">
        <v>370</v>
      </c>
      <c r="BB40" s="1171">
        <v>670</v>
      </c>
      <c r="BC40" s="1171">
        <v>60</v>
      </c>
      <c r="BD40" s="1171">
        <v>110</v>
      </c>
      <c r="BE40" s="1171">
        <v>120</v>
      </c>
      <c r="BF40" s="1171">
        <v>220</v>
      </c>
      <c r="BG40" s="1171">
        <v>9</v>
      </c>
      <c r="BH40" s="1171">
        <v>16</v>
      </c>
      <c r="BI40" s="1171">
        <v>18</v>
      </c>
      <c r="BJ40" s="1171">
        <v>32</v>
      </c>
      <c r="BK40" s="1170" t="s">
        <v>633</v>
      </c>
      <c r="BL40" s="1170" t="s">
        <v>633</v>
      </c>
      <c r="BM40" s="1170" t="s">
        <v>633</v>
      </c>
      <c r="BN40" s="1170" t="s">
        <v>633</v>
      </c>
      <c r="BO40" s="1173">
        <v>0.93</v>
      </c>
      <c r="BP40" s="1173">
        <v>0.1</v>
      </c>
      <c r="BQ40" s="1173">
        <v>0.8</v>
      </c>
      <c r="BR40" s="1173">
        <f t="shared" si="2"/>
        <v>6.0540481614018704E-2</v>
      </c>
      <c r="BS40" s="1173">
        <f t="shared" si="3"/>
        <v>7.3191213744937635E-4</v>
      </c>
    </row>
    <row r="41" spans="1:71" ht="30">
      <c r="AR41" s="1170" t="s">
        <v>725</v>
      </c>
      <c r="AS41" s="1170" t="s">
        <v>670</v>
      </c>
      <c r="AT41" s="1170" t="s">
        <v>628</v>
      </c>
      <c r="AU41" s="1172">
        <v>1300</v>
      </c>
      <c r="AV41" s="1172">
        <v>1800</v>
      </c>
      <c r="AW41" s="1172">
        <v>1900</v>
      </c>
      <c r="AX41" s="1172">
        <v>2100</v>
      </c>
      <c r="AY41" s="1171">
        <v>50</v>
      </c>
      <c r="AZ41" s="1171">
        <v>70</v>
      </c>
      <c r="BA41" s="1171">
        <v>70</v>
      </c>
      <c r="BB41" s="1171">
        <v>80</v>
      </c>
      <c r="BC41" s="1171">
        <v>20</v>
      </c>
      <c r="BD41" s="1171">
        <v>30</v>
      </c>
      <c r="BE41" s="1171">
        <v>30</v>
      </c>
      <c r="BF41" s="1171">
        <v>30</v>
      </c>
      <c r="BG41" s="1171">
        <v>1</v>
      </c>
      <c r="BH41" s="1171">
        <v>2</v>
      </c>
      <c r="BI41" s="1171">
        <v>2</v>
      </c>
      <c r="BJ41" s="1171">
        <v>2</v>
      </c>
      <c r="BK41" s="1169"/>
      <c r="BL41" s="1169"/>
      <c r="BM41" s="1169"/>
      <c r="BN41" s="1169"/>
      <c r="BO41" s="1173">
        <v>0.42</v>
      </c>
      <c r="BP41" s="1173">
        <v>0.03</v>
      </c>
      <c r="BQ41" s="1173">
        <v>0.1</v>
      </c>
      <c r="BR41" s="1173">
        <f t="shared" si="2"/>
        <v>9.5765827768869993E-3</v>
      </c>
      <c r="BS41" s="1173">
        <f t="shared" si="3"/>
        <v>1.4788939232677145E-4</v>
      </c>
    </row>
    <row r="42" spans="1:71" ht="30">
      <c r="AR42" s="1170" t="s">
        <v>725</v>
      </c>
      <c r="AS42" s="1170" t="s">
        <v>672</v>
      </c>
      <c r="AT42" s="1170" t="s">
        <v>628</v>
      </c>
      <c r="AU42" s="1172">
        <v>1900</v>
      </c>
      <c r="AV42" s="1172">
        <v>2800</v>
      </c>
      <c r="AW42" s="1172">
        <v>2900</v>
      </c>
      <c r="AX42" s="1172">
        <v>3200</v>
      </c>
      <c r="AY42" s="1171">
        <v>80</v>
      </c>
      <c r="AZ42" s="1171">
        <v>120</v>
      </c>
      <c r="BA42" s="1171">
        <v>130</v>
      </c>
      <c r="BB42" s="1171">
        <v>140</v>
      </c>
      <c r="BC42" s="1171">
        <v>30</v>
      </c>
      <c r="BD42" s="1171">
        <v>40</v>
      </c>
      <c r="BE42" s="1171">
        <v>40</v>
      </c>
      <c r="BF42" s="1171">
        <v>40</v>
      </c>
      <c r="BG42" s="1171">
        <v>3</v>
      </c>
      <c r="BH42" s="1171">
        <v>5</v>
      </c>
      <c r="BI42" s="1171">
        <v>5</v>
      </c>
      <c r="BJ42" s="1171">
        <v>6</v>
      </c>
      <c r="BK42" s="1169"/>
      <c r="BL42" s="1169"/>
      <c r="BM42" s="1169"/>
      <c r="BN42" s="1169"/>
      <c r="BO42" s="1173">
        <v>0.53</v>
      </c>
      <c r="BP42" s="1173">
        <v>0.05</v>
      </c>
      <c r="BQ42" s="1173">
        <v>0.1</v>
      </c>
      <c r="BR42" s="1173">
        <f t="shared" si="2"/>
        <v>9.5765827768869993E-3</v>
      </c>
      <c r="BS42" s="1173">
        <f t="shared" si="3"/>
        <v>2.2715278791449658E-4</v>
      </c>
    </row>
    <row r="43" spans="1:71" ht="30">
      <c r="AR43" s="1170" t="s">
        <v>725</v>
      </c>
      <c r="AS43" s="1170" t="s">
        <v>673</v>
      </c>
      <c r="AT43" s="1170" t="s">
        <v>628</v>
      </c>
      <c r="AU43" s="1172">
        <v>24000</v>
      </c>
      <c r="AV43" s="1172">
        <v>32500</v>
      </c>
      <c r="AW43" s="1172">
        <v>34100</v>
      </c>
      <c r="AX43" s="1172">
        <v>40900</v>
      </c>
      <c r="AY43" s="1172">
        <v>1700</v>
      </c>
      <c r="AZ43" s="1172">
        <v>2300</v>
      </c>
      <c r="BA43" s="1172">
        <v>2420</v>
      </c>
      <c r="BB43" s="1172">
        <v>2900</v>
      </c>
      <c r="BC43" s="1171">
        <v>560</v>
      </c>
      <c r="BD43" s="1171">
        <v>750</v>
      </c>
      <c r="BE43" s="1171">
        <v>790</v>
      </c>
      <c r="BF43" s="1171">
        <v>950</v>
      </c>
      <c r="BG43" s="1171">
        <v>61</v>
      </c>
      <c r="BH43" s="1171">
        <v>82</v>
      </c>
      <c r="BI43" s="1171">
        <v>86</v>
      </c>
      <c r="BJ43" s="1171">
        <v>103</v>
      </c>
      <c r="BK43" s="1171">
        <v>4</v>
      </c>
      <c r="BL43" s="1171">
        <v>5</v>
      </c>
      <c r="BM43" s="1171">
        <v>5</v>
      </c>
      <c r="BN43" s="1171">
        <v>6</v>
      </c>
      <c r="BO43" s="1173">
        <v>0.42</v>
      </c>
      <c r="BP43" s="1173">
        <v>0.05</v>
      </c>
      <c r="BQ43" s="1173">
        <v>0.2</v>
      </c>
      <c r="BR43" s="1173">
        <f t="shared" si="2"/>
        <v>1.8399376147024249E-2</v>
      </c>
      <c r="BS43" s="1173">
        <f t="shared" si="3"/>
        <v>2.7628427384683209E-3</v>
      </c>
    </row>
    <row r="44" spans="1:71" ht="30">
      <c r="AR44" s="1170" t="s">
        <v>725</v>
      </c>
      <c r="AS44" s="1170" t="s">
        <v>675</v>
      </c>
      <c r="AT44" s="1170" t="s">
        <v>628</v>
      </c>
      <c r="AU44" s="1172">
        <v>3200</v>
      </c>
      <c r="AV44" s="1172">
        <v>5900</v>
      </c>
      <c r="AW44" s="1172">
        <v>6600</v>
      </c>
      <c r="AX44" s="1172">
        <v>9200</v>
      </c>
      <c r="AY44" s="1171">
        <v>150</v>
      </c>
      <c r="AZ44" s="1171">
        <v>290</v>
      </c>
      <c r="BA44" s="1171">
        <v>320</v>
      </c>
      <c r="BB44" s="1171">
        <v>450</v>
      </c>
      <c r="BC44" s="1171">
        <v>70</v>
      </c>
      <c r="BD44" s="1171">
        <v>130</v>
      </c>
      <c r="BE44" s="1171">
        <v>150</v>
      </c>
      <c r="BF44" s="1171">
        <v>210</v>
      </c>
      <c r="BG44" s="1171">
        <v>9</v>
      </c>
      <c r="BH44" s="1171">
        <v>17</v>
      </c>
      <c r="BI44" s="1171">
        <v>19</v>
      </c>
      <c r="BJ44" s="1171">
        <v>27</v>
      </c>
      <c r="BK44" s="1171">
        <v>1</v>
      </c>
      <c r="BL44" s="1171">
        <v>2</v>
      </c>
      <c r="BM44" s="1171">
        <v>2</v>
      </c>
      <c r="BN44" s="1171">
        <v>3</v>
      </c>
      <c r="BO44" s="1173">
        <v>1.08</v>
      </c>
      <c r="BP44" s="1173">
        <v>0.12</v>
      </c>
      <c r="BQ44" s="1173">
        <v>0.4</v>
      </c>
      <c r="BR44" s="1173">
        <f t="shared" si="2"/>
        <v>3.4219694129380196E-2</v>
      </c>
      <c r="BS44" s="1173">
        <f t="shared" si="3"/>
        <v>5.2381802247209602E-4</v>
      </c>
    </row>
    <row r="45" spans="1:71" ht="30">
      <c r="A45" s="851"/>
      <c r="B45" s="851"/>
      <c r="C45" s="851"/>
      <c r="D45" s="851"/>
      <c r="E45" s="851"/>
      <c r="F45" s="851"/>
      <c r="G45" s="851"/>
      <c r="H45" s="851"/>
      <c r="I45" s="851"/>
      <c r="J45" s="851"/>
      <c r="K45" s="851"/>
      <c r="L45" s="851"/>
      <c r="M45" s="851"/>
      <c r="N45" s="851"/>
      <c r="O45" s="851"/>
      <c r="P45" s="851"/>
      <c r="Q45" s="851"/>
      <c r="R45" s="851"/>
      <c r="S45" s="851"/>
      <c r="T45" s="851"/>
      <c r="U45" s="851"/>
      <c r="V45" s="851"/>
      <c r="W45" s="851"/>
      <c r="X45" s="851"/>
      <c r="Y45" s="851"/>
      <c r="Z45" s="851"/>
      <c r="AA45" s="851"/>
      <c r="AB45" s="851"/>
      <c r="AC45" s="851"/>
      <c r="AD45" s="851"/>
      <c r="AR45" s="1170" t="s">
        <v>725</v>
      </c>
      <c r="AS45" s="1170" t="s">
        <v>676</v>
      </c>
      <c r="AT45" s="1170" t="s">
        <v>621</v>
      </c>
      <c r="AU45" s="1172">
        <v>1200</v>
      </c>
      <c r="AV45" s="1172">
        <v>3200</v>
      </c>
      <c r="AW45" s="1172">
        <v>3800</v>
      </c>
      <c r="AX45" s="1172">
        <v>8700</v>
      </c>
      <c r="AY45" s="1171">
        <v>50</v>
      </c>
      <c r="AZ45" s="1171">
        <v>140</v>
      </c>
      <c r="BA45" s="1171">
        <v>170</v>
      </c>
      <c r="BB45" s="1171">
        <v>390</v>
      </c>
      <c r="BC45" s="1171">
        <v>20</v>
      </c>
      <c r="BD45" s="1171">
        <v>40</v>
      </c>
      <c r="BE45" s="1171">
        <v>50</v>
      </c>
      <c r="BF45" s="1171">
        <v>120</v>
      </c>
      <c r="BG45" s="1171">
        <v>2</v>
      </c>
      <c r="BH45" s="1171">
        <v>4</v>
      </c>
      <c r="BI45" s="1171">
        <v>5</v>
      </c>
      <c r="BJ45" s="1171">
        <v>12</v>
      </c>
      <c r="BK45" s="1169"/>
      <c r="BL45" s="1169"/>
      <c r="BM45" s="1169"/>
      <c r="BN45" s="1169"/>
      <c r="BO45" s="1173">
        <v>2.2999999999999998</v>
      </c>
      <c r="BP45" s="1173">
        <v>0.2</v>
      </c>
      <c r="BQ45" s="1173">
        <v>1.3</v>
      </c>
      <c r="BR45" s="1173">
        <f t="shared" si="2"/>
        <v>8.685794289921267E-2</v>
      </c>
      <c r="BS45" s="1173">
        <f t="shared" si="3"/>
        <v>2.9733007198564189E-4</v>
      </c>
    </row>
    <row r="46" spans="1:71" ht="45">
      <c r="AR46" s="1170" t="s">
        <v>725</v>
      </c>
      <c r="AS46" s="1170" t="s">
        <v>677</v>
      </c>
      <c r="AT46" s="1170" t="s">
        <v>624</v>
      </c>
      <c r="AU46" s="1172">
        <v>123900</v>
      </c>
      <c r="AV46" s="1172">
        <v>170000</v>
      </c>
      <c r="AW46" s="1172">
        <v>173400</v>
      </c>
      <c r="AX46" s="1172">
        <v>242800</v>
      </c>
      <c r="AY46" s="1172">
        <v>3500</v>
      </c>
      <c r="AZ46" s="1172">
        <v>4800</v>
      </c>
      <c r="BA46" s="1172">
        <v>4900</v>
      </c>
      <c r="BB46" s="1172">
        <v>6860</v>
      </c>
      <c r="BC46" s="1172">
        <v>1390</v>
      </c>
      <c r="BD46" s="1172">
        <v>1900</v>
      </c>
      <c r="BE46" s="1172">
        <v>1940</v>
      </c>
      <c r="BF46" s="1172">
        <v>2720</v>
      </c>
      <c r="BG46" s="1171">
        <v>204</v>
      </c>
      <c r="BH46" s="1171">
        <v>279</v>
      </c>
      <c r="BI46" s="1171">
        <v>285</v>
      </c>
      <c r="BJ46" s="1171">
        <v>399</v>
      </c>
      <c r="BK46" s="1171">
        <v>13</v>
      </c>
      <c r="BL46" s="1171">
        <v>18</v>
      </c>
      <c r="BM46" s="1171">
        <v>18</v>
      </c>
      <c r="BN46" s="1171">
        <v>25</v>
      </c>
      <c r="BO46" s="1173">
        <v>0.4</v>
      </c>
      <c r="BP46" s="1173">
        <v>0.02</v>
      </c>
      <c r="BQ46" s="1173">
        <v>0.4</v>
      </c>
      <c r="BR46" s="1173">
        <f t="shared" si="2"/>
        <v>3.4219694129380196E-2</v>
      </c>
      <c r="BS46" s="1173">
        <f t="shared" si="3"/>
        <v>1.333686041900714E-2</v>
      </c>
    </row>
    <row r="47" spans="1:71" ht="30">
      <c r="AR47" s="1170" t="s">
        <v>725</v>
      </c>
      <c r="AS47" s="1170" t="s">
        <v>679</v>
      </c>
      <c r="AT47" s="1170" t="s">
        <v>621</v>
      </c>
      <c r="AU47" s="1172">
        <v>5100</v>
      </c>
      <c r="AV47" s="1172">
        <v>4800</v>
      </c>
      <c r="AW47" s="1172">
        <v>4600</v>
      </c>
      <c r="AX47" s="1172">
        <v>4600</v>
      </c>
      <c r="AY47" s="1171">
        <v>230</v>
      </c>
      <c r="AZ47" s="1171">
        <v>220</v>
      </c>
      <c r="BA47" s="1171">
        <v>210</v>
      </c>
      <c r="BB47" s="1171">
        <v>210</v>
      </c>
      <c r="BC47" s="1171">
        <v>110</v>
      </c>
      <c r="BD47" s="1171">
        <v>110</v>
      </c>
      <c r="BE47" s="1171">
        <v>100</v>
      </c>
      <c r="BF47" s="1171">
        <v>100</v>
      </c>
      <c r="BG47" s="1171">
        <v>22</v>
      </c>
      <c r="BH47" s="1171">
        <v>21</v>
      </c>
      <c r="BI47" s="1171">
        <v>20</v>
      </c>
      <c r="BJ47" s="1171">
        <v>20</v>
      </c>
      <c r="BK47" s="1171">
        <v>3</v>
      </c>
      <c r="BL47" s="1171">
        <v>3</v>
      </c>
      <c r="BM47" s="1171">
        <v>3</v>
      </c>
      <c r="BN47" s="1171">
        <v>3</v>
      </c>
      <c r="BO47" s="1173">
        <v>-0.1</v>
      </c>
      <c r="BP47" s="1173">
        <v>-0.05</v>
      </c>
      <c r="BQ47" s="1173">
        <v>0</v>
      </c>
      <c r="BR47" s="1173">
        <f t="shared" si="2"/>
        <v>0</v>
      </c>
      <c r="BS47" s="1173">
        <f t="shared" si="3"/>
        <v>3.6440478139258917E-4</v>
      </c>
    </row>
    <row r="48" spans="1:71" ht="30">
      <c r="AR48" s="1170" t="s">
        <v>725</v>
      </c>
      <c r="AS48" s="1170" t="s">
        <v>680</v>
      </c>
      <c r="AT48" s="1170" t="s">
        <v>621</v>
      </c>
      <c r="AU48" s="1171">
        <v>800</v>
      </c>
      <c r="AV48" s="1172">
        <v>1100</v>
      </c>
      <c r="AW48" s="1172">
        <v>1100</v>
      </c>
      <c r="AX48" s="1172">
        <v>2000</v>
      </c>
      <c r="AY48" s="1171">
        <v>40</v>
      </c>
      <c r="AZ48" s="1171">
        <v>50</v>
      </c>
      <c r="BA48" s="1171">
        <v>50</v>
      </c>
      <c r="BB48" s="1171">
        <v>90</v>
      </c>
      <c r="BC48" s="1171">
        <v>10</v>
      </c>
      <c r="BD48" s="1171">
        <v>10</v>
      </c>
      <c r="BE48" s="1171">
        <v>10</v>
      </c>
      <c r="BF48" s="1171">
        <v>20</v>
      </c>
      <c r="BG48" s="1171">
        <v>1</v>
      </c>
      <c r="BH48" s="1171">
        <v>1</v>
      </c>
      <c r="BI48" s="1171">
        <v>1</v>
      </c>
      <c r="BJ48" s="1171">
        <v>2</v>
      </c>
      <c r="BK48" s="1170" t="s">
        <v>633</v>
      </c>
      <c r="BL48" s="1170" t="s">
        <v>633</v>
      </c>
      <c r="BM48" s="1170" t="s">
        <v>633</v>
      </c>
      <c r="BN48" s="1170" t="s">
        <v>633</v>
      </c>
      <c r="BO48" s="1173">
        <v>0.37</v>
      </c>
      <c r="BP48" s="1173">
        <v>-0.02</v>
      </c>
      <c r="BQ48" s="1173">
        <v>0.8</v>
      </c>
      <c r="BR48" s="1173">
        <f t="shared" si="2"/>
        <v>6.0540481614018704E-2</v>
      </c>
      <c r="BS48" s="1173">
        <f t="shared" si="3"/>
        <v>8.5764028217473348E-5</v>
      </c>
    </row>
    <row r="49" spans="1:71" ht="30">
      <c r="AR49" s="1170" t="s">
        <v>725</v>
      </c>
      <c r="AS49" s="1170" t="s">
        <v>681</v>
      </c>
      <c r="AT49" s="1170" t="s">
        <v>621</v>
      </c>
      <c r="AU49" s="1172">
        <v>2700</v>
      </c>
      <c r="AV49" s="1172">
        <v>3100</v>
      </c>
      <c r="AW49" s="1172">
        <v>3300</v>
      </c>
      <c r="AX49" s="1172">
        <v>5000</v>
      </c>
      <c r="AY49" s="1171">
        <v>100</v>
      </c>
      <c r="AZ49" s="1171">
        <v>110</v>
      </c>
      <c r="BA49" s="1171">
        <v>120</v>
      </c>
      <c r="BB49" s="1171">
        <v>180</v>
      </c>
      <c r="BC49" s="1171">
        <v>20</v>
      </c>
      <c r="BD49" s="1171">
        <v>30</v>
      </c>
      <c r="BE49" s="1171">
        <v>30</v>
      </c>
      <c r="BF49" s="1171">
        <v>50</v>
      </c>
      <c r="BG49" s="1171">
        <v>2</v>
      </c>
      <c r="BH49" s="1171">
        <v>3</v>
      </c>
      <c r="BI49" s="1171">
        <v>3</v>
      </c>
      <c r="BJ49" s="1171">
        <v>5</v>
      </c>
      <c r="BK49" s="1169"/>
      <c r="BL49" s="1169"/>
      <c r="BM49" s="1169"/>
      <c r="BN49" s="1169"/>
      <c r="BO49" s="1173">
        <v>0.21</v>
      </c>
      <c r="BP49" s="1173">
        <v>0.06</v>
      </c>
      <c r="BQ49" s="1173">
        <v>0.5</v>
      </c>
      <c r="BR49" s="1173">
        <f t="shared" si="2"/>
        <v>4.1379743992410623E-2</v>
      </c>
      <c r="BS49" s="1173">
        <f t="shared" si="3"/>
        <v>2.5507595989227862E-4</v>
      </c>
    </row>
    <row r="50" spans="1:71" ht="30">
      <c r="AR50" s="1170" t="s">
        <v>725</v>
      </c>
      <c r="AS50" s="1170" t="s">
        <v>682</v>
      </c>
      <c r="AT50" s="1170" t="s">
        <v>628</v>
      </c>
      <c r="AU50" s="1172">
        <v>115600</v>
      </c>
      <c r="AV50" s="1172">
        <v>118000</v>
      </c>
      <c r="AW50" s="1172">
        <v>115600</v>
      </c>
      <c r="AX50" s="1172">
        <v>115600</v>
      </c>
      <c r="AY50" s="1172">
        <v>4020</v>
      </c>
      <c r="AZ50" s="1172">
        <v>4100</v>
      </c>
      <c r="BA50" s="1172">
        <v>4020</v>
      </c>
      <c r="BB50" s="1172">
        <v>4020</v>
      </c>
      <c r="BC50" s="1172">
        <v>1530</v>
      </c>
      <c r="BD50" s="1172">
        <v>1560</v>
      </c>
      <c r="BE50" s="1172">
        <v>1530</v>
      </c>
      <c r="BF50" s="1172">
        <v>1530</v>
      </c>
      <c r="BG50" s="1171">
        <v>185</v>
      </c>
      <c r="BH50" s="1171">
        <v>189</v>
      </c>
      <c r="BI50" s="1171">
        <v>185</v>
      </c>
      <c r="BJ50" s="1171">
        <v>185</v>
      </c>
      <c r="BK50" s="1171">
        <v>17</v>
      </c>
      <c r="BL50" s="1171">
        <v>17</v>
      </c>
      <c r="BM50" s="1171">
        <v>17</v>
      </c>
      <c r="BN50" s="1171">
        <v>17</v>
      </c>
      <c r="BO50" s="1173">
        <v>0</v>
      </c>
      <c r="BP50" s="1173">
        <v>0.02</v>
      </c>
      <c r="BQ50" s="1173">
        <v>0</v>
      </c>
      <c r="BR50" s="1173">
        <f t="shared" si="2"/>
        <v>0</v>
      </c>
      <c r="BS50" s="1173">
        <f t="shared" si="3"/>
        <v>8.9643723964227609E-3</v>
      </c>
    </row>
    <row r="51" spans="1:71" ht="30">
      <c r="AR51" s="1170" t="s">
        <v>725</v>
      </c>
      <c r="AS51" s="1170" t="s">
        <v>684</v>
      </c>
      <c r="AT51" s="1170" t="s">
        <v>621</v>
      </c>
      <c r="AU51" s="1172">
        <v>8800</v>
      </c>
      <c r="AV51" s="1172">
        <v>15400</v>
      </c>
      <c r="AW51" s="1172">
        <v>12300</v>
      </c>
      <c r="AX51" s="1172">
        <v>12300</v>
      </c>
      <c r="AY51" s="1171">
        <v>440</v>
      </c>
      <c r="AZ51" s="1171">
        <v>780</v>
      </c>
      <c r="BA51" s="1171">
        <v>620</v>
      </c>
      <c r="BB51" s="1171">
        <v>620</v>
      </c>
      <c r="BC51" s="1171">
        <v>120</v>
      </c>
      <c r="BD51" s="1171">
        <v>210</v>
      </c>
      <c r="BE51" s="1171">
        <v>170</v>
      </c>
      <c r="BF51" s="1171">
        <v>170</v>
      </c>
      <c r="BG51" s="1171">
        <v>10</v>
      </c>
      <c r="BH51" s="1171">
        <v>18</v>
      </c>
      <c r="BI51" s="1171">
        <v>14</v>
      </c>
      <c r="BJ51" s="1171">
        <v>14</v>
      </c>
      <c r="BK51" s="1171">
        <v>3</v>
      </c>
      <c r="BL51" s="1171">
        <v>5</v>
      </c>
      <c r="BM51" s="1171">
        <v>4</v>
      </c>
      <c r="BN51" s="1171">
        <v>4</v>
      </c>
      <c r="BO51" s="1173">
        <v>0.4</v>
      </c>
      <c r="BP51" s="1173">
        <v>0.2</v>
      </c>
      <c r="BQ51" s="1173">
        <v>0</v>
      </c>
      <c r="BR51" s="1173">
        <f t="shared" si="2"/>
        <v>0</v>
      </c>
      <c r="BS51" s="1173">
        <f t="shared" si="3"/>
        <v>9.6829877853112892E-4</v>
      </c>
    </row>
    <row r="52" spans="1:71" ht="30">
      <c r="AR52" s="1170" t="s">
        <v>725</v>
      </c>
      <c r="AS52" s="1170" t="s">
        <v>685</v>
      </c>
      <c r="AT52" s="1170" t="s">
        <v>628</v>
      </c>
      <c r="AU52" s="1172">
        <v>90800</v>
      </c>
      <c r="AV52" s="1172">
        <v>103000</v>
      </c>
      <c r="AW52" s="1172">
        <v>107100</v>
      </c>
      <c r="AX52" s="1172">
        <v>117800</v>
      </c>
      <c r="AY52" s="1172">
        <v>2470</v>
      </c>
      <c r="AZ52" s="1172">
        <v>2800</v>
      </c>
      <c r="BA52" s="1172">
        <v>2910</v>
      </c>
      <c r="BB52" s="1172">
        <v>3200</v>
      </c>
      <c r="BC52" s="1171">
        <v>890</v>
      </c>
      <c r="BD52" s="1172">
        <v>1010</v>
      </c>
      <c r="BE52" s="1172">
        <v>1050</v>
      </c>
      <c r="BF52" s="1172">
        <v>1160</v>
      </c>
      <c r="BG52" s="1171">
        <v>105</v>
      </c>
      <c r="BH52" s="1171">
        <v>119</v>
      </c>
      <c r="BI52" s="1171">
        <v>124</v>
      </c>
      <c r="BJ52" s="1171">
        <v>136</v>
      </c>
      <c r="BK52" s="1171">
        <v>8</v>
      </c>
      <c r="BL52" s="1171">
        <v>10</v>
      </c>
      <c r="BM52" s="1171">
        <v>10</v>
      </c>
      <c r="BN52" s="1171">
        <v>11</v>
      </c>
      <c r="BO52" s="1173">
        <v>0.18</v>
      </c>
      <c r="BP52" s="1173">
        <v>0.04</v>
      </c>
      <c r="BQ52" s="1173">
        <v>0.1</v>
      </c>
      <c r="BR52" s="1173">
        <f t="shared" si="2"/>
        <v>9.5765827768869993E-3</v>
      </c>
      <c r="BS52" s="1173">
        <f t="shared" si="3"/>
        <v>8.213992552638872E-3</v>
      </c>
    </row>
    <row r="53" spans="1:71" ht="45">
      <c r="AR53" s="1170" t="s">
        <v>725</v>
      </c>
      <c r="AS53" s="1170" t="s">
        <v>687</v>
      </c>
      <c r="AT53" s="1170" t="s">
        <v>624</v>
      </c>
      <c r="AU53" s="1172">
        <v>1500</v>
      </c>
      <c r="AV53" s="1172">
        <v>3500</v>
      </c>
      <c r="AW53" s="1172">
        <v>3700</v>
      </c>
      <c r="AX53" s="1172">
        <v>4800</v>
      </c>
      <c r="AY53" s="1171">
        <v>60</v>
      </c>
      <c r="AZ53" s="1171">
        <v>150</v>
      </c>
      <c r="BA53" s="1171">
        <v>160</v>
      </c>
      <c r="BB53" s="1171">
        <v>210</v>
      </c>
      <c r="BC53" s="1171">
        <v>20</v>
      </c>
      <c r="BD53" s="1171">
        <v>60</v>
      </c>
      <c r="BE53" s="1171">
        <v>60</v>
      </c>
      <c r="BF53" s="1171">
        <v>80</v>
      </c>
      <c r="BG53" s="1171">
        <v>2</v>
      </c>
      <c r="BH53" s="1171">
        <v>6</v>
      </c>
      <c r="BI53" s="1171">
        <v>6</v>
      </c>
      <c r="BJ53" s="1171">
        <v>8</v>
      </c>
      <c r="BK53" s="1170" t="s">
        <v>633</v>
      </c>
      <c r="BL53" s="1170" t="s">
        <v>633</v>
      </c>
      <c r="BM53" s="1170" t="s">
        <v>633</v>
      </c>
      <c r="BN53" s="1170" t="s">
        <v>633</v>
      </c>
      <c r="BO53" s="1173">
        <v>1.47</v>
      </c>
      <c r="BP53" s="1173">
        <v>0.06</v>
      </c>
      <c r="BQ53" s="1173">
        <v>0.3</v>
      </c>
      <c r="BR53" s="1173">
        <f t="shared" si="2"/>
        <v>2.6583631304232025E-2</v>
      </c>
      <c r="BS53" s="1173">
        <f t="shared" si="3"/>
        <v>2.9001686027717516E-4</v>
      </c>
    </row>
    <row r="54" spans="1:71" ht="45">
      <c r="AR54" s="1170" t="s">
        <v>725</v>
      </c>
      <c r="AS54" s="1170" t="s">
        <v>688</v>
      </c>
      <c r="AT54" s="1170" t="s">
        <v>624</v>
      </c>
      <c r="AU54" s="1172">
        <v>1000</v>
      </c>
      <c r="AV54" s="1172">
        <v>2100</v>
      </c>
      <c r="AW54" s="1172">
        <v>2200</v>
      </c>
      <c r="AX54" s="1172">
        <v>2900</v>
      </c>
      <c r="AY54" s="1171">
        <v>40</v>
      </c>
      <c r="AZ54" s="1171">
        <v>90</v>
      </c>
      <c r="BA54" s="1171">
        <v>90</v>
      </c>
      <c r="BB54" s="1171">
        <v>120</v>
      </c>
      <c r="BC54" s="1171">
        <v>10</v>
      </c>
      <c r="BD54" s="1171">
        <v>30</v>
      </c>
      <c r="BE54" s="1171">
        <v>30</v>
      </c>
      <c r="BF54" s="1171">
        <v>40</v>
      </c>
      <c r="BG54" s="1171">
        <v>2</v>
      </c>
      <c r="BH54" s="1171">
        <v>4</v>
      </c>
      <c r="BI54" s="1171">
        <v>4</v>
      </c>
      <c r="BJ54" s="1171">
        <v>5</v>
      </c>
      <c r="BK54" s="1170" t="s">
        <v>633</v>
      </c>
      <c r="BL54" s="1170" t="s">
        <v>633</v>
      </c>
      <c r="BM54" s="1170" t="s">
        <v>633</v>
      </c>
      <c r="BN54" s="1170" t="s">
        <v>633</v>
      </c>
      <c r="BO54" s="1173">
        <v>1.3</v>
      </c>
      <c r="BP54" s="1173">
        <v>0.05</v>
      </c>
      <c r="BQ54" s="1173">
        <v>0.3</v>
      </c>
      <c r="BR54" s="1173">
        <f t="shared" si="2"/>
        <v>2.6583631304232025E-2</v>
      </c>
      <c r="BS54" s="1173">
        <f t="shared" si="3"/>
        <v>1.7167579808562277E-4</v>
      </c>
    </row>
    <row r="55" spans="1:71" ht="45">
      <c r="AR55" s="1170" t="s">
        <v>725</v>
      </c>
      <c r="AS55" s="1170" t="s">
        <v>689</v>
      </c>
      <c r="AT55" s="1170" t="s">
        <v>624</v>
      </c>
      <c r="AU55" s="1172">
        <v>9000</v>
      </c>
      <c r="AV55" s="1172">
        <v>16500</v>
      </c>
      <c r="AW55" s="1172">
        <v>17500</v>
      </c>
      <c r="AX55" s="1172">
        <v>22800</v>
      </c>
      <c r="AY55" s="1171">
        <v>450</v>
      </c>
      <c r="AZ55" s="1171">
        <v>830</v>
      </c>
      <c r="BA55" s="1171">
        <v>880</v>
      </c>
      <c r="BB55" s="1172">
        <v>1140</v>
      </c>
      <c r="BC55" s="1171">
        <v>150</v>
      </c>
      <c r="BD55" s="1171">
        <v>280</v>
      </c>
      <c r="BE55" s="1171">
        <v>300</v>
      </c>
      <c r="BF55" s="1171">
        <v>390</v>
      </c>
      <c r="BG55" s="1171">
        <v>19</v>
      </c>
      <c r="BH55" s="1171">
        <v>35</v>
      </c>
      <c r="BI55" s="1171">
        <v>37</v>
      </c>
      <c r="BJ55" s="1171">
        <v>48</v>
      </c>
      <c r="BK55" s="1171">
        <v>3</v>
      </c>
      <c r="BL55" s="1171">
        <v>5</v>
      </c>
      <c r="BM55" s="1171">
        <v>5</v>
      </c>
      <c r="BN55" s="1171">
        <v>7</v>
      </c>
      <c r="BO55" s="1173">
        <v>0.95</v>
      </c>
      <c r="BP55" s="1173">
        <v>0.06</v>
      </c>
      <c r="BQ55" s="1173">
        <v>0.3</v>
      </c>
      <c r="BR55" s="1173">
        <f t="shared" si="2"/>
        <v>2.6583631304232025E-2</v>
      </c>
      <c r="BS55" s="1173">
        <f t="shared" si="3"/>
        <v>1.3830095919789285E-3</v>
      </c>
    </row>
    <row r="56" spans="1:71" ht="30">
      <c r="AR56" s="1170" t="s">
        <v>725</v>
      </c>
      <c r="AS56" s="1170" t="s">
        <v>691</v>
      </c>
      <c r="AT56" s="1170" t="s">
        <v>628</v>
      </c>
      <c r="AU56" s="1172">
        <v>20600</v>
      </c>
      <c r="AV56" s="1172">
        <v>41900</v>
      </c>
      <c r="AW56" s="1172">
        <v>45300</v>
      </c>
      <c r="AX56" s="1172">
        <v>54400</v>
      </c>
      <c r="AY56" s="1171">
        <v>930</v>
      </c>
      <c r="AZ56" s="1172">
        <v>1900</v>
      </c>
      <c r="BA56" s="1172">
        <v>2050</v>
      </c>
      <c r="BB56" s="1172">
        <v>2460</v>
      </c>
      <c r="BC56" s="1171">
        <v>310</v>
      </c>
      <c r="BD56" s="1171">
        <v>640</v>
      </c>
      <c r="BE56" s="1171">
        <v>690</v>
      </c>
      <c r="BF56" s="1171">
        <v>830</v>
      </c>
      <c r="BG56" s="1171">
        <v>35</v>
      </c>
      <c r="BH56" s="1171">
        <v>72</v>
      </c>
      <c r="BI56" s="1171">
        <v>78</v>
      </c>
      <c r="BJ56" s="1171">
        <v>94</v>
      </c>
      <c r="BK56" s="1171">
        <v>2</v>
      </c>
      <c r="BL56" s="1171">
        <v>5</v>
      </c>
      <c r="BM56" s="1171">
        <v>5</v>
      </c>
      <c r="BN56" s="1171">
        <v>6</v>
      </c>
      <c r="BO56" s="1173">
        <v>1.2</v>
      </c>
      <c r="BP56" s="1173">
        <v>0.08</v>
      </c>
      <c r="BQ56" s="1173">
        <v>0.2</v>
      </c>
      <c r="BR56" s="1173">
        <f t="shared" si="2"/>
        <v>1.8399376147024249E-2</v>
      </c>
      <c r="BS56" s="1173">
        <f t="shared" si="3"/>
        <v>3.554885727742868E-3</v>
      </c>
    </row>
    <row r="57" spans="1:71" ht="30">
      <c r="AR57" s="1170" t="s">
        <v>725</v>
      </c>
      <c r="AS57" s="1170" t="s">
        <v>692</v>
      </c>
      <c r="AT57" s="1170" t="s">
        <v>628</v>
      </c>
      <c r="AU57" s="1172">
        <v>53800</v>
      </c>
      <c r="AV57" s="1172">
        <v>54900</v>
      </c>
      <c r="AW57" s="1172">
        <v>52200</v>
      </c>
      <c r="AX57" s="1172">
        <v>52200</v>
      </c>
      <c r="AY57" s="1172">
        <v>1870</v>
      </c>
      <c r="AZ57" s="1172">
        <v>1910</v>
      </c>
      <c r="BA57" s="1172">
        <v>1810</v>
      </c>
      <c r="BB57" s="1172">
        <v>1810</v>
      </c>
      <c r="BC57" s="1171">
        <v>600</v>
      </c>
      <c r="BD57" s="1171">
        <v>610</v>
      </c>
      <c r="BE57" s="1171">
        <v>580</v>
      </c>
      <c r="BF57" s="1171">
        <v>580</v>
      </c>
      <c r="BG57" s="1171">
        <v>63</v>
      </c>
      <c r="BH57" s="1171">
        <v>64</v>
      </c>
      <c r="BI57" s="1171">
        <v>61</v>
      </c>
      <c r="BJ57" s="1171">
        <v>61</v>
      </c>
      <c r="BK57" s="1171">
        <v>3</v>
      </c>
      <c r="BL57" s="1171">
        <v>3</v>
      </c>
      <c r="BM57" s="1171">
        <v>3</v>
      </c>
      <c r="BN57" s="1171">
        <v>3</v>
      </c>
      <c r="BO57" s="1173">
        <v>-0.03</v>
      </c>
      <c r="BP57" s="1173">
        <v>-0.05</v>
      </c>
      <c r="BQ57" s="1173">
        <v>0</v>
      </c>
      <c r="BR57" s="1173">
        <f t="shared" si="2"/>
        <v>0</v>
      </c>
      <c r="BS57" s="1173">
        <f t="shared" si="3"/>
        <v>4.0373360880256578E-3</v>
      </c>
    </row>
    <row r="58" spans="1:71" ht="30">
      <c r="AR58" s="1170" t="s">
        <v>725</v>
      </c>
      <c r="AS58" s="1170" t="s">
        <v>693</v>
      </c>
      <c r="AT58" s="1170" t="s">
        <v>662</v>
      </c>
      <c r="AU58" s="1172">
        <v>18500</v>
      </c>
      <c r="AV58" s="1172">
        <v>28000</v>
      </c>
      <c r="AW58" s="1172">
        <v>31400</v>
      </c>
      <c r="AX58" s="1172">
        <v>50200</v>
      </c>
      <c r="AY58" s="1171">
        <v>790</v>
      </c>
      <c r="AZ58" s="1172">
        <v>1200</v>
      </c>
      <c r="BA58" s="1172">
        <v>1340</v>
      </c>
      <c r="BB58" s="1172">
        <v>2140</v>
      </c>
      <c r="BC58" s="1171">
        <v>250</v>
      </c>
      <c r="BD58" s="1171">
        <v>380</v>
      </c>
      <c r="BE58" s="1171">
        <v>430</v>
      </c>
      <c r="BF58" s="1171">
        <v>690</v>
      </c>
      <c r="BG58" s="1171">
        <v>39</v>
      </c>
      <c r="BH58" s="1171">
        <v>60</v>
      </c>
      <c r="BI58" s="1171">
        <v>67</v>
      </c>
      <c r="BJ58" s="1171">
        <v>107</v>
      </c>
      <c r="BK58" s="1171">
        <v>2</v>
      </c>
      <c r="BL58" s="1171">
        <v>3</v>
      </c>
      <c r="BM58" s="1171">
        <v>3</v>
      </c>
      <c r="BN58" s="1171">
        <v>5</v>
      </c>
      <c r="BO58" s="1173">
        <v>0.7</v>
      </c>
      <c r="BP58" s="1173">
        <v>0.12</v>
      </c>
      <c r="BQ58" s="1173">
        <v>0.6</v>
      </c>
      <c r="BR58" s="1173">
        <f t="shared" si="2"/>
        <v>4.8122389468957749E-2</v>
      </c>
      <c r="BS58" s="1173">
        <f t="shared" si="3"/>
        <v>2.4554662342367046E-3</v>
      </c>
    </row>
    <row r="59" spans="1:71" ht="30">
      <c r="AR59" s="1170" t="s">
        <v>725</v>
      </c>
      <c r="AS59" s="1170" t="s">
        <v>694</v>
      </c>
      <c r="AT59" s="1170" t="s">
        <v>628</v>
      </c>
      <c r="AU59" s="1172">
        <v>7300</v>
      </c>
      <c r="AV59" s="1172">
        <v>10800</v>
      </c>
      <c r="AW59" s="1172">
        <v>11200</v>
      </c>
      <c r="AX59" s="1172">
        <v>12300</v>
      </c>
      <c r="AY59" s="1171">
        <v>320</v>
      </c>
      <c r="AZ59" s="1171">
        <v>470</v>
      </c>
      <c r="BA59" s="1171">
        <v>490</v>
      </c>
      <c r="BB59" s="1171">
        <v>540</v>
      </c>
      <c r="BC59" s="1171">
        <v>120</v>
      </c>
      <c r="BD59" s="1171">
        <v>170</v>
      </c>
      <c r="BE59" s="1171">
        <v>180</v>
      </c>
      <c r="BF59" s="1171">
        <v>200</v>
      </c>
      <c r="BG59" s="1171">
        <v>14</v>
      </c>
      <c r="BH59" s="1171">
        <v>20</v>
      </c>
      <c r="BI59" s="1171">
        <v>21</v>
      </c>
      <c r="BJ59" s="1171">
        <v>23</v>
      </c>
      <c r="BK59" s="1171">
        <v>1</v>
      </c>
      <c r="BL59" s="1171">
        <v>2</v>
      </c>
      <c r="BM59" s="1171">
        <v>2</v>
      </c>
      <c r="BN59" s="1171">
        <v>2</v>
      </c>
      <c r="BO59" s="1173">
        <v>0.54</v>
      </c>
      <c r="BP59" s="1173">
        <v>0.04</v>
      </c>
      <c r="BQ59" s="1173">
        <v>0.1</v>
      </c>
      <c r="BR59" s="1173">
        <f t="shared" si="2"/>
        <v>9.5765827768869993E-3</v>
      </c>
      <c r="BS59" s="1173">
        <f t="shared" si="3"/>
        <v>8.7854572574540095E-4</v>
      </c>
    </row>
    <row r="60" spans="1:71" ht="30">
      <c r="AR60" s="1170" t="s">
        <v>725</v>
      </c>
      <c r="AS60" s="1170" t="s">
        <v>696</v>
      </c>
      <c r="AT60" s="1170" t="s">
        <v>621</v>
      </c>
      <c r="AU60" s="1171">
        <v>300</v>
      </c>
      <c r="AV60" s="1171">
        <v>500</v>
      </c>
      <c r="AW60" s="1171">
        <v>600</v>
      </c>
      <c r="AX60" s="1172">
        <v>1200</v>
      </c>
      <c r="AY60" s="1171">
        <v>10</v>
      </c>
      <c r="AZ60" s="1171">
        <v>30</v>
      </c>
      <c r="BA60" s="1171">
        <v>30</v>
      </c>
      <c r="BB60" s="1171">
        <v>60</v>
      </c>
      <c r="BC60" s="1170" t="s">
        <v>633</v>
      </c>
      <c r="BD60" s="1171">
        <v>10</v>
      </c>
      <c r="BE60" s="1171">
        <v>10</v>
      </c>
      <c r="BF60" s="1171">
        <v>20</v>
      </c>
      <c r="BG60" s="1170" t="s">
        <v>633</v>
      </c>
      <c r="BH60" s="1170" t="s">
        <v>633</v>
      </c>
      <c r="BI60" s="1170" t="s">
        <v>633</v>
      </c>
      <c r="BJ60" s="1170" t="s">
        <v>633</v>
      </c>
      <c r="BK60" s="1170" t="s">
        <v>633</v>
      </c>
      <c r="BL60" s="1170" t="s">
        <v>633</v>
      </c>
      <c r="BM60" s="1170" t="s">
        <v>633</v>
      </c>
      <c r="BN60" s="1170" t="s">
        <v>633</v>
      </c>
      <c r="BO60" s="1173">
        <v>1.07</v>
      </c>
      <c r="BP60" s="1173">
        <v>0.1</v>
      </c>
      <c r="BQ60" s="1173">
        <v>1</v>
      </c>
      <c r="BR60" s="1173">
        <f t="shared" si="2"/>
        <v>7.1773462536293131E-2</v>
      </c>
      <c r="BS60" s="1173">
        <f t="shared" si="3"/>
        <v>4.7277328216350509E-5</v>
      </c>
    </row>
    <row r="61" spans="1:71" ht="30">
      <c r="AR61" s="1170" t="s">
        <v>725</v>
      </c>
      <c r="AS61" s="1170" t="s">
        <v>697</v>
      </c>
      <c r="AT61" s="1170" t="s">
        <v>662</v>
      </c>
      <c r="AU61" s="1172">
        <v>35200</v>
      </c>
      <c r="AV61" s="1172">
        <v>54000</v>
      </c>
      <c r="AW61" s="1172">
        <v>48600</v>
      </c>
      <c r="AX61" s="1172">
        <v>58300</v>
      </c>
      <c r="AY61" s="1172">
        <v>1700</v>
      </c>
      <c r="AZ61" s="1172">
        <v>2600</v>
      </c>
      <c r="BA61" s="1172">
        <v>2340</v>
      </c>
      <c r="BB61" s="1172">
        <v>2810</v>
      </c>
      <c r="BC61" s="1171">
        <v>540</v>
      </c>
      <c r="BD61" s="1171">
        <v>820</v>
      </c>
      <c r="BE61" s="1171">
        <v>740</v>
      </c>
      <c r="BF61" s="1171">
        <v>890</v>
      </c>
      <c r="BG61" s="1171">
        <v>84</v>
      </c>
      <c r="BH61" s="1171">
        <v>129</v>
      </c>
      <c r="BI61" s="1171">
        <v>116</v>
      </c>
      <c r="BJ61" s="1171">
        <v>139</v>
      </c>
      <c r="BK61" s="1171">
        <v>7</v>
      </c>
      <c r="BL61" s="1171">
        <v>10</v>
      </c>
      <c r="BM61" s="1171">
        <v>9</v>
      </c>
      <c r="BN61" s="1171">
        <v>11</v>
      </c>
      <c r="BO61" s="1173">
        <v>0.38</v>
      </c>
      <c r="BP61" s="1173">
        <v>-0.1</v>
      </c>
      <c r="BQ61" s="1173">
        <v>0.2</v>
      </c>
      <c r="BR61" s="1173">
        <f t="shared" si="2"/>
        <v>1.8399376147024249E-2</v>
      </c>
      <c r="BS61" s="1173">
        <f t="shared" si="3"/>
        <v>3.8268781066375596E-3</v>
      </c>
    </row>
    <row r="62" spans="1:71" s="851" customFormat="1" ht="30">
      <c r="A62"/>
      <c r="B62"/>
      <c r="C62"/>
      <c r="D62"/>
      <c r="E62"/>
      <c r="F62"/>
      <c r="G62"/>
      <c r="H62"/>
      <c r="I62"/>
      <c r="J62"/>
      <c r="K62"/>
      <c r="L62"/>
      <c r="M62"/>
      <c r="N62"/>
      <c r="O62"/>
      <c r="P62"/>
      <c r="Q62"/>
      <c r="R62"/>
      <c r="S62"/>
      <c r="T62"/>
      <c r="U62"/>
      <c r="V62"/>
      <c r="W62"/>
      <c r="X62"/>
      <c r="Y62"/>
      <c r="Z62"/>
      <c r="AA62"/>
      <c r="AB62"/>
      <c r="AC62"/>
      <c r="AD62"/>
      <c r="AR62" s="1170" t="s">
        <v>725</v>
      </c>
      <c r="AS62" s="1170" t="s">
        <v>698</v>
      </c>
      <c r="AT62" s="1170" t="s">
        <v>628</v>
      </c>
      <c r="AU62" s="1172">
        <v>2000</v>
      </c>
      <c r="AV62" s="1172">
        <v>2400</v>
      </c>
      <c r="AW62" s="1172">
        <v>2500</v>
      </c>
      <c r="AX62" s="1172">
        <v>2800</v>
      </c>
      <c r="AY62" s="1171">
        <v>90</v>
      </c>
      <c r="AZ62" s="1171">
        <v>110</v>
      </c>
      <c r="BA62" s="1171">
        <v>110</v>
      </c>
      <c r="BB62" s="1171">
        <v>120</v>
      </c>
      <c r="BC62" s="1171">
        <v>30</v>
      </c>
      <c r="BD62" s="1171">
        <v>40</v>
      </c>
      <c r="BE62" s="1171">
        <v>40</v>
      </c>
      <c r="BF62" s="1171">
        <v>40</v>
      </c>
      <c r="BG62" s="1171">
        <v>3</v>
      </c>
      <c r="BH62" s="1171">
        <v>4</v>
      </c>
      <c r="BI62" s="1171">
        <v>4</v>
      </c>
      <c r="BJ62" s="1171">
        <v>4</v>
      </c>
      <c r="BK62" s="1169"/>
      <c r="BL62" s="1169"/>
      <c r="BM62" s="1169"/>
      <c r="BN62" s="1169"/>
      <c r="BO62" s="1173">
        <v>0.25</v>
      </c>
      <c r="BP62" s="1173">
        <v>0.03</v>
      </c>
      <c r="BQ62" s="1173">
        <v>0.1</v>
      </c>
      <c r="BR62" s="1173">
        <f t="shared" si="2"/>
        <v>9.5765827768869993E-3</v>
      </c>
      <c r="BS62" s="1173">
        <f t="shared" si="3"/>
        <v>1.9605317044717852E-4</v>
      </c>
    </row>
    <row r="63" spans="1:71" ht="30">
      <c r="AR63" s="1170" t="s">
        <v>725</v>
      </c>
      <c r="AS63" s="1170" t="s">
        <v>700</v>
      </c>
      <c r="AT63" s="1170" t="s">
        <v>621</v>
      </c>
      <c r="AU63" s="1172">
        <v>37400</v>
      </c>
      <c r="AV63" s="1172">
        <v>38500</v>
      </c>
      <c r="AW63" s="1172">
        <v>40400</v>
      </c>
      <c r="AX63" s="1172">
        <v>52500</v>
      </c>
      <c r="AY63" s="1172">
        <v>1970</v>
      </c>
      <c r="AZ63" s="1172">
        <v>2030</v>
      </c>
      <c r="BA63" s="1172">
        <v>2130</v>
      </c>
      <c r="BB63" s="1172">
        <v>2770</v>
      </c>
      <c r="BC63" s="1171">
        <v>600</v>
      </c>
      <c r="BD63" s="1171">
        <v>620</v>
      </c>
      <c r="BE63" s="1171">
        <v>650</v>
      </c>
      <c r="BF63" s="1171">
        <v>850</v>
      </c>
      <c r="BG63" s="1171">
        <v>89</v>
      </c>
      <c r="BH63" s="1171">
        <v>91</v>
      </c>
      <c r="BI63" s="1171">
        <v>96</v>
      </c>
      <c r="BJ63" s="1171">
        <v>125</v>
      </c>
      <c r="BK63" s="1171">
        <v>6</v>
      </c>
      <c r="BL63" s="1171">
        <v>7</v>
      </c>
      <c r="BM63" s="1171">
        <v>7</v>
      </c>
      <c r="BN63" s="1171">
        <v>9</v>
      </c>
      <c r="BO63" s="1173">
        <v>0.08</v>
      </c>
      <c r="BP63" s="1173">
        <v>0.05</v>
      </c>
      <c r="BQ63" s="1173">
        <v>0.3</v>
      </c>
      <c r="BR63" s="1173">
        <f t="shared" si="2"/>
        <v>2.6583631304232025E-2</v>
      </c>
      <c r="BS63" s="1173">
        <f t="shared" si="3"/>
        <v>3.1973509331067172E-3</v>
      </c>
    </row>
    <row r="64" spans="1:71" ht="30">
      <c r="AR64" s="1170" t="s">
        <v>725</v>
      </c>
      <c r="AS64" s="1170" t="s">
        <v>702</v>
      </c>
      <c r="AT64" s="1170" t="s">
        <v>628</v>
      </c>
      <c r="AU64" s="1172">
        <v>107400</v>
      </c>
      <c r="AV64" s="1172">
        <v>105100</v>
      </c>
      <c r="AW64" s="1172">
        <v>97700</v>
      </c>
      <c r="AX64" s="1172">
        <v>97700</v>
      </c>
      <c r="AY64" s="1172">
        <v>3680</v>
      </c>
      <c r="AZ64" s="1172">
        <v>3600</v>
      </c>
      <c r="BA64" s="1172">
        <v>3350</v>
      </c>
      <c r="BB64" s="1172">
        <v>3350</v>
      </c>
      <c r="BC64" s="1172">
        <v>1540</v>
      </c>
      <c r="BD64" s="1172">
        <v>1510</v>
      </c>
      <c r="BE64" s="1172">
        <v>1400</v>
      </c>
      <c r="BF64" s="1172">
        <v>1400</v>
      </c>
      <c r="BG64" s="1171">
        <v>196</v>
      </c>
      <c r="BH64" s="1171">
        <v>191</v>
      </c>
      <c r="BI64" s="1171">
        <v>178</v>
      </c>
      <c r="BJ64" s="1171">
        <v>178</v>
      </c>
      <c r="BK64" s="1171">
        <v>21</v>
      </c>
      <c r="BL64" s="1171">
        <v>20</v>
      </c>
      <c r="BM64" s="1171">
        <v>19</v>
      </c>
      <c r="BN64" s="1171">
        <v>19</v>
      </c>
      <c r="BO64" s="1173">
        <v>0.09</v>
      </c>
      <c r="BP64" s="1173">
        <v>7.0000000000000007E-2</v>
      </c>
      <c r="BQ64" s="1173">
        <v>0</v>
      </c>
      <c r="BR64" s="1173">
        <f t="shared" si="2"/>
        <v>0</v>
      </c>
      <c r="BS64" s="1173">
        <f t="shared" si="3"/>
        <v>7.5826186084745791E-3</v>
      </c>
    </row>
    <row r="65" spans="1:71" ht="30">
      <c r="AR65" s="1170" t="s">
        <v>725</v>
      </c>
      <c r="AS65" s="1170" t="s">
        <v>704</v>
      </c>
      <c r="AT65" s="1170" t="s">
        <v>628</v>
      </c>
      <c r="AU65" s="1172">
        <v>103200</v>
      </c>
      <c r="AV65" s="1172">
        <v>116000</v>
      </c>
      <c r="AW65" s="1172">
        <v>112500</v>
      </c>
      <c r="AX65" s="1172">
        <v>112500</v>
      </c>
      <c r="AY65" s="1172">
        <v>3030</v>
      </c>
      <c r="AZ65" s="1172">
        <v>3400</v>
      </c>
      <c r="BA65" s="1172">
        <v>3300</v>
      </c>
      <c r="BB65" s="1172">
        <v>3300</v>
      </c>
      <c r="BC65" s="1172">
        <v>1310</v>
      </c>
      <c r="BD65" s="1172">
        <v>1470</v>
      </c>
      <c r="BE65" s="1172">
        <v>1430</v>
      </c>
      <c r="BF65" s="1172">
        <v>1430</v>
      </c>
      <c r="BG65" s="1171">
        <v>172</v>
      </c>
      <c r="BH65" s="1171">
        <v>194</v>
      </c>
      <c r="BI65" s="1171">
        <v>188</v>
      </c>
      <c r="BJ65" s="1171">
        <v>188</v>
      </c>
      <c r="BK65" s="1171">
        <v>19</v>
      </c>
      <c r="BL65" s="1171">
        <v>22</v>
      </c>
      <c r="BM65" s="1171">
        <v>21</v>
      </c>
      <c r="BN65" s="1171">
        <v>21</v>
      </c>
      <c r="BO65" s="1173">
        <v>0.09</v>
      </c>
      <c r="BP65" s="1173">
        <v>0.03</v>
      </c>
      <c r="BQ65" s="1173">
        <v>0</v>
      </c>
      <c r="BR65" s="1173">
        <f t="shared" si="2"/>
        <v>0</v>
      </c>
      <c r="BS65" s="1173">
        <f t="shared" si="3"/>
        <v>8.6753158568749801E-3</v>
      </c>
    </row>
    <row r="66" spans="1:71" ht="30">
      <c r="AR66" s="1170" t="s">
        <v>725</v>
      </c>
      <c r="AS66" s="1170" t="s">
        <v>707</v>
      </c>
      <c r="AT66" s="1170" t="s">
        <v>621</v>
      </c>
      <c r="AU66" s="1172">
        <v>1300</v>
      </c>
      <c r="AV66" s="1172">
        <v>2200</v>
      </c>
      <c r="AW66" s="1172">
        <v>2400</v>
      </c>
      <c r="AX66" s="1172">
        <v>4800</v>
      </c>
      <c r="AY66" s="1171">
        <v>50</v>
      </c>
      <c r="AZ66" s="1171">
        <v>80</v>
      </c>
      <c r="BA66" s="1171">
        <v>90</v>
      </c>
      <c r="BB66" s="1171">
        <v>180</v>
      </c>
      <c r="BC66" s="1171">
        <v>20</v>
      </c>
      <c r="BD66" s="1171">
        <v>40</v>
      </c>
      <c r="BE66" s="1171">
        <v>40</v>
      </c>
      <c r="BF66" s="1171">
        <v>80</v>
      </c>
      <c r="BG66" s="1171">
        <v>7</v>
      </c>
      <c r="BH66" s="1171">
        <v>12</v>
      </c>
      <c r="BI66" s="1171">
        <v>13</v>
      </c>
      <c r="BJ66" s="1171">
        <v>26</v>
      </c>
      <c r="BK66" s="1171">
        <v>1</v>
      </c>
      <c r="BL66" s="1171">
        <v>2</v>
      </c>
      <c r="BM66" s="1171">
        <v>2</v>
      </c>
      <c r="BN66" s="1171">
        <v>4</v>
      </c>
      <c r="BO66" s="1173">
        <v>0.82</v>
      </c>
      <c r="BP66" s="1173">
        <v>0.08</v>
      </c>
      <c r="BQ66" s="1173">
        <v>1</v>
      </c>
      <c r="BR66" s="1173">
        <f t="shared" si="2"/>
        <v>7.1773462536293131E-2</v>
      </c>
      <c r="BS66" s="1173">
        <f t="shared" si="3"/>
        <v>1.8800125048533132E-4</v>
      </c>
    </row>
    <row r="67" spans="1:71" ht="30">
      <c r="AR67" s="1170" t="s">
        <v>725</v>
      </c>
      <c r="AS67" s="1170" t="s">
        <v>709</v>
      </c>
      <c r="AT67" s="1170" t="s">
        <v>662</v>
      </c>
      <c r="AU67" s="1172">
        <v>46300</v>
      </c>
      <c r="AV67" s="1172">
        <v>70000</v>
      </c>
      <c r="AW67" s="1172">
        <v>54600</v>
      </c>
      <c r="AX67" s="1172">
        <v>54600</v>
      </c>
      <c r="AY67" s="1172">
        <v>2310</v>
      </c>
      <c r="AZ67" s="1172">
        <v>3500</v>
      </c>
      <c r="BA67" s="1172">
        <v>2730</v>
      </c>
      <c r="BB67" s="1172">
        <v>2730</v>
      </c>
      <c r="BC67" s="1172">
        <v>1060</v>
      </c>
      <c r="BD67" s="1172">
        <v>1600</v>
      </c>
      <c r="BE67" s="1172">
        <v>1250</v>
      </c>
      <c r="BF67" s="1172">
        <v>1250</v>
      </c>
      <c r="BG67" s="1171">
        <v>132</v>
      </c>
      <c r="BH67" s="1171">
        <v>200</v>
      </c>
      <c r="BI67" s="1171">
        <v>156</v>
      </c>
      <c r="BJ67" s="1171">
        <v>156</v>
      </c>
      <c r="BK67" s="1171">
        <v>14</v>
      </c>
      <c r="BL67" s="1171">
        <v>22</v>
      </c>
      <c r="BM67" s="1171">
        <v>17</v>
      </c>
      <c r="BN67" s="1171">
        <v>17</v>
      </c>
      <c r="BO67" s="1173">
        <v>0.18</v>
      </c>
      <c r="BP67" s="1173">
        <v>-0.22</v>
      </c>
      <c r="BQ67" s="1173">
        <v>0</v>
      </c>
      <c r="BR67" s="1173">
        <f t="shared" si="2"/>
        <v>0</v>
      </c>
      <c r="BS67" s="1173">
        <f t="shared" si="3"/>
        <v>4.3401326010863144E-3</v>
      </c>
    </row>
    <row r="68" spans="1:71" ht="30">
      <c r="AR68" s="1170" t="s">
        <v>725</v>
      </c>
      <c r="AS68" s="1170" t="s">
        <v>711</v>
      </c>
      <c r="AT68" s="1170" t="s">
        <v>621</v>
      </c>
      <c r="AU68" s="1171">
        <v>700</v>
      </c>
      <c r="AV68" s="1172">
        <v>1300</v>
      </c>
      <c r="AW68" s="1172">
        <v>1400</v>
      </c>
      <c r="AX68" s="1172">
        <v>2500</v>
      </c>
      <c r="AY68" s="1171">
        <v>30</v>
      </c>
      <c r="AZ68" s="1171">
        <v>50</v>
      </c>
      <c r="BA68" s="1171">
        <v>60</v>
      </c>
      <c r="BB68" s="1171">
        <v>110</v>
      </c>
      <c r="BC68" s="1171">
        <v>10</v>
      </c>
      <c r="BD68" s="1171">
        <v>20</v>
      </c>
      <c r="BE68" s="1171">
        <v>20</v>
      </c>
      <c r="BF68" s="1171">
        <v>40</v>
      </c>
      <c r="BG68" s="1171">
        <v>4</v>
      </c>
      <c r="BH68" s="1171">
        <v>6</v>
      </c>
      <c r="BI68" s="1171">
        <v>7</v>
      </c>
      <c r="BJ68" s="1171">
        <v>13</v>
      </c>
      <c r="BK68" s="1171">
        <v>1</v>
      </c>
      <c r="BL68" s="1171">
        <v>1</v>
      </c>
      <c r="BM68" s="1171">
        <v>1</v>
      </c>
      <c r="BN68" s="1171">
        <v>2</v>
      </c>
      <c r="BO68" s="1173">
        <v>0.97</v>
      </c>
      <c r="BP68" s="1173">
        <v>0.1</v>
      </c>
      <c r="BQ68" s="1173">
        <v>0.8</v>
      </c>
      <c r="BR68" s="1173">
        <f t="shared" si="2"/>
        <v>6.0540481614018704E-2</v>
      </c>
      <c r="BS68" s="1173">
        <f t="shared" si="3"/>
        <v>1.0991978810301494E-4</v>
      </c>
    </row>
    <row r="69" spans="1:71" ht="45">
      <c r="AR69" s="1170" t="s">
        <v>725</v>
      </c>
      <c r="AS69" s="1170" t="s">
        <v>712</v>
      </c>
      <c r="AT69" s="1170" t="s">
        <v>628</v>
      </c>
      <c r="AU69" s="1172">
        <v>627200</v>
      </c>
      <c r="AV69" s="1172">
        <v>845100</v>
      </c>
      <c r="AW69" s="1172">
        <v>802800</v>
      </c>
      <c r="AX69" s="1172">
        <v>1043600</v>
      </c>
      <c r="AY69" s="1172">
        <v>19820</v>
      </c>
      <c r="AZ69" s="1172">
        <v>26710</v>
      </c>
      <c r="BA69" s="1172">
        <v>25370</v>
      </c>
      <c r="BB69" s="1172">
        <v>32980</v>
      </c>
      <c r="BC69" s="1172">
        <v>7400</v>
      </c>
      <c r="BD69" s="1172">
        <v>9970</v>
      </c>
      <c r="BE69" s="1172">
        <v>9470</v>
      </c>
      <c r="BF69" s="1172">
        <v>12310</v>
      </c>
      <c r="BG69" s="1171">
        <v>885</v>
      </c>
      <c r="BH69" s="1172">
        <v>1193</v>
      </c>
      <c r="BI69" s="1172">
        <v>1133</v>
      </c>
      <c r="BJ69" s="1172">
        <v>1473</v>
      </c>
      <c r="BK69" s="1171">
        <v>78</v>
      </c>
      <c r="BL69" s="1171">
        <v>105</v>
      </c>
      <c r="BM69" s="1171">
        <v>100</v>
      </c>
      <c r="BN69" s="1171">
        <v>130</v>
      </c>
      <c r="BO69" s="1173">
        <v>0.28000000000000003</v>
      </c>
      <c r="BP69" s="1173">
        <v>-0.05</v>
      </c>
      <c r="BQ69" s="1173">
        <v>0.3</v>
      </c>
      <c r="BR69" s="1173">
        <f t="shared" ref="BR69:BR93" si="4">IF(BQ69&gt;0,((1+BQ69)^0.1)-1,0)</f>
        <v>2.6583631304232025E-2</v>
      </c>
      <c r="BS69" s="1173">
        <f t="shared" ref="BS69:BS93" si="5">SUM(AW69,BA69,BE69,BI69,BM69)/SUM($AW$94,$BA$94,$BE$94,$BI$94,$BM$94)</f>
        <v>6.1968240863804064E-2</v>
      </c>
    </row>
    <row r="70" spans="1:71" ht="45">
      <c r="AR70" s="1170" t="s">
        <v>725</v>
      </c>
      <c r="AS70" s="1170" t="s">
        <v>713</v>
      </c>
      <c r="AT70" s="1170" t="s">
        <v>637</v>
      </c>
      <c r="AU70" s="1172">
        <v>3376200</v>
      </c>
      <c r="AV70" s="1172">
        <v>4180000</v>
      </c>
      <c r="AW70" s="1172">
        <v>4389000</v>
      </c>
      <c r="AX70" s="1172">
        <v>5705700</v>
      </c>
      <c r="AY70" s="1172">
        <v>148220</v>
      </c>
      <c r="AZ70" s="1172">
        <v>183500</v>
      </c>
      <c r="BA70" s="1172">
        <v>192680</v>
      </c>
      <c r="BB70" s="1172">
        <v>250480</v>
      </c>
      <c r="BC70" s="1172">
        <v>53070</v>
      </c>
      <c r="BD70" s="1172">
        <v>65700</v>
      </c>
      <c r="BE70" s="1172">
        <v>68990</v>
      </c>
      <c r="BF70" s="1172">
        <v>89690</v>
      </c>
      <c r="BG70" s="1172">
        <v>6169</v>
      </c>
      <c r="BH70" s="1172">
        <v>7638</v>
      </c>
      <c r="BI70" s="1172">
        <v>8020</v>
      </c>
      <c r="BJ70" s="1172">
        <v>10426</v>
      </c>
      <c r="BK70" s="1171">
        <v>493</v>
      </c>
      <c r="BL70" s="1171">
        <v>610</v>
      </c>
      <c r="BM70" s="1171">
        <v>641</v>
      </c>
      <c r="BN70" s="1171">
        <v>833</v>
      </c>
      <c r="BO70" s="1173">
        <v>0.3</v>
      </c>
      <c r="BP70" s="1173">
        <v>0.05</v>
      </c>
      <c r="BQ70" s="1173">
        <v>0.3</v>
      </c>
      <c r="BR70" s="1173">
        <f t="shared" si="4"/>
        <v>2.6583631304232025E-2</v>
      </c>
      <c r="BS70" s="1173">
        <f t="shared" si="5"/>
        <v>0.34418862649315102</v>
      </c>
    </row>
    <row r="71" spans="1:71" ht="45">
      <c r="AR71" s="1170" t="s">
        <v>725</v>
      </c>
      <c r="AS71" s="1170" t="s">
        <v>714</v>
      </c>
      <c r="AT71" s="1170" t="s">
        <v>624</v>
      </c>
      <c r="AU71" s="1172">
        <v>1800</v>
      </c>
      <c r="AV71" s="1172">
        <v>4600</v>
      </c>
      <c r="AW71" s="1172">
        <v>4800</v>
      </c>
      <c r="AX71" s="1172">
        <v>6200</v>
      </c>
      <c r="AY71" s="1171">
        <v>80</v>
      </c>
      <c r="AZ71" s="1171">
        <v>200</v>
      </c>
      <c r="BA71" s="1171">
        <v>210</v>
      </c>
      <c r="BB71" s="1171">
        <v>270</v>
      </c>
      <c r="BC71" s="1171">
        <v>30</v>
      </c>
      <c r="BD71" s="1171">
        <v>70</v>
      </c>
      <c r="BE71" s="1171">
        <v>70</v>
      </c>
      <c r="BF71" s="1171">
        <v>90</v>
      </c>
      <c r="BG71" s="1171">
        <v>3</v>
      </c>
      <c r="BH71" s="1171">
        <v>8</v>
      </c>
      <c r="BI71" s="1171">
        <v>8</v>
      </c>
      <c r="BJ71" s="1171">
        <v>10</v>
      </c>
      <c r="BK71" s="1170" t="s">
        <v>633</v>
      </c>
      <c r="BL71" s="1170" t="s">
        <v>633</v>
      </c>
      <c r="BM71" s="1170" t="s">
        <v>633</v>
      </c>
      <c r="BN71" s="1170" t="s">
        <v>633</v>
      </c>
      <c r="BO71" s="1173">
        <v>1.65</v>
      </c>
      <c r="BP71" s="1173">
        <v>0.05</v>
      </c>
      <c r="BQ71" s="1173">
        <v>0.3</v>
      </c>
      <c r="BR71" s="1173">
        <f t="shared" si="4"/>
        <v>2.6583631304232025E-2</v>
      </c>
      <c r="BS71" s="1173">
        <f t="shared" si="5"/>
        <v>3.7585475931998656E-4</v>
      </c>
    </row>
    <row r="72" spans="1:71" ht="45">
      <c r="AR72" s="1170" t="s">
        <v>725</v>
      </c>
      <c r="AS72" s="1170" t="s">
        <v>715</v>
      </c>
      <c r="AT72" s="1170" t="s">
        <v>624</v>
      </c>
      <c r="AU72" s="1172">
        <v>16800</v>
      </c>
      <c r="AV72" s="1172">
        <v>10500</v>
      </c>
      <c r="AW72" s="1172">
        <v>6700</v>
      </c>
      <c r="AX72" s="1172">
        <v>7400</v>
      </c>
      <c r="AY72" s="1171">
        <v>650</v>
      </c>
      <c r="AZ72" s="1171">
        <v>410</v>
      </c>
      <c r="BA72" s="1171">
        <v>260</v>
      </c>
      <c r="BB72" s="1171">
        <v>290</v>
      </c>
      <c r="BC72" s="1171">
        <v>200</v>
      </c>
      <c r="BD72" s="1171">
        <v>130</v>
      </c>
      <c r="BE72" s="1171">
        <v>80</v>
      </c>
      <c r="BF72" s="1171">
        <v>90</v>
      </c>
      <c r="BG72" s="1171">
        <v>48</v>
      </c>
      <c r="BH72" s="1171">
        <v>30</v>
      </c>
      <c r="BI72" s="1171">
        <v>19</v>
      </c>
      <c r="BJ72" s="1171">
        <v>21</v>
      </c>
      <c r="BK72" s="1171">
        <v>5</v>
      </c>
      <c r="BL72" s="1171">
        <v>3</v>
      </c>
      <c r="BM72" s="1171">
        <v>2</v>
      </c>
      <c r="BN72" s="1171">
        <v>2</v>
      </c>
      <c r="BO72" s="1173">
        <v>-0.6</v>
      </c>
      <c r="BP72" s="1173">
        <v>-0.36</v>
      </c>
      <c r="BQ72" s="1173">
        <v>0.1</v>
      </c>
      <c r="BR72" s="1173">
        <f t="shared" si="4"/>
        <v>9.5765827768869993E-3</v>
      </c>
      <c r="BS72" s="1173">
        <f t="shared" si="5"/>
        <v>5.2160189771195459E-4</v>
      </c>
    </row>
    <row r="73" spans="1:71" ht="30">
      <c r="AR73" s="1170" t="s">
        <v>725</v>
      </c>
      <c r="AS73" s="1170" t="s">
        <v>717</v>
      </c>
      <c r="AT73" s="1170" t="s">
        <v>621</v>
      </c>
      <c r="AU73" s="1171">
        <v>800</v>
      </c>
      <c r="AV73" s="1172">
        <v>1000</v>
      </c>
      <c r="AW73" s="1172">
        <v>1000</v>
      </c>
      <c r="AX73" s="1172">
        <v>1800</v>
      </c>
      <c r="AY73" s="1171">
        <v>30</v>
      </c>
      <c r="AZ73" s="1171">
        <v>40</v>
      </c>
      <c r="BA73" s="1171">
        <v>40</v>
      </c>
      <c r="BB73" s="1171">
        <v>70</v>
      </c>
      <c r="BC73" s="1171">
        <v>10</v>
      </c>
      <c r="BD73" s="1171">
        <v>10</v>
      </c>
      <c r="BE73" s="1171">
        <v>10</v>
      </c>
      <c r="BF73" s="1171">
        <v>20</v>
      </c>
      <c r="BG73" s="1171">
        <v>2</v>
      </c>
      <c r="BH73" s="1171">
        <v>3</v>
      </c>
      <c r="BI73" s="1171">
        <v>3</v>
      </c>
      <c r="BJ73" s="1171">
        <v>5</v>
      </c>
      <c r="BK73" s="1170" t="s">
        <v>633</v>
      </c>
      <c r="BL73" s="1170" t="s">
        <v>633</v>
      </c>
      <c r="BM73" s="1170" t="s">
        <v>633</v>
      </c>
      <c r="BN73" s="1170" t="s">
        <v>633</v>
      </c>
      <c r="BO73" s="1173">
        <v>0.27</v>
      </c>
      <c r="BP73" s="1173">
        <v>-0.02</v>
      </c>
      <c r="BQ73" s="1173">
        <v>0.8</v>
      </c>
      <c r="BR73" s="1173">
        <f t="shared" si="4"/>
        <v>6.0540481614018704E-2</v>
      </c>
      <c r="BS73" s="1173">
        <f t="shared" si="5"/>
        <v>7.7785979080964199E-5</v>
      </c>
    </row>
    <row r="74" spans="1:71" ht="30">
      <c r="AR74" s="1170" t="s">
        <v>116</v>
      </c>
      <c r="AS74" s="1170" t="s">
        <v>629</v>
      </c>
      <c r="AT74" s="1170" t="s">
        <v>630</v>
      </c>
      <c r="AU74" s="1172">
        <v>2700</v>
      </c>
      <c r="AV74" s="1172">
        <v>5600</v>
      </c>
      <c r="AW74" s="1172">
        <v>6000</v>
      </c>
      <c r="AX74" s="1172">
        <v>9600</v>
      </c>
      <c r="AY74" s="1171">
        <v>120</v>
      </c>
      <c r="AZ74" s="1171">
        <v>240</v>
      </c>
      <c r="BA74" s="1171">
        <v>260</v>
      </c>
      <c r="BB74" s="1171">
        <v>420</v>
      </c>
      <c r="BC74" s="1171">
        <v>50</v>
      </c>
      <c r="BD74" s="1171">
        <v>90</v>
      </c>
      <c r="BE74" s="1171">
        <v>100</v>
      </c>
      <c r="BF74" s="1171">
        <v>160</v>
      </c>
      <c r="BG74" s="1171">
        <v>5</v>
      </c>
      <c r="BH74" s="1171">
        <v>10</v>
      </c>
      <c r="BI74" s="1171">
        <v>11</v>
      </c>
      <c r="BJ74" s="1171">
        <v>18</v>
      </c>
      <c r="BK74" s="1169"/>
      <c r="BL74" s="1169"/>
      <c r="BM74" s="1169"/>
      <c r="BN74" s="1169"/>
      <c r="BO74" s="1173">
        <v>1.22</v>
      </c>
      <c r="BP74" s="1173">
        <v>0.08</v>
      </c>
      <c r="BQ74" s="1173">
        <v>0.6</v>
      </c>
      <c r="BR74" s="1173">
        <f t="shared" si="4"/>
        <v>4.8122389468957749E-2</v>
      </c>
      <c r="BS74" s="1173">
        <f t="shared" si="5"/>
        <v>4.7063102822870171E-4</v>
      </c>
    </row>
    <row r="75" spans="1:71" ht="30">
      <c r="A75" s="851" t="s">
        <v>720</v>
      </c>
      <c r="AR75" s="1170" t="s">
        <v>116</v>
      </c>
      <c r="AS75" s="1170" t="s">
        <v>657</v>
      </c>
      <c r="AT75" s="1170" t="s">
        <v>641</v>
      </c>
      <c r="AU75" s="1172">
        <v>151900</v>
      </c>
      <c r="AV75" s="1172">
        <v>215000</v>
      </c>
      <c r="AW75" s="1172">
        <v>227900</v>
      </c>
      <c r="AX75" s="1172">
        <v>319100</v>
      </c>
      <c r="AY75" s="1172">
        <v>6790</v>
      </c>
      <c r="AZ75" s="1172">
        <v>9600</v>
      </c>
      <c r="BA75" s="1172">
        <v>10180</v>
      </c>
      <c r="BB75" s="1172">
        <v>14250</v>
      </c>
      <c r="BC75" s="1172">
        <v>2720</v>
      </c>
      <c r="BD75" s="1172">
        <v>3850</v>
      </c>
      <c r="BE75" s="1172">
        <v>4080</v>
      </c>
      <c r="BF75" s="1172">
        <v>5710</v>
      </c>
      <c r="BG75" s="1171">
        <v>340</v>
      </c>
      <c r="BH75" s="1171">
        <v>481</v>
      </c>
      <c r="BI75" s="1171">
        <v>510</v>
      </c>
      <c r="BJ75" s="1171">
        <v>714</v>
      </c>
      <c r="BK75" s="1171">
        <v>34</v>
      </c>
      <c r="BL75" s="1171">
        <v>48</v>
      </c>
      <c r="BM75" s="1171">
        <v>51</v>
      </c>
      <c r="BN75" s="1171">
        <v>71</v>
      </c>
      <c r="BO75" s="1173">
        <v>0.5</v>
      </c>
      <c r="BP75" s="1173">
        <v>0.06</v>
      </c>
      <c r="BQ75" s="1173">
        <v>0.4</v>
      </c>
      <c r="BR75" s="1173">
        <f t="shared" si="4"/>
        <v>3.4219694129380196E-2</v>
      </c>
      <c r="BS75" s="1173">
        <f t="shared" si="5"/>
        <v>1.7930000596876269E-2</v>
      </c>
    </row>
    <row r="76" spans="1:71" ht="30">
      <c r="AR76" s="1170" t="s">
        <v>116</v>
      </c>
      <c r="AS76" s="1170" t="s">
        <v>668</v>
      </c>
      <c r="AT76" s="1170" t="s">
        <v>630</v>
      </c>
      <c r="AU76" s="1172">
        <v>3400</v>
      </c>
      <c r="AV76" s="1172">
        <v>6200</v>
      </c>
      <c r="AW76" s="1172">
        <v>6700</v>
      </c>
      <c r="AX76" s="1172">
        <v>10700</v>
      </c>
      <c r="AY76" s="1171">
        <v>260</v>
      </c>
      <c r="AZ76" s="1171">
        <v>480</v>
      </c>
      <c r="BA76" s="1171">
        <v>520</v>
      </c>
      <c r="BB76" s="1171">
        <v>830</v>
      </c>
      <c r="BC76" s="1171">
        <v>120</v>
      </c>
      <c r="BD76" s="1171">
        <v>210</v>
      </c>
      <c r="BE76" s="1171">
        <v>230</v>
      </c>
      <c r="BF76" s="1171">
        <v>370</v>
      </c>
      <c r="BG76" s="1171">
        <v>15</v>
      </c>
      <c r="BH76" s="1171">
        <v>27</v>
      </c>
      <c r="BI76" s="1171">
        <v>29</v>
      </c>
      <c r="BJ76" s="1171">
        <v>46</v>
      </c>
      <c r="BK76" s="1171">
        <v>2</v>
      </c>
      <c r="BL76" s="1171">
        <v>3</v>
      </c>
      <c r="BM76" s="1171">
        <v>3</v>
      </c>
      <c r="BN76" s="1171">
        <v>5</v>
      </c>
      <c r="BO76" s="1173">
        <v>0.99</v>
      </c>
      <c r="BP76" s="1173">
        <v>0.08</v>
      </c>
      <c r="BQ76" s="1173">
        <v>0.6</v>
      </c>
      <c r="BR76" s="1173">
        <f t="shared" si="4"/>
        <v>4.8122389468957749E-2</v>
      </c>
      <c r="BS76" s="1173">
        <f t="shared" si="5"/>
        <v>5.5270151517927267E-4</v>
      </c>
    </row>
    <row r="77" spans="1:71" ht="30">
      <c r="AR77" s="1170" t="s">
        <v>116</v>
      </c>
      <c r="AS77" s="1170" t="s">
        <v>686</v>
      </c>
      <c r="AT77" s="1170" t="s">
        <v>641</v>
      </c>
      <c r="AU77" s="1172">
        <v>11800</v>
      </c>
      <c r="AV77" s="1172">
        <v>18300</v>
      </c>
      <c r="AW77" s="1172">
        <v>19200</v>
      </c>
      <c r="AX77" s="1172">
        <v>26900</v>
      </c>
      <c r="AY77" s="1171">
        <v>640</v>
      </c>
      <c r="AZ77" s="1172">
        <v>1000</v>
      </c>
      <c r="BA77" s="1172">
        <v>1050</v>
      </c>
      <c r="BB77" s="1172">
        <v>1470</v>
      </c>
      <c r="BC77" s="1171">
        <v>240</v>
      </c>
      <c r="BD77" s="1171">
        <v>370</v>
      </c>
      <c r="BE77" s="1171">
        <v>390</v>
      </c>
      <c r="BF77" s="1171">
        <v>550</v>
      </c>
      <c r="BG77" s="1171">
        <v>28</v>
      </c>
      <c r="BH77" s="1171">
        <v>43</v>
      </c>
      <c r="BI77" s="1171">
        <v>45</v>
      </c>
      <c r="BJ77" s="1171">
        <v>63</v>
      </c>
      <c r="BK77" s="1171">
        <v>2</v>
      </c>
      <c r="BL77" s="1171">
        <v>3</v>
      </c>
      <c r="BM77" s="1171">
        <v>3</v>
      </c>
      <c r="BN77" s="1171">
        <v>4</v>
      </c>
      <c r="BO77" s="1173">
        <v>0.63</v>
      </c>
      <c r="BP77" s="1173">
        <v>0.05</v>
      </c>
      <c r="BQ77" s="1173">
        <v>0.4</v>
      </c>
      <c r="BR77" s="1173">
        <f t="shared" si="4"/>
        <v>3.4219694129380196E-2</v>
      </c>
      <c r="BS77" s="1173">
        <f t="shared" si="5"/>
        <v>1.5282396345935303E-3</v>
      </c>
    </row>
    <row r="78" spans="1:71" ht="60">
      <c r="AR78" s="1170" t="s">
        <v>116</v>
      </c>
      <c r="AS78" s="1170" t="s">
        <v>695</v>
      </c>
      <c r="AT78" s="1170" t="s">
        <v>630</v>
      </c>
      <c r="AU78" s="1172">
        <v>100800</v>
      </c>
      <c r="AV78" s="1172">
        <v>120000</v>
      </c>
      <c r="AW78" s="1172">
        <v>132000</v>
      </c>
      <c r="AX78" s="1172">
        <v>211200</v>
      </c>
      <c r="AY78" s="1172">
        <v>4620</v>
      </c>
      <c r="AZ78" s="1172">
        <v>5500</v>
      </c>
      <c r="BA78" s="1172">
        <v>6050</v>
      </c>
      <c r="BB78" s="1172">
        <v>9680</v>
      </c>
      <c r="BC78" s="1172">
        <v>2100</v>
      </c>
      <c r="BD78" s="1172">
        <v>2500</v>
      </c>
      <c r="BE78" s="1172">
        <v>2750</v>
      </c>
      <c r="BF78" s="1172">
        <v>4400</v>
      </c>
      <c r="BG78" s="1171">
        <v>603</v>
      </c>
      <c r="BH78" s="1171">
        <v>718</v>
      </c>
      <c r="BI78" s="1171">
        <v>790</v>
      </c>
      <c r="BJ78" s="1172">
        <v>1264</v>
      </c>
      <c r="BK78" s="1171">
        <v>63</v>
      </c>
      <c r="BL78" s="1171">
        <v>75</v>
      </c>
      <c r="BM78" s="1171">
        <v>83</v>
      </c>
      <c r="BN78" s="1171">
        <v>133</v>
      </c>
      <c r="BO78" s="1173">
        <v>0.31</v>
      </c>
      <c r="BP78" s="1173">
        <v>0.1</v>
      </c>
      <c r="BQ78" s="1173">
        <v>0.6</v>
      </c>
      <c r="BR78" s="1173">
        <f t="shared" si="4"/>
        <v>4.8122389468957749E-2</v>
      </c>
      <c r="BS78" s="1173">
        <f t="shared" si="5"/>
        <v>1.0465501438117227E-2</v>
      </c>
    </row>
    <row r="79" spans="1:71" ht="30">
      <c r="AR79" s="1170" t="s">
        <v>116</v>
      </c>
      <c r="AS79" s="1170" t="s">
        <v>701</v>
      </c>
      <c r="AT79" s="1170" t="s">
        <v>641</v>
      </c>
      <c r="AU79" s="1172">
        <v>66300</v>
      </c>
      <c r="AV79" s="1172">
        <v>125000</v>
      </c>
      <c r="AW79" s="1172">
        <v>132500</v>
      </c>
      <c r="AX79" s="1172">
        <v>185500</v>
      </c>
      <c r="AY79" s="1172">
        <v>2860</v>
      </c>
      <c r="AZ79" s="1172">
        <v>5400</v>
      </c>
      <c r="BA79" s="1172">
        <v>5720</v>
      </c>
      <c r="BB79" s="1172">
        <v>8010</v>
      </c>
      <c r="BC79" s="1172">
        <v>1140</v>
      </c>
      <c r="BD79" s="1172">
        <v>2140</v>
      </c>
      <c r="BE79" s="1172">
        <v>2270</v>
      </c>
      <c r="BF79" s="1172">
        <v>3180</v>
      </c>
      <c r="BG79" s="1171">
        <v>141</v>
      </c>
      <c r="BH79" s="1171">
        <v>266</v>
      </c>
      <c r="BI79" s="1171">
        <v>282</v>
      </c>
      <c r="BJ79" s="1171">
        <v>395</v>
      </c>
      <c r="BK79" s="1171">
        <v>14</v>
      </c>
      <c r="BL79" s="1171">
        <v>26</v>
      </c>
      <c r="BM79" s="1171">
        <v>28</v>
      </c>
      <c r="BN79" s="1171">
        <v>39</v>
      </c>
      <c r="BO79" s="1173">
        <v>1</v>
      </c>
      <c r="BP79" s="1173">
        <v>0.06</v>
      </c>
      <c r="BQ79" s="1173">
        <v>0.4</v>
      </c>
      <c r="BR79" s="1173">
        <f t="shared" si="4"/>
        <v>3.4219694129380196E-2</v>
      </c>
      <c r="BS79" s="1173">
        <f t="shared" si="5"/>
        <v>1.0401012207597113E-2</v>
      </c>
    </row>
    <row r="80" spans="1:71" ht="30">
      <c r="AR80" s="1170" t="s">
        <v>116</v>
      </c>
      <c r="AS80" s="1170" t="s">
        <v>706</v>
      </c>
      <c r="AT80" s="1170" t="s">
        <v>641</v>
      </c>
      <c r="AU80" s="1172">
        <v>68700</v>
      </c>
      <c r="AV80" s="1172">
        <v>98200</v>
      </c>
      <c r="AW80" s="1172">
        <v>103100</v>
      </c>
      <c r="AX80" s="1172">
        <v>134000</v>
      </c>
      <c r="AY80" s="1172">
        <v>2450</v>
      </c>
      <c r="AZ80" s="1172">
        <v>3500</v>
      </c>
      <c r="BA80" s="1172">
        <v>3680</v>
      </c>
      <c r="BB80" s="1172">
        <v>4780</v>
      </c>
      <c r="BC80" s="1171">
        <v>920</v>
      </c>
      <c r="BD80" s="1172">
        <v>1310</v>
      </c>
      <c r="BE80" s="1172">
        <v>1380</v>
      </c>
      <c r="BF80" s="1172">
        <v>1790</v>
      </c>
      <c r="BG80" s="1171">
        <v>178</v>
      </c>
      <c r="BH80" s="1171">
        <v>254</v>
      </c>
      <c r="BI80" s="1171">
        <v>267</v>
      </c>
      <c r="BJ80" s="1171">
        <v>347</v>
      </c>
      <c r="BK80" s="1171">
        <v>19</v>
      </c>
      <c r="BL80" s="1171">
        <v>28</v>
      </c>
      <c r="BM80" s="1171">
        <v>29</v>
      </c>
      <c r="BN80" s="1171">
        <v>38</v>
      </c>
      <c r="BO80" s="1173">
        <v>0.5</v>
      </c>
      <c r="BP80" s="1173">
        <v>0.05</v>
      </c>
      <c r="BQ80" s="1173">
        <v>0.3</v>
      </c>
      <c r="BR80" s="1173">
        <f t="shared" si="4"/>
        <v>2.6583631304232025E-2</v>
      </c>
      <c r="BS80" s="1173">
        <f t="shared" si="5"/>
        <v>8.0117342328632976E-3</v>
      </c>
    </row>
    <row r="81" spans="44:71" ht="30">
      <c r="AR81" s="1170" t="s">
        <v>116</v>
      </c>
      <c r="AS81" s="1170" t="s">
        <v>625</v>
      </c>
      <c r="AT81" s="1170" t="s">
        <v>626</v>
      </c>
      <c r="AU81" s="1172">
        <v>174000</v>
      </c>
      <c r="AV81" s="1172">
        <v>290000</v>
      </c>
      <c r="AW81" s="1172">
        <v>321900</v>
      </c>
      <c r="AX81" s="1172">
        <v>547200</v>
      </c>
      <c r="AY81" s="1172">
        <v>5700</v>
      </c>
      <c r="AZ81" s="1172">
        <v>9500</v>
      </c>
      <c r="BA81" s="1172">
        <v>10550</v>
      </c>
      <c r="BB81" s="1172">
        <v>17940</v>
      </c>
      <c r="BC81" s="1172">
        <v>1810</v>
      </c>
      <c r="BD81" s="1172">
        <v>3010</v>
      </c>
      <c r="BE81" s="1172">
        <v>3340</v>
      </c>
      <c r="BF81" s="1172">
        <v>5680</v>
      </c>
      <c r="BG81" s="1171">
        <v>210</v>
      </c>
      <c r="BH81" s="1171">
        <v>350</v>
      </c>
      <c r="BI81" s="1171">
        <v>389</v>
      </c>
      <c r="BJ81" s="1171">
        <v>661</v>
      </c>
      <c r="BK81" s="1171">
        <v>17</v>
      </c>
      <c r="BL81" s="1171">
        <v>28</v>
      </c>
      <c r="BM81" s="1171">
        <v>31</v>
      </c>
      <c r="BN81" s="1171">
        <v>53</v>
      </c>
      <c r="BO81" s="1173">
        <v>0.85</v>
      </c>
      <c r="BP81" s="1173">
        <v>0.11</v>
      </c>
      <c r="BQ81" s="1173">
        <v>0.7</v>
      </c>
      <c r="BR81" s="1173">
        <f t="shared" si="4"/>
        <v>5.4495891854766221E-2</v>
      </c>
      <c r="BS81" s="1173">
        <f t="shared" si="5"/>
        <v>2.4836110186905007E-2</v>
      </c>
    </row>
    <row r="82" spans="44:71" ht="30">
      <c r="AR82" s="1170" t="s">
        <v>116</v>
      </c>
      <c r="AS82" s="1170" t="s">
        <v>640</v>
      </c>
      <c r="AT82" s="1170" t="s">
        <v>641</v>
      </c>
      <c r="AU82" s="1172">
        <v>188800</v>
      </c>
      <c r="AV82" s="1172">
        <v>654000</v>
      </c>
      <c r="AW82" s="1172">
        <v>719400</v>
      </c>
      <c r="AX82" s="1172">
        <v>1726600</v>
      </c>
      <c r="AY82" s="1172">
        <v>8810</v>
      </c>
      <c r="AZ82" s="1172">
        <v>30500</v>
      </c>
      <c r="BA82" s="1172">
        <v>33550</v>
      </c>
      <c r="BB82" s="1172">
        <v>80520</v>
      </c>
      <c r="BC82" s="1172">
        <v>3760</v>
      </c>
      <c r="BD82" s="1172">
        <v>13010</v>
      </c>
      <c r="BE82" s="1172">
        <v>14310</v>
      </c>
      <c r="BF82" s="1172">
        <v>34340</v>
      </c>
      <c r="BG82" s="1171">
        <v>487</v>
      </c>
      <c r="BH82" s="1172">
        <v>1688</v>
      </c>
      <c r="BI82" s="1172">
        <v>1857</v>
      </c>
      <c r="BJ82" s="1172">
        <v>4457</v>
      </c>
      <c r="BK82" s="1171">
        <v>54</v>
      </c>
      <c r="BL82" s="1171">
        <v>185</v>
      </c>
      <c r="BM82" s="1171">
        <v>204</v>
      </c>
      <c r="BN82" s="1171">
        <v>490</v>
      </c>
      <c r="BO82" s="1173">
        <v>2.81</v>
      </c>
      <c r="BP82" s="1173">
        <v>0.1</v>
      </c>
      <c r="BQ82" s="1173">
        <v>1.4</v>
      </c>
      <c r="BR82" s="1173">
        <f t="shared" si="4"/>
        <v>9.1493425617896973E-2</v>
      </c>
      <c r="BS82" s="1173">
        <f t="shared" si="5"/>
        <v>5.6830377219892175E-2</v>
      </c>
    </row>
    <row r="83" spans="44:71" ht="30">
      <c r="AR83" s="1170" t="s">
        <v>116</v>
      </c>
      <c r="AS83" s="1170" t="s">
        <v>659</v>
      </c>
      <c r="AT83" s="1170" t="s">
        <v>641</v>
      </c>
      <c r="AU83" s="1172">
        <v>67800</v>
      </c>
      <c r="AV83" s="1172">
        <v>236000</v>
      </c>
      <c r="AW83" s="1172">
        <v>264300</v>
      </c>
      <c r="AX83" s="1172">
        <v>660800</v>
      </c>
      <c r="AY83" s="1172">
        <v>4250</v>
      </c>
      <c r="AZ83" s="1172">
        <v>14800</v>
      </c>
      <c r="BA83" s="1172">
        <v>16580</v>
      </c>
      <c r="BB83" s="1172">
        <v>41450</v>
      </c>
      <c r="BC83" s="1172">
        <v>1730</v>
      </c>
      <c r="BD83" s="1172">
        <v>6020</v>
      </c>
      <c r="BE83" s="1172">
        <v>6740</v>
      </c>
      <c r="BF83" s="1172">
        <v>16850</v>
      </c>
      <c r="BG83" s="1171">
        <v>218</v>
      </c>
      <c r="BH83" s="1171">
        <v>760</v>
      </c>
      <c r="BI83" s="1171">
        <v>851</v>
      </c>
      <c r="BJ83" s="1172">
        <v>2128</v>
      </c>
      <c r="BK83" s="1171">
        <v>24</v>
      </c>
      <c r="BL83" s="1171">
        <v>85</v>
      </c>
      <c r="BM83" s="1171">
        <v>95</v>
      </c>
      <c r="BN83" s="1171">
        <v>238</v>
      </c>
      <c r="BO83" s="1173">
        <v>2.9</v>
      </c>
      <c r="BP83" s="1173">
        <v>0.12</v>
      </c>
      <c r="BQ83" s="1173">
        <v>1.5</v>
      </c>
      <c r="BR83" s="1173">
        <f t="shared" si="4"/>
        <v>9.5958226385217227E-2</v>
      </c>
      <c r="BS83" s="1173">
        <f t="shared" si="5"/>
        <v>2.1316608584499065E-2</v>
      </c>
    </row>
    <row r="84" spans="44:71" ht="30">
      <c r="AR84" s="1170" t="s">
        <v>116</v>
      </c>
      <c r="AS84" s="1170" t="s">
        <v>660</v>
      </c>
      <c r="AT84" s="1170" t="s">
        <v>641</v>
      </c>
      <c r="AU84" s="1172">
        <v>23600</v>
      </c>
      <c r="AV84" s="1172">
        <v>48500</v>
      </c>
      <c r="AW84" s="1172">
        <v>49500</v>
      </c>
      <c r="AX84" s="1172">
        <v>59400</v>
      </c>
      <c r="AY84" s="1172">
        <v>1210</v>
      </c>
      <c r="AZ84" s="1172">
        <v>2500</v>
      </c>
      <c r="BA84" s="1172">
        <v>2550</v>
      </c>
      <c r="BB84" s="1172">
        <v>3060</v>
      </c>
      <c r="BC84" s="1171">
        <v>540</v>
      </c>
      <c r="BD84" s="1172">
        <v>1120</v>
      </c>
      <c r="BE84" s="1172">
        <v>1140</v>
      </c>
      <c r="BF84" s="1172">
        <v>1370</v>
      </c>
      <c r="BG84" s="1171">
        <v>70</v>
      </c>
      <c r="BH84" s="1171">
        <v>143</v>
      </c>
      <c r="BI84" s="1171">
        <v>146</v>
      </c>
      <c r="BJ84" s="1171">
        <v>175</v>
      </c>
      <c r="BK84" s="1171">
        <v>8</v>
      </c>
      <c r="BL84" s="1171">
        <v>16</v>
      </c>
      <c r="BM84" s="1171">
        <v>16</v>
      </c>
      <c r="BN84" s="1171">
        <v>19</v>
      </c>
      <c r="BO84" s="1173">
        <v>1.1000000000000001</v>
      </c>
      <c r="BP84" s="1173">
        <v>0.02</v>
      </c>
      <c r="BQ84" s="1173">
        <v>0.2</v>
      </c>
      <c r="BR84" s="1173">
        <f t="shared" si="4"/>
        <v>1.8399376147024249E-2</v>
      </c>
      <c r="BS84" s="1173">
        <f t="shared" si="5"/>
        <v>3.9411562734355194E-3</v>
      </c>
    </row>
    <row r="85" spans="44:71" ht="30">
      <c r="AR85" s="1170" t="s">
        <v>116</v>
      </c>
      <c r="AS85" s="1170" t="s">
        <v>666</v>
      </c>
      <c r="AT85" s="1170" t="s">
        <v>641</v>
      </c>
      <c r="AU85" s="1172">
        <v>863700</v>
      </c>
      <c r="AV85" s="1172">
        <v>1100000</v>
      </c>
      <c r="AW85" s="1172">
        <v>1166000</v>
      </c>
      <c r="AX85" s="1172">
        <v>1515800</v>
      </c>
      <c r="AY85" s="1172">
        <v>16410</v>
      </c>
      <c r="AZ85" s="1172">
        <v>20900</v>
      </c>
      <c r="BA85" s="1172">
        <v>22150</v>
      </c>
      <c r="BB85" s="1172">
        <v>28800</v>
      </c>
      <c r="BC85" s="1172">
        <v>5070</v>
      </c>
      <c r="BD85" s="1172">
        <v>6450</v>
      </c>
      <c r="BE85" s="1172">
        <v>6840</v>
      </c>
      <c r="BF85" s="1172">
        <v>8890</v>
      </c>
      <c r="BG85" s="1171">
        <v>521</v>
      </c>
      <c r="BH85" s="1171">
        <v>663</v>
      </c>
      <c r="BI85" s="1171">
        <v>703</v>
      </c>
      <c r="BJ85" s="1171">
        <v>914</v>
      </c>
      <c r="BK85" s="1171">
        <v>22</v>
      </c>
      <c r="BL85" s="1171">
        <v>28</v>
      </c>
      <c r="BM85" s="1171">
        <v>30</v>
      </c>
      <c r="BN85" s="1171">
        <v>39</v>
      </c>
      <c r="BO85" s="1173">
        <v>0.35</v>
      </c>
      <c r="BP85" s="1173">
        <v>0.06</v>
      </c>
      <c r="BQ85" s="1173">
        <v>0.3</v>
      </c>
      <c r="BR85" s="1173">
        <f t="shared" si="4"/>
        <v>2.6583631304232025E-2</v>
      </c>
      <c r="BS85" s="1173">
        <f t="shared" si="5"/>
        <v>8.8329044885686381E-2</v>
      </c>
    </row>
    <row r="86" spans="44:71" ht="30">
      <c r="AR86" s="1170" t="s">
        <v>116</v>
      </c>
      <c r="AS86" s="1170" t="s">
        <v>674</v>
      </c>
      <c r="AT86" s="1170" t="s">
        <v>641</v>
      </c>
      <c r="AU86" s="1172">
        <v>27200</v>
      </c>
      <c r="AV86" s="1172">
        <v>41700</v>
      </c>
      <c r="AW86" s="1172">
        <v>43000</v>
      </c>
      <c r="AX86" s="1172">
        <v>73100</v>
      </c>
      <c r="AY86" s="1172">
        <v>1560</v>
      </c>
      <c r="AZ86" s="1172">
        <v>2400</v>
      </c>
      <c r="BA86" s="1172">
        <v>2470</v>
      </c>
      <c r="BB86" s="1172">
        <v>4200</v>
      </c>
      <c r="BC86" s="1171">
        <v>650</v>
      </c>
      <c r="BD86" s="1171">
        <v>990</v>
      </c>
      <c r="BE86" s="1172">
        <v>1020</v>
      </c>
      <c r="BF86" s="1172">
        <v>1730</v>
      </c>
      <c r="BG86" s="1171">
        <v>80</v>
      </c>
      <c r="BH86" s="1171">
        <v>123</v>
      </c>
      <c r="BI86" s="1171">
        <v>127</v>
      </c>
      <c r="BJ86" s="1171">
        <v>216</v>
      </c>
      <c r="BK86" s="1171">
        <v>8</v>
      </c>
      <c r="BL86" s="1171">
        <v>12</v>
      </c>
      <c r="BM86" s="1171">
        <v>12</v>
      </c>
      <c r="BN86" s="1171">
        <v>20</v>
      </c>
      <c r="BO86" s="1173">
        <v>0.57999999999999996</v>
      </c>
      <c r="BP86" s="1173">
        <v>0.03</v>
      </c>
      <c r="BQ86" s="1173">
        <v>0.7</v>
      </c>
      <c r="BR86" s="1173">
        <f t="shared" si="4"/>
        <v>5.4495891854766221E-2</v>
      </c>
      <c r="BS86" s="1173">
        <f t="shared" si="5"/>
        <v>3.4445227146878248E-3</v>
      </c>
    </row>
    <row r="87" spans="44:71" ht="45">
      <c r="AR87" s="1170" t="s">
        <v>116</v>
      </c>
      <c r="AS87" s="1170" t="s">
        <v>683</v>
      </c>
      <c r="AT87" s="1170" t="s">
        <v>626</v>
      </c>
      <c r="AU87" s="1172">
        <v>52000</v>
      </c>
      <c r="AV87" s="1172">
        <v>89000</v>
      </c>
      <c r="AW87" s="1172">
        <v>98800</v>
      </c>
      <c r="AX87" s="1172">
        <v>168000</v>
      </c>
      <c r="AY87" s="1172">
        <v>1520</v>
      </c>
      <c r="AZ87" s="1172">
        <v>2600</v>
      </c>
      <c r="BA87" s="1172">
        <v>2890</v>
      </c>
      <c r="BB87" s="1172">
        <v>4910</v>
      </c>
      <c r="BC87" s="1171">
        <v>460</v>
      </c>
      <c r="BD87" s="1171">
        <v>790</v>
      </c>
      <c r="BE87" s="1171">
        <v>880</v>
      </c>
      <c r="BF87" s="1172">
        <v>1500</v>
      </c>
      <c r="BG87" s="1171">
        <v>47</v>
      </c>
      <c r="BH87" s="1171">
        <v>80</v>
      </c>
      <c r="BI87" s="1171">
        <v>89</v>
      </c>
      <c r="BJ87" s="1171">
        <v>151</v>
      </c>
      <c r="BK87" s="1171">
        <v>2</v>
      </c>
      <c r="BL87" s="1171">
        <v>3</v>
      </c>
      <c r="BM87" s="1171">
        <v>3</v>
      </c>
      <c r="BN87" s="1171">
        <v>5</v>
      </c>
      <c r="BO87" s="1173">
        <v>0.9</v>
      </c>
      <c r="BP87" s="1173">
        <v>0.11</v>
      </c>
      <c r="BQ87" s="1173">
        <v>0.7</v>
      </c>
      <c r="BR87" s="1173">
        <f t="shared" si="4"/>
        <v>5.4495891854766221E-2</v>
      </c>
      <c r="BS87" s="1173">
        <f t="shared" si="5"/>
        <v>7.5837266708546503E-3</v>
      </c>
    </row>
    <row r="88" spans="44:71" ht="30">
      <c r="AR88" s="1170" t="s">
        <v>116</v>
      </c>
      <c r="AS88" s="1170" t="s">
        <v>690</v>
      </c>
      <c r="AT88" s="1170" t="s">
        <v>641</v>
      </c>
      <c r="AU88" s="1172">
        <v>6700</v>
      </c>
      <c r="AV88" s="1172">
        <v>13700</v>
      </c>
      <c r="AW88" s="1172">
        <v>14000</v>
      </c>
      <c r="AX88" s="1172">
        <v>19600</v>
      </c>
      <c r="AY88" s="1171">
        <v>400</v>
      </c>
      <c r="AZ88" s="1171">
        <v>820</v>
      </c>
      <c r="BA88" s="1171">
        <v>840</v>
      </c>
      <c r="BB88" s="1172">
        <v>1180</v>
      </c>
      <c r="BC88" s="1171">
        <v>150</v>
      </c>
      <c r="BD88" s="1171">
        <v>310</v>
      </c>
      <c r="BE88" s="1171">
        <v>320</v>
      </c>
      <c r="BF88" s="1171">
        <v>450</v>
      </c>
      <c r="BG88" s="1171">
        <v>38</v>
      </c>
      <c r="BH88" s="1171">
        <v>76</v>
      </c>
      <c r="BI88" s="1171">
        <v>78</v>
      </c>
      <c r="BJ88" s="1171">
        <v>109</v>
      </c>
      <c r="BK88" s="1171">
        <v>5</v>
      </c>
      <c r="BL88" s="1171">
        <v>11</v>
      </c>
      <c r="BM88" s="1171">
        <v>11</v>
      </c>
      <c r="BN88" s="1171">
        <v>15</v>
      </c>
      <c r="BO88" s="1173">
        <v>1.08</v>
      </c>
      <c r="BP88" s="1173">
        <v>0.02</v>
      </c>
      <c r="BQ88" s="1173">
        <v>0.4</v>
      </c>
      <c r="BR88" s="1173">
        <f t="shared" si="4"/>
        <v>3.4219694129380196E-2</v>
      </c>
      <c r="BS88" s="1173">
        <f t="shared" si="5"/>
        <v>1.1264562155798889E-3</v>
      </c>
    </row>
    <row r="89" spans="44:71" ht="30">
      <c r="AR89" s="1170" t="s">
        <v>116</v>
      </c>
      <c r="AS89" s="1170" t="s">
        <v>699</v>
      </c>
      <c r="AT89" s="1170" t="s">
        <v>641</v>
      </c>
      <c r="AU89" s="1172">
        <v>137500</v>
      </c>
      <c r="AV89" s="1172">
        <v>205000</v>
      </c>
      <c r="AW89" s="1172">
        <v>217300</v>
      </c>
      <c r="AX89" s="1172">
        <v>304200</v>
      </c>
      <c r="AY89" s="1172">
        <v>4430</v>
      </c>
      <c r="AZ89" s="1172">
        <v>6600</v>
      </c>
      <c r="BA89" s="1172">
        <v>7000</v>
      </c>
      <c r="BB89" s="1172">
        <v>9800</v>
      </c>
      <c r="BC89" s="1172">
        <v>1580</v>
      </c>
      <c r="BD89" s="1172">
        <v>2360</v>
      </c>
      <c r="BE89" s="1172">
        <v>2500</v>
      </c>
      <c r="BF89" s="1172">
        <v>3500</v>
      </c>
      <c r="BG89" s="1171">
        <v>185</v>
      </c>
      <c r="BH89" s="1171">
        <v>275</v>
      </c>
      <c r="BI89" s="1171">
        <v>292</v>
      </c>
      <c r="BJ89" s="1171">
        <v>409</v>
      </c>
      <c r="BK89" s="1171">
        <v>15</v>
      </c>
      <c r="BL89" s="1171">
        <v>22</v>
      </c>
      <c r="BM89" s="1171">
        <v>23</v>
      </c>
      <c r="BN89" s="1171">
        <v>32</v>
      </c>
      <c r="BO89" s="1173">
        <v>0.57999999999999996</v>
      </c>
      <c r="BP89" s="1173">
        <v>0.06</v>
      </c>
      <c r="BQ89" s="1173">
        <v>0.4</v>
      </c>
      <c r="BR89" s="1173">
        <f t="shared" si="4"/>
        <v>3.4219694129380196E-2</v>
      </c>
      <c r="BS89" s="1173">
        <f t="shared" si="5"/>
        <v>1.6777172496650696E-2</v>
      </c>
    </row>
    <row r="90" spans="44:71" ht="30">
      <c r="AR90" s="1170" t="s">
        <v>116</v>
      </c>
      <c r="AS90" s="1170" t="s">
        <v>703</v>
      </c>
      <c r="AT90" s="1170" t="s">
        <v>641</v>
      </c>
      <c r="AU90" s="1172">
        <v>1300</v>
      </c>
      <c r="AV90" s="1172">
        <v>4200</v>
      </c>
      <c r="AW90" s="1172">
        <v>5000</v>
      </c>
      <c r="AX90" s="1172">
        <v>13000</v>
      </c>
      <c r="AY90" s="1171">
        <v>60</v>
      </c>
      <c r="AZ90" s="1171">
        <v>190</v>
      </c>
      <c r="BA90" s="1171">
        <v>230</v>
      </c>
      <c r="BB90" s="1171">
        <v>600</v>
      </c>
      <c r="BC90" s="1171">
        <v>20</v>
      </c>
      <c r="BD90" s="1171">
        <v>70</v>
      </c>
      <c r="BE90" s="1171">
        <v>80</v>
      </c>
      <c r="BF90" s="1171">
        <v>210</v>
      </c>
      <c r="BG90" s="1171">
        <v>3</v>
      </c>
      <c r="BH90" s="1171">
        <v>8</v>
      </c>
      <c r="BI90" s="1171">
        <v>10</v>
      </c>
      <c r="BJ90" s="1171">
        <v>26</v>
      </c>
      <c r="BK90" s="1169"/>
      <c r="BL90" s="1169"/>
      <c r="BM90" s="1169"/>
      <c r="BN90" s="1169"/>
      <c r="BO90" s="1173">
        <v>2.8</v>
      </c>
      <c r="BP90" s="1173">
        <v>0.2</v>
      </c>
      <c r="BQ90" s="1173">
        <v>1.6</v>
      </c>
      <c r="BR90" s="1173">
        <f t="shared" si="4"/>
        <v>0.10026509310601806</v>
      </c>
      <c r="BS90" s="1173">
        <f t="shared" si="5"/>
        <v>3.9299279079841362E-4</v>
      </c>
    </row>
    <row r="91" spans="44:71" ht="30">
      <c r="AR91" s="1170" t="s">
        <v>116</v>
      </c>
      <c r="AS91" s="1170" t="s">
        <v>708</v>
      </c>
      <c r="AT91" s="1170" t="s">
        <v>641</v>
      </c>
      <c r="AU91" s="1172">
        <v>12900</v>
      </c>
      <c r="AV91" s="1172">
        <v>20700</v>
      </c>
      <c r="AW91" s="1172">
        <v>22400</v>
      </c>
      <c r="AX91" s="1172">
        <v>38100</v>
      </c>
      <c r="AY91" s="1171">
        <v>800</v>
      </c>
      <c r="AZ91" s="1172">
        <v>1300</v>
      </c>
      <c r="BA91" s="1172">
        <v>1400</v>
      </c>
      <c r="BB91" s="1172">
        <v>2380</v>
      </c>
      <c r="BC91" s="1171">
        <v>360</v>
      </c>
      <c r="BD91" s="1171">
        <v>570</v>
      </c>
      <c r="BE91" s="1171">
        <v>620</v>
      </c>
      <c r="BF91" s="1172">
        <v>1050</v>
      </c>
      <c r="BG91" s="1171">
        <v>48</v>
      </c>
      <c r="BH91" s="1171">
        <v>77</v>
      </c>
      <c r="BI91" s="1171">
        <v>83</v>
      </c>
      <c r="BJ91" s="1171">
        <v>141</v>
      </c>
      <c r="BK91" s="1171">
        <v>6</v>
      </c>
      <c r="BL91" s="1171">
        <v>9</v>
      </c>
      <c r="BM91" s="1171">
        <v>10</v>
      </c>
      <c r="BN91" s="1171">
        <v>17</v>
      </c>
      <c r="BO91" s="1173">
        <v>0.74</v>
      </c>
      <c r="BP91" s="1173">
        <v>0.08</v>
      </c>
      <c r="BQ91" s="1173">
        <v>0.7</v>
      </c>
      <c r="BR91" s="1173">
        <f t="shared" si="4"/>
        <v>5.4495891854766221E-2</v>
      </c>
      <c r="BS91" s="1173">
        <f t="shared" si="5"/>
        <v>1.8107955415115626E-3</v>
      </c>
    </row>
    <row r="92" spans="44:71" ht="30">
      <c r="AR92" s="1170" t="s">
        <v>116</v>
      </c>
      <c r="AS92" s="1170" t="s">
        <v>716</v>
      </c>
      <c r="AT92" s="1170" t="s">
        <v>641</v>
      </c>
      <c r="AU92" s="1172">
        <v>3400</v>
      </c>
      <c r="AV92" s="1172">
        <v>12100</v>
      </c>
      <c r="AW92" s="1172">
        <v>14300</v>
      </c>
      <c r="AX92" s="1172">
        <v>38600</v>
      </c>
      <c r="AY92" s="1171">
        <v>150</v>
      </c>
      <c r="AZ92" s="1171">
        <v>520</v>
      </c>
      <c r="BA92" s="1171">
        <v>610</v>
      </c>
      <c r="BB92" s="1172">
        <v>1650</v>
      </c>
      <c r="BC92" s="1171">
        <v>50</v>
      </c>
      <c r="BD92" s="1171">
        <v>170</v>
      </c>
      <c r="BE92" s="1171">
        <v>200</v>
      </c>
      <c r="BF92" s="1171">
        <v>540</v>
      </c>
      <c r="BG92" s="1171">
        <v>5</v>
      </c>
      <c r="BH92" s="1171">
        <v>18</v>
      </c>
      <c r="BI92" s="1171">
        <v>21</v>
      </c>
      <c r="BJ92" s="1171">
        <v>57</v>
      </c>
      <c r="BK92" s="1170" t="s">
        <v>633</v>
      </c>
      <c r="BL92" s="1171">
        <v>1</v>
      </c>
      <c r="BM92" s="1171">
        <v>1</v>
      </c>
      <c r="BN92" s="1171">
        <v>3</v>
      </c>
      <c r="BO92" s="1173">
        <v>3.2</v>
      </c>
      <c r="BP92" s="1173">
        <v>0.18</v>
      </c>
      <c r="BQ92" s="1173">
        <v>1.7</v>
      </c>
      <c r="BR92" s="1173">
        <f t="shared" si="4"/>
        <v>0.10442537523679474</v>
      </c>
      <c r="BS92" s="1173">
        <f t="shared" si="5"/>
        <v>1.1178133290153374E-3</v>
      </c>
    </row>
    <row r="93" spans="44:71" ht="30">
      <c r="AR93" s="1170"/>
      <c r="AS93" s="1170" t="s">
        <v>705</v>
      </c>
      <c r="AT93" s="1170" t="s">
        <v>628</v>
      </c>
      <c r="AU93" s="1172">
        <v>259500</v>
      </c>
      <c r="AV93" s="1172">
        <v>346000</v>
      </c>
      <c r="AW93" s="1172">
        <v>363300</v>
      </c>
      <c r="AX93" s="1172">
        <v>436000</v>
      </c>
      <c r="AY93" s="1172">
        <v>13650</v>
      </c>
      <c r="AZ93" s="1172">
        <v>18200</v>
      </c>
      <c r="BA93" s="1172">
        <v>19110</v>
      </c>
      <c r="BB93" s="1172">
        <v>22930</v>
      </c>
      <c r="BC93" s="1172">
        <v>5100</v>
      </c>
      <c r="BD93" s="1172">
        <v>6800</v>
      </c>
      <c r="BE93" s="1172">
        <v>7140</v>
      </c>
      <c r="BF93" s="1172">
        <v>8570</v>
      </c>
      <c r="BG93" s="1171">
        <v>443</v>
      </c>
      <c r="BH93" s="1171">
        <v>590</v>
      </c>
      <c r="BI93" s="1171">
        <v>620</v>
      </c>
      <c r="BJ93" s="1171">
        <v>744</v>
      </c>
      <c r="BK93" s="1171">
        <v>20</v>
      </c>
      <c r="BL93" s="1171">
        <v>27</v>
      </c>
      <c r="BM93" s="1171">
        <v>28</v>
      </c>
      <c r="BN93" s="1171">
        <v>34</v>
      </c>
      <c r="BO93" s="1173">
        <v>0.4</v>
      </c>
      <c r="BP93" s="1173">
        <v>0.05</v>
      </c>
      <c r="BQ93" s="1173">
        <v>0.2</v>
      </c>
      <c r="BR93" s="1173">
        <f t="shared" si="4"/>
        <v>1.8399376147024249E-2</v>
      </c>
      <c r="BS93" s="1173">
        <f t="shared" si="5"/>
        <v>2.8824248305255526E-2</v>
      </c>
    </row>
    <row r="94" spans="44:71">
      <c r="AU94" s="1180">
        <f t="shared" ref="AU94:BN94" si="6">SUM(AU5:AU93)</f>
        <v>9419600</v>
      </c>
      <c r="AV94" s="1180">
        <f t="shared" si="6"/>
        <v>12484300</v>
      </c>
      <c r="AW94" s="1180">
        <f t="shared" si="6"/>
        <v>12837400</v>
      </c>
      <c r="AX94" s="1180">
        <f t="shared" si="6"/>
        <v>17573300</v>
      </c>
      <c r="AY94" s="1180">
        <f t="shared" si="6"/>
        <v>350790</v>
      </c>
      <c r="AZ94" s="1180">
        <f t="shared" si="6"/>
        <v>475980</v>
      </c>
      <c r="BA94" s="1180">
        <f t="shared" si="6"/>
        <v>493030</v>
      </c>
      <c r="BB94" s="1180">
        <f t="shared" si="6"/>
        <v>694590</v>
      </c>
      <c r="BC94" s="1180">
        <f t="shared" si="6"/>
        <v>128670</v>
      </c>
      <c r="BD94" s="1180">
        <f t="shared" si="6"/>
        <v>176170</v>
      </c>
      <c r="BE94" s="1180">
        <f t="shared" si="6"/>
        <v>182340</v>
      </c>
      <c r="BF94" s="1180">
        <f t="shared" si="6"/>
        <v>259260</v>
      </c>
      <c r="BG94" s="1180">
        <f t="shared" si="6"/>
        <v>15808</v>
      </c>
      <c r="BH94" s="1180">
        <f t="shared" si="6"/>
        <v>21723</v>
      </c>
      <c r="BI94" s="1180">
        <f t="shared" si="6"/>
        <v>22473</v>
      </c>
      <c r="BJ94" s="1180">
        <f t="shared" si="6"/>
        <v>32281</v>
      </c>
      <c r="BK94" s="1180">
        <f t="shared" si="6"/>
        <v>1312</v>
      </c>
      <c r="BL94" s="1180">
        <f t="shared" si="6"/>
        <v>1842</v>
      </c>
      <c r="BM94" s="1180">
        <f t="shared" si="6"/>
        <v>1901</v>
      </c>
      <c r="BN94" s="1180">
        <f t="shared" si="6"/>
        <v>2810</v>
      </c>
    </row>
    <row r="95" spans="44:71">
      <c r="AS95" s="163" t="s">
        <v>435</v>
      </c>
      <c r="AT95" s="163" t="s">
        <v>739</v>
      </c>
    </row>
    <row r="96" spans="44:71">
      <c r="AS96" s="869" t="s">
        <v>438</v>
      </c>
      <c r="AT96" s="163">
        <f>SUMPRODUCT(BQ74:BQ92,BS74:BS92)</f>
        <v>0.19612803852865868</v>
      </c>
    </row>
    <row r="97" spans="45:46">
      <c r="AS97" s="869" t="s">
        <v>448</v>
      </c>
      <c r="AT97" s="163">
        <f>SUMPRODUCT(BQ5:BQ73,BS5:BS73)</f>
        <v>0.16925227359626227</v>
      </c>
    </row>
    <row r="98" spans="45:46">
      <c r="AS98" s="869" t="s">
        <v>172</v>
      </c>
      <c r="AT98" s="163">
        <f>(1+20%)^0.1-1</f>
        <v>1.8399376147024249E-2</v>
      </c>
    </row>
    <row r="100" spans="45:46">
      <c r="AS100" s="869" t="s">
        <v>741</v>
      </c>
    </row>
  </sheetData>
  <mergeCells count="6">
    <mergeCell ref="BO3:BQ3"/>
    <mergeCell ref="BC3:BF3"/>
    <mergeCell ref="AY3:BB3"/>
    <mergeCell ref="AU3:AX3"/>
    <mergeCell ref="BG3:BJ3"/>
    <mergeCell ref="BK3:BN3"/>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Model</vt:lpstr>
      <vt:lpstr>Segmental composition</vt:lpstr>
      <vt:lpstr>Assumptions</vt:lpstr>
      <vt:lpstr>Annual</vt:lpstr>
      <vt:lpstr>Multiples</vt:lpstr>
      <vt:lpstr>Beta</vt:lpstr>
      <vt:lpstr>DDM</vt:lpstr>
      <vt:lpstr>RIV model</vt:lpstr>
      <vt:lpstr>ROIC val</vt:lpstr>
      <vt:lpstr>Fair multiples valuation</vt:lpstr>
      <vt:lpstr>Charts and tables</vt:lpstr>
      <vt:lpstr>Reference dates</vt:lpstr>
      <vt:lpstr>Growth Calculations</vt:lpstr>
      <vt:lpstr>GDP data</vt:lpstr>
      <vt:lpstr>GDP per capita</vt:lpstr>
      <vt:lpstr>Wealth growth charts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Kostas</cp:lastModifiedBy>
  <cp:lastPrinted>2017-12-15T18:35:12Z</cp:lastPrinted>
  <dcterms:created xsi:type="dcterms:W3CDTF">2016-08-05T12:16:39Z</dcterms:created>
  <dcterms:modified xsi:type="dcterms:W3CDTF">2018-01-07T19:55:01Z</dcterms:modified>
</cp:coreProperties>
</file>