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3d printer\price\"/>
    </mc:Choice>
  </mc:AlternateContent>
  <xr:revisionPtr revIDLastSave="0" documentId="13_ncr:1_{4165F0B2-2B82-4512-AB91-3563456C25F2}" xr6:coauthVersionLast="46" xr6:coauthVersionMax="46" xr10:uidLastSave="{00000000-0000-0000-0000-000000000000}"/>
  <bookViews>
    <workbookView xWindow="30660" yWindow="1335" windowWidth="27120" windowHeight="13725" xr2:uid="{13CA985A-D27D-F24C-8C0B-817CDB863B57}"/>
  </bookViews>
  <sheets>
    <sheet name="Paid" sheetId="1" r:id="rId1"/>
    <sheet name="Φύλλο1" sheetId="7" r:id="rId2"/>
    <sheet name="Logistics" sheetId="3" r:id="rId3"/>
    <sheet name="Refund" sheetId="6" r:id="rId4"/>
    <sheet name="Whishlist" sheetId="2" r:id="rId5"/>
    <sheet name="skeletos" sheetId="4" r:id="rId6"/>
  </sheets>
  <definedNames>
    <definedName name="comet_hellas">Paid!$W$11</definedName>
    <definedName name="DHL">Paid!$W$10</definedName>
    <definedName name="Elta">Paid!$W$12</definedName>
    <definedName name="Elta_EN">Paid!$W$13</definedName>
    <definedName name="parcel_app">Paid!$W$9</definedName>
    <definedName name="tracmyshipment">Paid!$W$14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3" l="1"/>
  <c r="P17" i="6"/>
  <c r="P18" i="6"/>
  <c r="P19" i="6"/>
  <c r="P9" i="6"/>
  <c r="P10" i="6"/>
  <c r="P11" i="6"/>
  <c r="P12" i="6"/>
  <c r="P13" i="6"/>
  <c r="P14" i="6"/>
  <c r="P15" i="6"/>
  <c r="P16" i="6"/>
  <c r="M14" i="6"/>
  <c r="M15" i="6"/>
  <c r="M16" i="6"/>
  <c r="M17" i="6"/>
  <c r="M18" i="6"/>
  <c r="M19" i="6"/>
  <c r="O19" i="6" s="1"/>
  <c r="M20" i="6"/>
  <c r="O20" i="6" s="1"/>
  <c r="M21" i="6"/>
  <c r="O21" i="6" s="1"/>
  <c r="M22" i="6"/>
  <c r="M9" i="6"/>
  <c r="M10" i="6"/>
  <c r="O10" i="6" s="1"/>
  <c r="M11" i="6"/>
  <c r="M12" i="6"/>
  <c r="M13" i="6"/>
  <c r="L60" i="1"/>
  <c r="L61" i="1"/>
  <c r="H60" i="1" a="1"/>
  <c r="H60" i="1" s="1"/>
  <c r="I60" i="1" s="1"/>
  <c r="H61" i="1" a="1"/>
  <c r="H61" i="1" s="1"/>
  <c r="H58" i="1" a="1"/>
  <c r="H58" i="1" s="1"/>
  <c r="L58" i="1"/>
  <c r="H59" i="1" a="1"/>
  <c r="H59" i="1" s="1"/>
  <c r="L59" i="1"/>
  <c r="H17" i="1" a="1"/>
  <c r="H17" i="1" s="1"/>
  <c r="H23" i="1" a="1"/>
  <c r="H23" i="1" s="1"/>
  <c r="H22" i="1" a="1"/>
  <c r="H22" i="1" s="1"/>
  <c r="H4" i="1" a="1"/>
  <c r="H4" i="1" s="1"/>
  <c r="H5" i="1" a="1"/>
  <c r="H5" i="1"/>
  <c r="H6" i="1" a="1"/>
  <c r="H6" i="1"/>
  <c r="H7" i="1" a="1"/>
  <c r="H7" i="1"/>
  <c r="H8" i="1" a="1"/>
  <c r="H8" i="1" s="1"/>
  <c r="I8" i="1" s="1"/>
  <c r="H9" i="1" a="1"/>
  <c r="H9" i="1"/>
  <c r="I9" i="1" s="1"/>
  <c r="H10" i="1" a="1"/>
  <c r="H10" i="1"/>
  <c r="I10" i="1" s="1"/>
  <c r="H11" i="1" a="1"/>
  <c r="H11" i="1"/>
  <c r="I11" i="1" s="1"/>
  <c r="H12" i="1" a="1"/>
  <c r="H12" i="1" s="1"/>
  <c r="I12" i="1" s="1"/>
  <c r="H13" i="1" a="1"/>
  <c r="H13" i="1"/>
  <c r="H14" i="1" a="1"/>
  <c r="H14" i="1"/>
  <c r="H15" i="1" a="1"/>
  <c r="H15" i="1"/>
  <c r="O15" i="1" s="1"/>
  <c r="H16" i="1" a="1"/>
  <c r="H16" i="1" s="1"/>
  <c r="I16" i="1" s="1"/>
  <c r="H18" i="1" a="1"/>
  <c r="H18" i="1" s="1"/>
  <c r="I18" i="1" s="1"/>
  <c r="H19" i="1" a="1"/>
  <c r="H19" i="1" s="1"/>
  <c r="I19" i="1" s="1"/>
  <c r="H20" i="1" a="1"/>
  <c r="H20" i="1" s="1"/>
  <c r="I20" i="1" s="1"/>
  <c r="H21" i="1" a="1"/>
  <c r="H21" i="1"/>
  <c r="I21" i="1" s="1"/>
  <c r="H24" i="1" a="1"/>
  <c r="H24" i="1" s="1"/>
  <c r="H25" i="1" a="1"/>
  <c r="H25" i="1" s="1"/>
  <c r="H26" i="1" a="1"/>
  <c r="H26" i="1" s="1"/>
  <c r="H27" i="1" a="1"/>
  <c r="H27" i="1"/>
  <c r="I27" i="1" s="1"/>
  <c r="H28" i="1" a="1"/>
  <c r="H28" i="1" s="1"/>
  <c r="I28" i="1" s="1"/>
  <c r="H29" i="1" a="1"/>
  <c r="H29" i="1" s="1"/>
  <c r="I29" i="1" s="1"/>
  <c r="H30" i="1" a="1"/>
  <c r="H30" i="1"/>
  <c r="I30" i="1" s="1"/>
  <c r="H31" i="1" a="1"/>
  <c r="H31" i="1"/>
  <c r="I31" i="1" s="1"/>
  <c r="H32" i="1" a="1"/>
  <c r="H32" i="1" s="1"/>
  <c r="I32" i="1" s="1"/>
  <c r="H33" i="1" a="1"/>
  <c r="H33" i="1"/>
  <c r="H34" i="1" a="1"/>
  <c r="H34" i="1"/>
  <c r="H35" i="1" a="1"/>
  <c r="H35" i="1"/>
  <c r="H36" i="1" a="1"/>
  <c r="H36" i="1" s="1"/>
  <c r="I36" i="1" s="1"/>
  <c r="H37" i="1" a="1"/>
  <c r="H37" i="1"/>
  <c r="I37" i="1" s="1"/>
  <c r="H38" i="1" a="1"/>
  <c r="H38" i="1"/>
  <c r="I38" i="1" s="1"/>
  <c r="H39" i="1" a="1"/>
  <c r="H39" i="1"/>
  <c r="I39" i="1" s="1"/>
  <c r="H40" i="1" a="1"/>
  <c r="H40" i="1" s="1"/>
  <c r="I40" i="1" s="1"/>
  <c r="H41" i="1" a="1"/>
  <c r="H41" i="1"/>
  <c r="H42" i="1" a="1"/>
  <c r="H42" i="1"/>
  <c r="H43" i="1" a="1"/>
  <c r="H43" i="1"/>
  <c r="H44" i="1" a="1"/>
  <c r="H44" i="1" s="1"/>
  <c r="I44" i="1" s="1"/>
  <c r="H45" i="1" a="1"/>
  <c r="H45" i="1"/>
  <c r="I45" i="1" s="1"/>
  <c r="H46" i="1" a="1"/>
  <c r="H46" i="1"/>
  <c r="I46" i="1" s="1"/>
  <c r="H47" i="1" a="1"/>
  <c r="H47" i="1"/>
  <c r="I47" i="1" s="1"/>
  <c r="H48" i="1" a="1"/>
  <c r="H48" i="1" s="1"/>
  <c r="I48" i="1" s="1"/>
  <c r="H49" i="1" a="1"/>
  <c r="H49" i="1"/>
  <c r="H50" i="1" a="1"/>
  <c r="H50" i="1"/>
  <c r="H51" i="1" a="1"/>
  <c r="H51" i="1"/>
  <c r="H52" i="1" a="1"/>
  <c r="H52" i="1" s="1"/>
  <c r="I52" i="1" s="1"/>
  <c r="H53" i="1" a="1"/>
  <c r="H53" i="1"/>
  <c r="O53" i="1" s="1"/>
  <c r="H54" i="1" a="1"/>
  <c r="H54" i="1"/>
  <c r="I54" i="1" s="1"/>
  <c r="H55" i="1" a="1"/>
  <c r="H55" i="1"/>
  <c r="I55" i="1" s="1"/>
  <c r="H56" i="1" a="1"/>
  <c r="H56" i="1" s="1"/>
  <c r="H57" i="1" a="1"/>
  <c r="H57" i="1"/>
  <c r="I57" i="1" s="1"/>
  <c r="H3" i="1" a="1"/>
  <c r="H3" i="1" s="1"/>
  <c r="I5" i="1"/>
  <c r="I6" i="1"/>
  <c r="I7" i="1"/>
  <c r="I13" i="1"/>
  <c r="I14" i="1"/>
  <c r="I15" i="1"/>
  <c r="I33" i="1"/>
  <c r="I34" i="1"/>
  <c r="I41" i="1"/>
  <c r="I42" i="1"/>
  <c r="I43" i="1"/>
  <c r="I49" i="1"/>
  <c r="I50" i="1"/>
  <c r="I51" i="1"/>
  <c r="T10" i="1"/>
  <c r="K54" i="1"/>
  <c r="L54" i="1"/>
  <c r="L55" i="1"/>
  <c r="L56" i="1" s="1"/>
  <c r="L57" i="1" s="1"/>
  <c r="O39" i="1"/>
  <c r="M62" i="1" a="1"/>
  <c r="M62" i="1" s="1"/>
  <c r="O66" i="1"/>
  <c r="M70" i="1" a="1"/>
  <c r="M70" i="1" s="1"/>
  <c r="O74" i="1"/>
  <c r="L52" i="1"/>
  <c r="L53" i="1" s="1"/>
  <c r="U73" i="3"/>
  <c r="U74" i="3"/>
  <c r="U75" i="3"/>
  <c r="U76" i="3"/>
  <c r="U77" i="3"/>
  <c r="U78" i="3"/>
  <c r="U79" i="3"/>
  <c r="U80" i="3"/>
  <c r="U81" i="3"/>
  <c r="U47" i="3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 s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 s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6" i="1" a="1"/>
  <c r="M206" i="1" s="1"/>
  <c r="M207" i="1" a="1"/>
  <c r="M207" i="1" s="1"/>
  <c r="M208" i="1" a="1"/>
  <c r="M208" i="1" s="1"/>
  <c r="M209" i="1" a="1"/>
  <c r="M209" i="1" s="1"/>
  <c r="M210" i="1" a="1"/>
  <c r="M210" i="1" s="1"/>
  <c r="M211" i="1" a="1"/>
  <c r="M211" i="1" s="1"/>
  <c r="M212" i="1" a="1"/>
  <c r="M212" i="1" s="1"/>
  <c r="M213" i="1" a="1"/>
  <c r="M213" i="1" s="1"/>
  <c r="M214" i="1" a="1"/>
  <c r="M214" i="1" s="1"/>
  <c r="M215" i="1" a="1"/>
  <c r="M215" i="1" s="1"/>
  <c r="M216" i="1" a="1"/>
  <c r="M216" i="1" s="1"/>
  <c r="M217" i="1" a="1"/>
  <c r="M217" i="1" s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51" i="1"/>
  <c r="L50" i="1"/>
  <c r="L49" i="1"/>
  <c r="T5" i="3"/>
  <c r="T21" i="3"/>
  <c r="T27" i="3"/>
  <c r="T43" i="3"/>
  <c r="S4" i="3"/>
  <c r="S20" i="3"/>
  <c r="S22" i="3"/>
  <c r="S46" i="3"/>
  <c r="R44" i="3"/>
  <c r="Q4" i="3"/>
  <c r="Q5" i="3"/>
  <c r="Q14" i="3"/>
  <c r="Q20" i="3"/>
  <c r="Q21" i="3"/>
  <c r="Q30" i="3"/>
  <c r="Q36" i="3"/>
  <c r="Q37" i="3"/>
  <c r="O6" i="3"/>
  <c r="M47" i="3"/>
  <c r="T47" i="3" s="1"/>
  <c r="M3" i="3"/>
  <c r="U3" i="3" s="1"/>
  <c r="M4" i="3"/>
  <c r="R4" i="3" s="1"/>
  <c r="M5" i="3"/>
  <c r="R5" i="3" s="1"/>
  <c r="M6" i="3"/>
  <c r="T6" i="3" s="1"/>
  <c r="M7" i="3"/>
  <c r="O7" i="3" s="1"/>
  <c r="M8" i="3"/>
  <c r="Q8" i="3" s="1"/>
  <c r="M9" i="3"/>
  <c r="S9" i="3" s="1"/>
  <c r="M10" i="3"/>
  <c r="S10" i="3" s="1"/>
  <c r="M11" i="3"/>
  <c r="U11" i="3" s="1"/>
  <c r="M12" i="3"/>
  <c r="R12" i="3" s="1"/>
  <c r="M13" i="3"/>
  <c r="R13" i="3" s="1"/>
  <c r="M14" i="3"/>
  <c r="T14" i="3" s="1"/>
  <c r="M15" i="3"/>
  <c r="Z15" i="3" s="1"/>
  <c r="M16" i="3"/>
  <c r="W16" i="3" s="1"/>
  <c r="M17" i="3"/>
  <c r="S17" i="3" s="1"/>
  <c r="M18" i="3"/>
  <c r="S18" i="3" s="1"/>
  <c r="M19" i="3"/>
  <c r="U19" i="3" s="1"/>
  <c r="M20" i="3"/>
  <c r="R20" i="3" s="1"/>
  <c r="M21" i="3"/>
  <c r="R21" i="3" s="1"/>
  <c r="M22" i="3"/>
  <c r="T22" i="3" s="1"/>
  <c r="M23" i="3"/>
  <c r="T23" i="3" s="1"/>
  <c r="M24" i="3"/>
  <c r="AB24" i="3" s="1"/>
  <c r="M25" i="3"/>
  <c r="S25" i="3" s="1"/>
  <c r="M26" i="3"/>
  <c r="S26" i="3" s="1"/>
  <c r="M27" i="3"/>
  <c r="U27" i="3" s="1"/>
  <c r="M28" i="3"/>
  <c r="AA28" i="3" s="1"/>
  <c r="M29" i="3"/>
  <c r="R29" i="3" s="1"/>
  <c r="M30" i="3"/>
  <c r="T30" i="3" s="1"/>
  <c r="M31" i="3"/>
  <c r="T31" i="3" s="1"/>
  <c r="M32" i="3"/>
  <c r="R32" i="3" s="1"/>
  <c r="M33" i="3"/>
  <c r="R33" i="3" s="1"/>
  <c r="M34" i="3"/>
  <c r="S34" i="3" s="1"/>
  <c r="M35" i="3"/>
  <c r="U35" i="3" s="1"/>
  <c r="M36" i="3"/>
  <c r="U36" i="3" s="1"/>
  <c r="M37" i="3"/>
  <c r="U37" i="3" s="1"/>
  <c r="M38" i="3"/>
  <c r="T38" i="3" s="1"/>
  <c r="M39" i="3"/>
  <c r="T39" i="3" s="1"/>
  <c r="M40" i="3"/>
  <c r="R40" i="3" s="1"/>
  <c r="M41" i="3"/>
  <c r="R41" i="3" s="1"/>
  <c r="M42" i="3"/>
  <c r="S42" i="3" s="1"/>
  <c r="M43" i="3"/>
  <c r="U43" i="3" s="1"/>
  <c r="M44" i="3"/>
  <c r="U44" i="3" s="1"/>
  <c r="M45" i="3"/>
  <c r="U45" i="3" s="1"/>
  <c r="M46" i="3"/>
  <c r="T46" i="3" s="1"/>
  <c r="M2" i="3"/>
  <c r="T2" i="3" s="1"/>
  <c r="L4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C44" i="1"/>
  <c r="C45" i="1"/>
  <c r="C39" i="1"/>
  <c r="C43" i="1"/>
  <c r="C42" i="1"/>
  <c r="C41" i="1"/>
  <c r="J5" i="6"/>
  <c r="P3" i="6"/>
  <c r="P4" i="6"/>
  <c r="P5" i="6"/>
  <c r="P6" i="6"/>
  <c r="P2" i="6"/>
  <c r="M7" i="6"/>
  <c r="P7" i="6" s="1"/>
  <c r="O4" i="6"/>
  <c r="O5" i="6"/>
  <c r="O6" i="6"/>
  <c r="N3" i="6"/>
  <c r="N4" i="6"/>
  <c r="N5" i="6"/>
  <c r="N6" i="6"/>
  <c r="M4" i="6"/>
  <c r="M5" i="6"/>
  <c r="M6" i="6"/>
  <c r="M8" i="6"/>
  <c r="P8" i="6" s="1"/>
  <c r="Y5" i="3"/>
  <c r="AB5" i="3"/>
  <c r="Y13" i="3"/>
  <c r="AB13" i="3"/>
  <c r="Y18" i="3"/>
  <c r="Z19" i="3"/>
  <c r="Z29" i="3"/>
  <c r="AB29" i="3"/>
  <c r="V65" i="3"/>
  <c r="C34" i="3"/>
  <c r="T20" i="1"/>
  <c r="K7" i="1"/>
  <c r="T6" i="1"/>
  <c r="O9" i="6"/>
  <c r="O11" i="6"/>
  <c r="O12" i="6"/>
  <c r="O13" i="6"/>
  <c r="O14" i="6"/>
  <c r="O15" i="6"/>
  <c r="O16" i="6"/>
  <c r="O17" i="6"/>
  <c r="O18" i="6"/>
  <c r="O22" i="6"/>
  <c r="O23" i="6"/>
  <c r="O24" i="6"/>
  <c r="O25" i="6"/>
  <c r="N17" i="6"/>
  <c r="N18" i="6"/>
  <c r="N19" i="6"/>
  <c r="N20" i="6"/>
  <c r="N21" i="6"/>
  <c r="N22" i="6"/>
  <c r="N9" i="6"/>
  <c r="N10" i="6"/>
  <c r="N11" i="6"/>
  <c r="N12" i="6"/>
  <c r="N13" i="6"/>
  <c r="N14" i="6"/>
  <c r="N15" i="6"/>
  <c r="N16" i="6"/>
  <c r="L5" i="1"/>
  <c r="AA44" i="3"/>
  <c r="AB45" i="3"/>
  <c r="V46" i="3"/>
  <c r="M48" i="3"/>
  <c r="T48" i="3" s="1"/>
  <c r="M49" i="3"/>
  <c r="W49" i="3" s="1"/>
  <c r="M50" i="3"/>
  <c r="X50" i="3" s="1"/>
  <c r="M51" i="3"/>
  <c r="U51" i="3" s="1"/>
  <c r="M52" i="3"/>
  <c r="Z52" i="3" s="1"/>
  <c r="M53" i="3"/>
  <c r="AA53" i="3" s="1"/>
  <c r="M54" i="3"/>
  <c r="T54" i="3" s="1"/>
  <c r="M55" i="3"/>
  <c r="S55" i="3" s="1"/>
  <c r="M56" i="3"/>
  <c r="R56" i="3" s="1"/>
  <c r="M57" i="3"/>
  <c r="W57" i="3" s="1"/>
  <c r="M58" i="3"/>
  <c r="R58" i="3" s="1"/>
  <c r="M59" i="3"/>
  <c r="R59" i="3" s="1"/>
  <c r="M60" i="3"/>
  <c r="W60" i="3" s="1"/>
  <c r="M61" i="3"/>
  <c r="W61" i="3" s="1"/>
  <c r="M62" i="3"/>
  <c r="W62" i="3" s="1"/>
  <c r="M63" i="3"/>
  <c r="S63" i="3" s="1"/>
  <c r="M64" i="3"/>
  <c r="W64" i="3" s="1"/>
  <c r="M65" i="3"/>
  <c r="W65" i="3" s="1"/>
  <c r="M66" i="3"/>
  <c r="S66" i="3" s="1"/>
  <c r="M67" i="3"/>
  <c r="S67" i="3" s="1"/>
  <c r="M68" i="3"/>
  <c r="U68" i="3" s="1"/>
  <c r="M69" i="3"/>
  <c r="S69" i="3" s="1"/>
  <c r="M70" i="3"/>
  <c r="R70" i="3" s="1"/>
  <c r="M71" i="3"/>
  <c r="S71" i="3" s="1"/>
  <c r="M72" i="3"/>
  <c r="R72" i="3" s="1"/>
  <c r="V29" i="3"/>
  <c r="AB28" i="3"/>
  <c r="C26" i="3"/>
  <c r="T17" i="1"/>
  <c r="T15" i="1"/>
  <c r="G24" i="2"/>
  <c r="G25" i="2"/>
  <c r="G26" i="2"/>
  <c r="AB20" i="3"/>
  <c r="V21" i="3"/>
  <c r="M3" i="6"/>
  <c r="O3" i="6" s="1"/>
  <c r="J4" i="6"/>
  <c r="M2" i="6"/>
  <c r="O2" i="6" s="1"/>
  <c r="N79" i="3"/>
  <c r="N80" i="3"/>
  <c r="N81" i="3"/>
  <c r="N82" i="3"/>
  <c r="N83" i="3"/>
  <c r="N84" i="3"/>
  <c r="N85" i="3"/>
  <c r="N86" i="3"/>
  <c r="P79" i="3"/>
  <c r="Q79" i="3"/>
  <c r="P80" i="3"/>
  <c r="Q80" i="3"/>
  <c r="Q81" i="3"/>
  <c r="Q82" i="3"/>
  <c r="P83" i="3"/>
  <c r="Q83" i="3"/>
  <c r="P84" i="3"/>
  <c r="Q84" i="3"/>
  <c r="Q85" i="3"/>
  <c r="E5" i="4"/>
  <c r="E6" i="4"/>
  <c r="E7" i="4"/>
  <c r="E1" i="4"/>
  <c r="G4" i="4" s="1"/>
  <c r="C13" i="3"/>
  <c r="C14" i="3" a="1"/>
  <c r="C14" i="3" s="1"/>
  <c r="C12" i="3" s="1"/>
  <c r="M13" i="1" a="1"/>
  <c r="M9" i="1" a="1"/>
  <c r="M21" i="1" a="1"/>
  <c r="M26" i="1" a="1"/>
  <c r="M40" i="1" a="1"/>
  <c r="M34" i="1" a="1"/>
  <c r="M38" i="1" a="1"/>
  <c r="M12" i="1" a="1"/>
  <c r="M42" i="1" a="1"/>
  <c r="M33" i="1" a="1"/>
  <c r="M37" i="1" a="1"/>
  <c r="M30" i="1" a="1"/>
  <c r="M11" i="1" a="1"/>
  <c r="M28" i="1" a="1"/>
  <c r="M49" i="1" a="1"/>
  <c r="M29" i="1" a="1"/>
  <c r="M27" i="1" a="1"/>
  <c r="M36" i="1" a="1"/>
  <c r="M43" i="1" a="1"/>
  <c r="M15" i="1" a="1"/>
  <c r="O26" i="1" l="1"/>
  <c r="I26" i="1"/>
  <c r="I25" i="1"/>
  <c r="O8" i="6"/>
  <c r="N8" i="6"/>
  <c r="K5" i="6"/>
  <c r="I61" i="1"/>
  <c r="O60" i="1"/>
  <c r="O61" i="1"/>
  <c r="I59" i="1"/>
  <c r="O59" i="1"/>
  <c r="I58" i="1"/>
  <c r="O58" i="1"/>
  <c r="U31" i="3"/>
  <c r="O5" i="3"/>
  <c r="Q29" i="3"/>
  <c r="Q13" i="3"/>
  <c r="R39" i="3"/>
  <c r="S38" i="3"/>
  <c r="S14" i="3"/>
  <c r="T42" i="3"/>
  <c r="T19" i="3"/>
  <c r="U46" i="3"/>
  <c r="U30" i="3"/>
  <c r="U14" i="3"/>
  <c r="O4" i="3"/>
  <c r="Q28" i="3"/>
  <c r="Q12" i="3"/>
  <c r="R37" i="3"/>
  <c r="S37" i="3"/>
  <c r="S13" i="3"/>
  <c r="T37" i="3"/>
  <c r="T18" i="3"/>
  <c r="U42" i="3"/>
  <c r="U26" i="3"/>
  <c r="U8" i="3"/>
  <c r="U15" i="3"/>
  <c r="Q39" i="3"/>
  <c r="Q23" i="3"/>
  <c r="Q7" i="3"/>
  <c r="R36" i="3"/>
  <c r="S30" i="3"/>
  <c r="S12" i="3"/>
  <c r="T35" i="3"/>
  <c r="T13" i="3"/>
  <c r="U2" i="3"/>
  <c r="U40" i="3"/>
  <c r="U24" i="3"/>
  <c r="S68" i="3"/>
  <c r="Q38" i="3"/>
  <c r="Q22" i="3"/>
  <c r="Q6" i="3"/>
  <c r="R31" i="3"/>
  <c r="S29" i="3"/>
  <c r="S6" i="3"/>
  <c r="T34" i="3"/>
  <c r="T11" i="3"/>
  <c r="U66" i="3"/>
  <c r="U39" i="3"/>
  <c r="U23" i="3"/>
  <c r="S39" i="3"/>
  <c r="S2" i="3"/>
  <c r="S28" i="3"/>
  <c r="S5" i="3"/>
  <c r="T29" i="3"/>
  <c r="T10" i="3"/>
  <c r="U64" i="3"/>
  <c r="U38" i="3"/>
  <c r="U22" i="3"/>
  <c r="O2" i="3"/>
  <c r="U50" i="3"/>
  <c r="U34" i="3"/>
  <c r="U18" i="3"/>
  <c r="AB39" i="3"/>
  <c r="O10" i="3"/>
  <c r="Q31" i="3"/>
  <c r="Q15" i="3"/>
  <c r="G5" i="3" s="1"/>
  <c r="R45" i="3"/>
  <c r="S45" i="3"/>
  <c r="S21" i="3"/>
  <c r="T45" i="3"/>
  <c r="T26" i="3"/>
  <c r="T3" i="3"/>
  <c r="U48" i="3"/>
  <c r="U32" i="3"/>
  <c r="U16" i="3"/>
  <c r="U10" i="3"/>
  <c r="R17" i="3"/>
  <c r="R9" i="3"/>
  <c r="R27" i="3"/>
  <c r="R19" i="3"/>
  <c r="R11" i="3"/>
  <c r="R3" i="3"/>
  <c r="S41" i="3"/>
  <c r="S33" i="3"/>
  <c r="S24" i="3"/>
  <c r="S16" i="3"/>
  <c r="S8" i="3"/>
  <c r="R26" i="3"/>
  <c r="R18" i="3"/>
  <c r="R10" i="3"/>
  <c r="R46" i="3"/>
  <c r="R38" i="3"/>
  <c r="R30" i="3"/>
  <c r="S40" i="3"/>
  <c r="S32" i="3"/>
  <c r="S23" i="3"/>
  <c r="S15" i="3"/>
  <c r="S7" i="3"/>
  <c r="T44" i="3"/>
  <c r="T36" i="3"/>
  <c r="T28" i="3"/>
  <c r="T20" i="3"/>
  <c r="T12" i="3"/>
  <c r="T4" i="3"/>
  <c r="U65" i="3"/>
  <c r="U49" i="3"/>
  <c r="U41" i="3"/>
  <c r="U33" i="3"/>
  <c r="U25" i="3"/>
  <c r="U17" i="3"/>
  <c r="U9" i="3"/>
  <c r="U72" i="3"/>
  <c r="S31" i="3"/>
  <c r="T50" i="3"/>
  <c r="U7" i="3"/>
  <c r="U6" i="3"/>
  <c r="R25" i="3"/>
  <c r="O11" i="3"/>
  <c r="R16" i="3"/>
  <c r="P2" i="3"/>
  <c r="Q35" i="3"/>
  <c r="Q27" i="3"/>
  <c r="Q19" i="3"/>
  <c r="Q11" i="3"/>
  <c r="Q3" i="3"/>
  <c r="R23" i="3"/>
  <c r="R15" i="3"/>
  <c r="R7" i="3"/>
  <c r="R43" i="3"/>
  <c r="R35" i="3"/>
  <c r="T41" i="3"/>
  <c r="T33" i="3"/>
  <c r="T25" i="3"/>
  <c r="T17" i="3"/>
  <c r="T9" i="3"/>
  <c r="N2" i="3"/>
  <c r="AA60" i="3"/>
  <c r="AB16" i="3"/>
  <c r="O9" i="3"/>
  <c r="Q2" i="3"/>
  <c r="Q34" i="3"/>
  <c r="Q26" i="3"/>
  <c r="Q18" i="3"/>
  <c r="Q10" i="3"/>
  <c r="R2" i="3"/>
  <c r="R22" i="3"/>
  <c r="R14" i="3"/>
  <c r="R6" i="3"/>
  <c r="R42" i="3"/>
  <c r="R34" i="3"/>
  <c r="S44" i="3"/>
  <c r="S36" i="3"/>
  <c r="S27" i="3"/>
  <c r="S19" i="3"/>
  <c r="S11" i="3"/>
  <c r="S3" i="3"/>
  <c r="T40" i="3"/>
  <c r="T32" i="3"/>
  <c r="T24" i="3"/>
  <c r="T16" i="3"/>
  <c r="T8" i="3"/>
  <c r="U69" i="3"/>
  <c r="U61" i="3"/>
  <c r="U29" i="3"/>
  <c r="U21" i="3"/>
  <c r="U13" i="3"/>
  <c r="U5" i="3"/>
  <c r="V60" i="3"/>
  <c r="Y15" i="3"/>
  <c r="O8" i="3"/>
  <c r="Q41" i="3"/>
  <c r="Q33" i="3"/>
  <c r="Q25" i="3"/>
  <c r="Q17" i="3"/>
  <c r="Q9" i="3"/>
  <c r="S43" i="3"/>
  <c r="S35" i="3"/>
  <c r="T15" i="3"/>
  <c r="T7" i="3"/>
  <c r="U60" i="3"/>
  <c r="U28" i="3"/>
  <c r="U20" i="3"/>
  <c r="U12" i="3"/>
  <c r="U4" i="3"/>
  <c r="X43" i="3"/>
  <c r="X19" i="3"/>
  <c r="O3" i="3"/>
  <c r="R24" i="3"/>
  <c r="R8" i="3"/>
  <c r="U71" i="3"/>
  <c r="U63" i="3"/>
  <c r="AA19" i="3"/>
  <c r="U70" i="3"/>
  <c r="U62" i="3"/>
  <c r="V59" i="3"/>
  <c r="Q40" i="3"/>
  <c r="Q32" i="3"/>
  <c r="Q24" i="3"/>
  <c r="Q16" i="3"/>
  <c r="R28" i="3"/>
  <c r="U67" i="3"/>
  <c r="U59" i="3"/>
  <c r="U58" i="3"/>
  <c r="V57" i="3"/>
  <c r="U57" i="3"/>
  <c r="I56" i="1"/>
  <c r="I24" i="1"/>
  <c r="M10" i="1" a="1"/>
  <c r="M10" i="1" s="1"/>
  <c r="O54" i="1"/>
  <c r="I53" i="1"/>
  <c r="C17" i="3"/>
  <c r="C18" i="3"/>
  <c r="M27" i="1"/>
  <c r="U55" i="3"/>
  <c r="U54" i="3"/>
  <c r="Z56" i="3"/>
  <c r="T55" i="3"/>
  <c r="AA56" i="3"/>
  <c r="U56" i="3"/>
  <c r="U53" i="3"/>
  <c r="T53" i="3"/>
  <c r="O44" i="1"/>
  <c r="O51" i="1"/>
  <c r="O76" i="1"/>
  <c r="M76" i="1" a="1"/>
  <c r="M76" i="1" s="1"/>
  <c r="M63" i="1" a="1"/>
  <c r="M63" i="1" s="1"/>
  <c r="O63" i="1"/>
  <c r="M64" i="1" a="1"/>
  <c r="M64" i="1" s="1"/>
  <c r="O64" i="1"/>
  <c r="O75" i="1"/>
  <c r="M75" i="1" a="1"/>
  <c r="M75" i="1" s="1"/>
  <c r="M69" i="1" a="1"/>
  <c r="M69" i="1" s="1"/>
  <c r="O69" i="1"/>
  <c r="O68" i="1"/>
  <c r="M68" i="1" a="1"/>
  <c r="M68" i="1" s="1"/>
  <c r="O49" i="1"/>
  <c r="O43" i="1"/>
  <c r="O67" i="1"/>
  <c r="M67" i="1" a="1"/>
  <c r="M67" i="1" s="1"/>
  <c r="O73" i="1"/>
  <c r="M73" i="1" a="1"/>
  <c r="M73" i="1" s="1"/>
  <c r="O47" i="1"/>
  <c r="M72" i="1" a="1"/>
  <c r="M72" i="1" s="1"/>
  <c r="O72" i="1"/>
  <c r="O41" i="1"/>
  <c r="M71" i="1" a="1"/>
  <c r="M71" i="1" s="1"/>
  <c r="O71" i="1"/>
  <c r="O65" i="1"/>
  <c r="M65" i="1" a="1"/>
  <c r="M65" i="1" s="1"/>
  <c r="O52" i="1"/>
  <c r="O70" i="1"/>
  <c r="O62" i="1"/>
  <c r="M74" i="1" a="1"/>
  <c r="M74" i="1" s="1"/>
  <c r="M66" i="1" a="1"/>
  <c r="M66" i="1" s="1"/>
  <c r="O42" i="1"/>
  <c r="M20" i="1" a="1"/>
  <c r="M20" i="1" s="1"/>
  <c r="M32" i="1" a="1"/>
  <c r="M32" i="1" s="1"/>
  <c r="O19" i="1"/>
  <c r="M19" i="1" a="1"/>
  <c r="M19" i="1" s="1"/>
  <c r="M31" i="1" a="1"/>
  <c r="M31" i="1" s="1"/>
  <c r="M18" i="1" a="1"/>
  <c r="M18" i="1" s="1"/>
  <c r="O18" i="1"/>
  <c r="M16" i="1" a="1"/>
  <c r="M16" i="1" s="1"/>
  <c r="M8" i="1" a="1"/>
  <c r="M8" i="1" s="1"/>
  <c r="M7" i="1" a="1"/>
  <c r="M7" i="1" s="1"/>
  <c r="M5" i="1" a="1"/>
  <c r="M5" i="1" s="1"/>
  <c r="O5" i="1"/>
  <c r="M6" i="1" a="1"/>
  <c r="M6" i="1" s="1"/>
  <c r="O14" i="1"/>
  <c r="M14" i="1" a="1"/>
  <c r="M14" i="1" s="1"/>
  <c r="U52" i="3"/>
  <c r="T52" i="3"/>
  <c r="T51" i="3"/>
  <c r="O31" i="1"/>
  <c r="M21" i="1"/>
  <c r="H4" i="4"/>
  <c r="O50" i="1"/>
  <c r="T49" i="3"/>
  <c r="AA49" i="3"/>
  <c r="V49" i="3"/>
  <c r="M42" i="1"/>
  <c r="M49" i="1"/>
  <c r="Z48" i="3"/>
  <c r="AA15" i="3"/>
  <c r="W18" i="3"/>
  <c r="V9" i="3"/>
  <c r="X54" i="3"/>
  <c r="AA30" i="3"/>
  <c r="X25" i="3"/>
  <c r="Y21" i="3"/>
  <c r="V17" i="3"/>
  <c r="AA14" i="3"/>
  <c r="Z11" i="3"/>
  <c r="AA6" i="3"/>
  <c r="O40" i="1"/>
  <c r="AA63" i="3"/>
  <c r="W54" i="3"/>
  <c r="V25" i="3"/>
  <c r="Z14" i="3"/>
  <c r="X11" i="3"/>
  <c r="Z6" i="3"/>
  <c r="X3" i="3"/>
  <c r="O36" i="1"/>
  <c r="V63" i="3"/>
  <c r="V54" i="3"/>
  <c r="W11" i="3"/>
  <c r="W3" i="3"/>
  <c r="AA65" i="3"/>
  <c r="Y52" i="3"/>
  <c r="AA48" i="3"/>
  <c r="Y29" i="3"/>
  <c r="W24" i="3"/>
  <c r="W19" i="3"/>
  <c r="AB15" i="3"/>
  <c r="Z13" i="3"/>
  <c r="X9" i="3"/>
  <c r="Z5" i="3"/>
  <c r="O33" i="1"/>
  <c r="S62" i="3"/>
  <c r="O37" i="1"/>
  <c r="M39" i="1" a="1"/>
  <c r="M39" i="1" s="1"/>
  <c r="AA62" i="3"/>
  <c r="Z55" i="3"/>
  <c r="W52" i="3"/>
  <c r="AB23" i="3"/>
  <c r="S60" i="3"/>
  <c r="Z62" i="3"/>
  <c r="V58" i="3"/>
  <c r="Y55" i="3"/>
  <c r="V52" i="3"/>
  <c r="Y26" i="3"/>
  <c r="V23" i="3"/>
  <c r="AA12" i="3"/>
  <c r="W8" i="3"/>
  <c r="AA4" i="3"/>
  <c r="AA64" i="3"/>
  <c r="Y62" i="3"/>
  <c r="AA54" i="3"/>
  <c r="X51" i="3"/>
  <c r="Z47" i="3"/>
  <c r="W26" i="3"/>
  <c r="AB21" i="3"/>
  <c r="V18" i="3"/>
  <c r="Y12" i="3"/>
  <c r="AB7" i="3"/>
  <c r="Y4" i="3"/>
  <c r="O38" i="1"/>
  <c r="V64" i="3"/>
  <c r="V62" i="3"/>
  <c r="AA57" i="3"/>
  <c r="Y54" i="3"/>
  <c r="W50" i="3"/>
  <c r="Y47" i="3"/>
  <c r="V26" i="3"/>
  <c r="Z21" i="3"/>
  <c r="X17" i="3"/>
  <c r="V15" i="3"/>
  <c r="X12" i="3"/>
  <c r="V7" i="3"/>
  <c r="X4" i="3"/>
  <c r="O34" i="1"/>
  <c r="O48" i="1"/>
  <c r="AB46" i="3"/>
  <c r="Z46" i="3"/>
  <c r="W46" i="3"/>
  <c r="Y46" i="3"/>
  <c r="X46" i="3"/>
  <c r="O46" i="1"/>
  <c r="Z44" i="3"/>
  <c r="X44" i="3"/>
  <c r="W44" i="3"/>
  <c r="M43" i="1"/>
  <c r="M40" i="1"/>
  <c r="M38" i="1"/>
  <c r="M37" i="1"/>
  <c r="M36" i="1"/>
  <c r="C27" i="3"/>
  <c r="C31" i="3" s="1"/>
  <c r="O7" i="6"/>
  <c r="K4" i="6" s="1"/>
  <c r="H8" i="3" s="1"/>
  <c r="N7" i="6"/>
  <c r="N2" i="6"/>
  <c r="W2" i="3"/>
  <c r="AA55" i="3"/>
  <c r="Z54" i="3"/>
  <c r="Y53" i="3"/>
  <c r="X52" i="3"/>
  <c r="W51" i="3"/>
  <c r="V50" i="3"/>
  <c r="AA47" i="3"/>
  <c r="AA46" i="3"/>
  <c r="Z45" i="3"/>
  <c r="Y44" i="3"/>
  <c r="AB30" i="3"/>
  <c r="AA29" i="3"/>
  <c r="Z28" i="3"/>
  <c r="Y27" i="3"/>
  <c r="X26" i="3"/>
  <c r="W25" i="3"/>
  <c r="V24" i="3"/>
  <c r="AB22" i="3"/>
  <c r="AA21" i="3"/>
  <c r="Z20" i="3"/>
  <c r="Y19" i="3"/>
  <c r="X18" i="3"/>
  <c r="W17" i="3"/>
  <c r="V16" i="3"/>
  <c r="AB14" i="3"/>
  <c r="AA13" i="3"/>
  <c r="Z12" i="3"/>
  <c r="Y11" i="3"/>
  <c r="X10" i="3"/>
  <c r="W9" i="3"/>
  <c r="V8" i="3"/>
  <c r="AB6" i="3"/>
  <c r="AA5" i="3"/>
  <c r="Z4" i="3"/>
  <c r="Y3" i="3"/>
  <c r="S61" i="3"/>
  <c r="X2" i="3"/>
  <c r="AA20" i="3"/>
  <c r="AA61" i="3"/>
  <c r="AA59" i="3"/>
  <c r="W53" i="3"/>
  <c r="Z30" i="3"/>
  <c r="X28" i="3"/>
  <c r="W27" i="3"/>
  <c r="V10" i="3"/>
  <c r="AA7" i="3"/>
  <c r="AB2" i="3"/>
  <c r="Z65" i="3"/>
  <c r="Z64" i="3"/>
  <c r="Z63" i="3"/>
  <c r="Z61" i="3"/>
  <c r="Z60" i="3"/>
  <c r="Z59" i="3"/>
  <c r="Z58" i="3"/>
  <c r="Z57" i="3"/>
  <c r="Y56" i="3"/>
  <c r="X55" i="3"/>
  <c r="V53" i="3"/>
  <c r="AA50" i="3"/>
  <c r="Z49" i="3"/>
  <c r="Y48" i="3"/>
  <c r="X47" i="3"/>
  <c r="W45" i="3"/>
  <c r="V44" i="3"/>
  <c r="Y30" i="3"/>
  <c r="X29" i="3"/>
  <c r="W28" i="3"/>
  <c r="V27" i="3"/>
  <c r="AB25" i="3"/>
  <c r="AA24" i="3"/>
  <c r="Z23" i="3"/>
  <c r="Y22" i="3"/>
  <c r="X21" i="3"/>
  <c r="W20" i="3"/>
  <c r="V19" i="3"/>
  <c r="AB17" i="3"/>
  <c r="AA16" i="3"/>
  <c r="Y14" i="3"/>
  <c r="X13" i="3"/>
  <c r="W12" i="3"/>
  <c r="V11" i="3"/>
  <c r="AB9" i="3"/>
  <c r="AA8" i="3"/>
  <c r="Z7" i="3"/>
  <c r="Y6" i="3"/>
  <c r="X5" i="3"/>
  <c r="W4" i="3"/>
  <c r="V3" i="3"/>
  <c r="S58" i="3"/>
  <c r="V61" i="3"/>
  <c r="Z53" i="3"/>
  <c r="Y33" i="3"/>
  <c r="Z22" i="3"/>
  <c r="X20" i="3"/>
  <c r="AB8" i="3"/>
  <c r="Y65" i="3"/>
  <c r="Y64" i="3"/>
  <c r="Y63" i="3"/>
  <c r="Y61" i="3"/>
  <c r="Y60" i="3"/>
  <c r="Y59" i="3"/>
  <c r="Y58" i="3"/>
  <c r="Y57" i="3"/>
  <c r="X56" i="3"/>
  <c r="W55" i="3"/>
  <c r="AA51" i="3"/>
  <c r="Z50" i="3"/>
  <c r="Y49" i="3"/>
  <c r="X48" i="3"/>
  <c r="W47" i="3"/>
  <c r="V45" i="3"/>
  <c r="V43" i="3"/>
  <c r="X30" i="3"/>
  <c r="W29" i="3"/>
  <c r="V28" i="3"/>
  <c r="AB26" i="3"/>
  <c r="AA25" i="3"/>
  <c r="Z24" i="3"/>
  <c r="Y23" i="3"/>
  <c r="X22" i="3"/>
  <c r="W21" i="3"/>
  <c r="V20" i="3"/>
  <c r="AB18" i="3"/>
  <c r="AA17" i="3"/>
  <c r="Z16" i="3"/>
  <c r="X14" i="3"/>
  <c r="W13" i="3"/>
  <c r="V12" i="3"/>
  <c r="AB10" i="3"/>
  <c r="AA9" i="3"/>
  <c r="Z8" i="3"/>
  <c r="Y7" i="3"/>
  <c r="X6" i="3"/>
  <c r="W5" i="3"/>
  <c r="V4" i="3"/>
  <c r="S65" i="3"/>
  <c r="S57" i="3"/>
  <c r="AA45" i="3"/>
  <c r="Y28" i="3"/>
  <c r="X27" i="3"/>
  <c r="AA22" i="3"/>
  <c r="W10" i="3"/>
  <c r="X45" i="3"/>
  <c r="S59" i="3"/>
  <c r="X65" i="3"/>
  <c r="X64" i="3"/>
  <c r="X63" i="3"/>
  <c r="X62" i="3"/>
  <c r="X61" i="3"/>
  <c r="X60" i="3"/>
  <c r="X59" i="3"/>
  <c r="X58" i="3"/>
  <c r="X57" i="3"/>
  <c r="W56" i="3"/>
  <c r="V55" i="3"/>
  <c r="AA52" i="3"/>
  <c r="Z51" i="3"/>
  <c r="Y50" i="3"/>
  <c r="X49" i="3"/>
  <c r="W48" i="3"/>
  <c r="V47" i="3"/>
  <c r="AB44" i="3"/>
  <c r="Z42" i="3"/>
  <c r="W30" i="3"/>
  <c r="AB27" i="3"/>
  <c r="AA26" i="3"/>
  <c r="Z25" i="3"/>
  <c r="Y24" i="3"/>
  <c r="X23" i="3"/>
  <c r="W22" i="3"/>
  <c r="AB19" i="3"/>
  <c r="AA18" i="3"/>
  <c r="Z17" i="3"/>
  <c r="Y16" i="3"/>
  <c r="X15" i="3"/>
  <c r="W14" i="3"/>
  <c r="V13" i="3"/>
  <c r="AB11" i="3"/>
  <c r="AA10" i="3"/>
  <c r="Z9" i="3"/>
  <c r="Y8" i="3"/>
  <c r="X7" i="3"/>
  <c r="W6" i="3"/>
  <c r="V5" i="3"/>
  <c r="AB3" i="3"/>
  <c r="S64" i="3"/>
  <c r="S56" i="3"/>
  <c r="Z27" i="3"/>
  <c r="Y10" i="3"/>
  <c r="V2" i="3"/>
  <c r="X53" i="3"/>
  <c r="V51" i="3"/>
  <c r="Y45" i="3"/>
  <c r="Y20" i="3"/>
  <c r="AA58" i="3"/>
  <c r="AA23" i="3"/>
  <c r="Y2" i="3"/>
  <c r="W63" i="3"/>
  <c r="W59" i="3"/>
  <c r="W58" i="3"/>
  <c r="V56" i="3"/>
  <c r="Y51" i="3"/>
  <c r="V48" i="3"/>
  <c r="AA40" i="3"/>
  <c r="V30" i="3"/>
  <c r="AA27" i="3"/>
  <c r="Z26" i="3"/>
  <c r="Y25" i="3"/>
  <c r="X24" i="3"/>
  <c r="W23" i="3"/>
  <c r="V22" i="3"/>
  <c r="Z18" i="3"/>
  <c r="Y17" i="3"/>
  <c r="X16" i="3"/>
  <c r="W15" i="3"/>
  <c r="V14" i="3"/>
  <c r="AB12" i="3"/>
  <c r="AA11" i="3"/>
  <c r="Z10" i="3"/>
  <c r="Y9" i="3"/>
  <c r="X8" i="3"/>
  <c r="W7" i="3"/>
  <c r="V6" i="3"/>
  <c r="AB4" i="3"/>
  <c r="Z34" i="3"/>
  <c r="M34" i="1"/>
  <c r="AA43" i="3"/>
  <c r="X40" i="3"/>
  <c r="W40" i="3"/>
  <c r="X37" i="3"/>
  <c r="AB41" i="3"/>
  <c r="Y41" i="3"/>
  <c r="X41" i="3"/>
  <c r="AB40" i="3"/>
  <c r="AB36" i="3"/>
  <c r="W36" i="3"/>
  <c r="W43" i="3"/>
  <c r="V42" i="3"/>
  <c r="AA39" i="3"/>
  <c r="Z38" i="3"/>
  <c r="Y37" i="3"/>
  <c r="X36" i="3"/>
  <c r="W35" i="3"/>
  <c r="V34" i="3"/>
  <c r="Z39" i="3"/>
  <c r="Y38" i="3"/>
  <c r="V35" i="3"/>
  <c r="AB33" i="3"/>
  <c r="AB42" i="3"/>
  <c r="AA41" i="3"/>
  <c r="Z40" i="3"/>
  <c r="Y39" i="3"/>
  <c r="X38" i="3"/>
  <c r="W37" i="3"/>
  <c r="V36" i="3"/>
  <c r="AB34" i="3"/>
  <c r="AA33" i="3"/>
  <c r="AB43" i="3"/>
  <c r="AA42" i="3"/>
  <c r="Z41" i="3"/>
  <c r="Y40" i="3"/>
  <c r="X39" i="3"/>
  <c r="W38" i="3"/>
  <c r="V37" i="3"/>
  <c r="AB35" i="3"/>
  <c r="AA34" i="3"/>
  <c r="Z33" i="3"/>
  <c r="Z43" i="3"/>
  <c r="Y42" i="3"/>
  <c r="V39" i="3"/>
  <c r="AB37" i="3"/>
  <c r="AA36" i="3"/>
  <c r="Z35" i="3"/>
  <c r="Y34" i="3"/>
  <c r="X33" i="3"/>
  <c r="W39" i="3"/>
  <c r="V38" i="3"/>
  <c r="AA35" i="3"/>
  <c r="Y43" i="3"/>
  <c r="X42" i="3"/>
  <c r="W41" i="3"/>
  <c r="V40" i="3"/>
  <c r="AB38" i="3"/>
  <c r="AA37" i="3"/>
  <c r="Z36" i="3"/>
  <c r="Y35" i="3"/>
  <c r="X34" i="3"/>
  <c r="W33" i="3"/>
  <c r="W42" i="3"/>
  <c r="V41" i="3"/>
  <c r="AA38" i="3"/>
  <c r="Z37" i="3"/>
  <c r="Y36" i="3"/>
  <c r="X35" i="3"/>
  <c r="W34" i="3"/>
  <c r="V33" i="3"/>
  <c r="AA32" i="3"/>
  <c r="Z32" i="3"/>
  <c r="Y32" i="3"/>
  <c r="W32" i="3"/>
  <c r="V32" i="3"/>
  <c r="X32" i="3"/>
  <c r="AB32" i="3"/>
  <c r="T18" i="1"/>
  <c r="M33" i="1"/>
  <c r="Z31" i="3"/>
  <c r="V31" i="3"/>
  <c r="AB31" i="3"/>
  <c r="AA31" i="3"/>
  <c r="Y31" i="3"/>
  <c r="X31" i="3"/>
  <c r="W31" i="3"/>
  <c r="M29" i="1"/>
  <c r="M15" i="1"/>
  <c r="M13" i="1"/>
  <c r="M11" i="1"/>
  <c r="M30" i="1"/>
  <c r="M28" i="1"/>
  <c r="M26" i="1"/>
  <c r="M12" i="1"/>
  <c r="M9" i="1"/>
  <c r="O27" i="1"/>
  <c r="O30" i="1"/>
  <c r="O28" i="1"/>
  <c r="O27" i="3"/>
  <c r="R67" i="3"/>
  <c r="O25" i="3"/>
  <c r="O26" i="3"/>
  <c r="R55" i="3"/>
  <c r="O29" i="1"/>
  <c r="O25" i="1"/>
  <c r="O32" i="1"/>
  <c r="R71" i="3"/>
  <c r="R63" i="3"/>
  <c r="R64" i="3"/>
  <c r="S72" i="3"/>
  <c r="R60" i="3"/>
  <c r="R65" i="3"/>
  <c r="R69" i="3"/>
  <c r="R68" i="3"/>
  <c r="R57" i="3"/>
  <c r="R61" i="3"/>
  <c r="S70" i="3"/>
  <c r="R66" i="3"/>
  <c r="R62" i="3"/>
  <c r="O7" i="1"/>
  <c r="O24" i="1"/>
  <c r="O20" i="1"/>
  <c r="O12" i="1"/>
  <c r="O6" i="1"/>
  <c r="O8" i="1"/>
  <c r="O21" i="1"/>
  <c r="O13" i="1"/>
  <c r="C30" i="3"/>
  <c r="K3" i="6"/>
  <c r="H7" i="3" s="1"/>
  <c r="O24" i="3"/>
  <c r="K3" i="4"/>
  <c r="D5" i="2" s="1"/>
  <c r="N3" i="2" s="1"/>
  <c r="Q86" i="3"/>
  <c r="P86" i="3"/>
  <c r="P82" i="3"/>
  <c r="O86" i="3"/>
  <c r="P85" i="3"/>
  <c r="O82" i="3"/>
  <c r="P81" i="3"/>
  <c r="O85" i="3"/>
  <c r="O81" i="3"/>
  <c r="O84" i="3"/>
  <c r="O83" i="3"/>
  <c r="O79" i="3"/>
  <c r="P3" i="3"/>
  <c r="O13" i="3"/>
  <c r="O12" i="3"/>
  <c r="P12" i="3"/>
  <c r="P4" i="3"/>
  <c r="P14" i="3"/>
  <c r="P10" i="3"/>
  <c r="P6" i="3"/>
  <c r="P18" i="3"/>
  <c r="P13" i="3"/>
  <c r="P9" i="3"/>
  <c r="P5" i="3"/>
  <c r="P17" i="3"/>
  <c r="P8" i="3"/>
  <c r="P15" i="3"/>
  <c r="P11" i="3"/>
  <c r="P7" i="3"/>
  <c r="P16" i="3"/>
  <c r="M25" i="1" a="1"/>
  <c r="M54" i="1" a="1"/>
  <c r="M52" i="1" a="1"/>
  <c r="M46" i="1" a="1"/>
  <c r="M60" i="1" a="1"/>
  <c r="M24" i="1" a="1"/>
  <c r="M48" i="1" a="1"/>
  <c r="M47" i="1" a="1"/>
  <c r="M50" i="1" a="1"/>
  <c r="M41" i="1" a="1"/>
  <c r="M44" i="1" a="1"/>
  <c r="M53" i="1" a="1"/>
  <c r="M58" i="1" a="1"/>
  <c r="M59" i="1" a="1"/>
  <c r="M51" i="1" a="1"/>
  <c r="M24" i="1" l="1"/>
  <c r="M25" i="1"/>
  <c r="M59" i="1"/>
  <c r="M60" i="1"/>
  <c r="M54" i="1"/>
  <c r="M41" i="1"/>
  <c r="M50" i="1"/>
  <c r="M51" i="1"/>
  <c r="M52" i="1"/>
  <c r="M53" i="1"/>
  <c r="M58" i="1"/>
  <c r="C16" i="3"/>
  <c r="G2" i="3"/>
  <c r="J2" i="3"/>
  <c r="G4" i="3"/>
  <c r="J7" i="3"/>
  <c r="G6" i="3"/>
  <c r="J9" i="3"/>
  <c r="G7" i="3"/>
  <c r="I7" i="3" s="1"/>
  <c r="G8" i="3"/>
  <c r="I8" i="3" s="1"/>
  <c r="J10" i="3"/>
  <c r="J8" i="3"/>
  <c r="M44" i="1"/>
  <c r="M46" i="1"/>
  <c r="M48" i="1"/>
  <c r="M47" i="1"/>
  <c r="G11" i="3"/>
  <c r="I11" i="3" s="1"/>
  <c r="G10" i="3"/>
  <c r="I10" i="3" s="1"/>
  <c r="G9" i="3"/>
  <c r="I9" i="3" s="1"/>
  <c r="G15" i="3"/>
  <c r="I15" i="3" s="1"/>
  <c r="G16" i="3"/>
  <c r="I16" i="3" s="1"/>
  <c r="G12" i="3"/>
  <c r="I12" i="3" s="1"/>
  <c r="G13" i="3"/>
  <c r="I13" i="3" s="1"/>
  <c r="G14" i="3"/>
  <c r="I14" i="3" s="1"/>
  <c r="J16" i="3"/>
  <c r="J12" i="3"/>
  <c r="J15" i="3"/>
  <c r="J11" i="3"/>
  <c r="J14" i="3"/>
  <c r="C24" i="3"/>
  <c r="C6" i="3"/>
  <c r="J13" i="3"/>
  <c r="T14" i="1"/>
  <c r="K33" i="1" s="1"/>
  <c r="N2" i="2"/>
  <c r="C22" i="3" s="1"/>
  <c r="L6" i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I4" i="3"/>
  <c r="I5" i="3"/>
  <c r="J4" i="3"/>
  <c r="J5" i="3"/>
  <c r="K5" i="1" l="1"/>
  <c r="K14" i="1"/>
  <c r="K8" i="1"/>
  <c r="K32" i="1"/>
  <c r="L28" i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C23" i="3"/>
  <c r="C7" i="3" s="1"/>
  <c r="K19" i="1"/>
  <c r="K20" i="1"/>
  <c r="O23" i="3" l="1"/>
  <c r="J3" i="3" l="1"/>
  <c r="G3" i="3"/>
  <c r="I3" i="3" s="1"/>
  <c r="J6" i="3"/>
  <c r="I6" i="3"/>
  <c r="C28" i="3" l="1"/>
  <c r="I2" i="3"/>
  <c r="C20" i="3" s="1"/>
  <c r="C21" i="3" s="1"/>
  <c r="O10" i="1"/>
  <c r="O11" i="1"/>
  <c r="O9" i="1"/>
  <c r="K39" i="1" l="1"/>
  <c r="C35" i="3"/>
  <c r="T12" i="1"/>
  <c r="T9" i="1" s="1"/>
  <c r="O3" i="1"/>
  <c r="I3" i="1"/>
  <c r="M3" i="1" a="1"/>
  <c r="M3" i="1" s="1"/>
  <c r="M4" i="1" a="1"/>
  <c r="M4" i="1" s="1"/>
  <c r="O4" i="1"/>
  <c r="T11" i="1"/>
  <c r="I4" i="1"/>
  <c r="T16" i="1" s="1"/>
  <c r="K18" i="1" s="1"/>
  <c r="K60" i="1" l="1"/>
  <c r="K34" i="1"/>
  <c r="K58" i="1"/>
  <c r="K59" i="1"/>
  <c r="K27" i="1"/>
  <c r="K21" i="1"/>
  <c r="K51" i="1"/>
  <c r="K36" i="1"/>
  <c r="K50" i="1"/>
  <c r="K28" i="1"/>
  <c r="K44" i="1"/>
  <c r="K43" i="1"/>
  <c r="K40" i="1"/>
  <c r="K38" i="1"/>
  <c r="K11" i="1"/>
  <c r="K41" i="1"/>
  <c r="K53" i="1"/>
  <c r="K45" i="1"/>
  <c r="K47" i="1"/>
  <c r="K6" i="1"/>
  <c r="K42" i="1"/>
  <c r="K3" i="1"/>
  <c r="K13" i="1"/>
  <c r="K15" i="1"/>
  <c r="K9" i="1"/>
  <c r="K26" i="1"/>
  <c r="K4" i="1"/>
  <c r="K48" i="1"/>
  <c r="K16" i="1"/>
  <c r="O16" i="1" s="1"/>
  <c r="K37" i="1"/>
  <c r="K31" i="1"/>
  <c r="K29" i="1"/>
  <c r="K46" i="1"/>
  <c r="K49" i="1"/>
  <c r="K12" i="1"/>
  <c r="K25" i="1"/>
  <c r="K52" i="1"/>
  <c r="K30" i="1"/>
  <c r="K24" i="1"/>
  <c r="K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<sst xmlns="http://schemas.openxmlformats.org/spreadsheetml/2006/main" count="904" uniqueCount="324">
  <si>
    <t>bangood</t>
  </si>
  <si>
    <t>3x</t>
  </si>
  <si>
    <t>6x</t>
  </si>
  <si>
    <t>aliexpress</t>
  </si>
  <si>
    <t>ball bearing</t>
  </si>
  <si>
    <t>16x</t>
  </si>
  <si>
    <t xml:space="preserve"> </t>
  </si>
  <si>
    <t>steppers</t>
  </si>
  <si>
    <t>stepperonline</t>
  </si>
  <si>
    <t>4x</t>
  </si>
  <si>
    <t>https://www.aliexpress.com/item/4000803101862.html?spm=a2g0s.9042311.0.0.7e964c4dOo1VKH</t>
  </si>
  <si>
    <t>plump coupler</t>
  </si>
  <si>
    <t>GT2 Pulley 16Teeth</t>
  </si>
  <si>
    <t>2x</t>
  </si>
  <si>
    <t>Ποσότητα</t>
  </si>
  <si>
    <t>Αντεικίμενο</t>
  </si>
  <si>
    <t>Τιμή</t>
  </si>
  <si>
    <t>Κατάστημα</t>
  </si>
  <si>
    <t>20x</t>
  </si>
  <si>
    <t>dowels</t>
  </si>
  <si>
    <t>5x</t>
  </si>
  <si>
    <t>625zz</t>
  </si>
  <si>
    <t>rod</t>
  </si>
  <si>
    <t>link</t>
  </si>
  <si>
    <t>ARRIVED</t>
  </si>
  <si>
    <t>PARTS</t>
  </si>
  <si>
    <t>F695 Bearings</t>
  </si>
  <si>
    <t>1x</t>
  </si>
  <si>
    <t>GT2 Idler Timing Pulley </t>
  </si>
  <si>
    <t xml:space="preserve">https://www.aliexpress.com/item/33023133633.html?spm=a2g0s.9042311.0.0.66654c4dL3MhKu </t>
  </si>
  <si>
    <t xml:space="preserve">https://www.aliexpress.com/item/1005001315513956.html?spm=a2g0s.9042311.0.0.66654c4dL3MhKu </t>
  </si>
  <si>
    <t xml:space="preserve">https://www.aliexpress.com/item/4000389230884.html?spm=a2g0o.productlist.0.0.70bb4eedrRfpaH&amp;algo_pvid=19296c4b-e709-44ef-bd7a-d16ad105010a&amp;algo_expid=19296c4b-e709-44ef-bd7a-d16ad105010a-2&amp;btsid=0bb0622e16074131145558835ea01e&amp;ws_ab_test=searchweb0_0,searchweb201602_,searchweb201603_ </t>
  </si>
  <si>
    <t xml:space="preserve">https://www.aliexpress.com/item/32957699302.html?spm=2114.12010615.8148356.13.2b947edfhcXwEf </t>
  </si>
  <si>
    <t xml:space="preserve">https://www.aliexpress.com/item/32766184679.html?spm=a2g0o.productlist.0.0.169e5f9d3sm9O2&amp;algo_pvid=f985e751-2efd-428e-916a-f92da83d8238&amp;algo_expid=f985e751-2efd-428e-916a-f92da83d8238-0&amp;btsid=0bb0624616072843730448858e1976&amp;ws_ab_test=searchweb0_0,searchweb201602_,searchweb201603_ </t>
  </si>
  <si>
    <t xml:space="preserve">https://www.aliexpress.com/item/33008007487.html?spm=a2g0s.9042311.0.0.534f4c4dlRYhO5 </t>
  </si>
  <si>
    <t xml:space="preserve">https://www.banggood.com/TWO-TREES-12mm-Linear-Guide-MGN12H-200-or-250-or-300-or-350-or-400-or-450-or-500mm-Linear-Rail-+-MGN12H-Block-for-3D-Printer-p-1678349.html?rmmds=myorder&amp;cur_warehouse=CN&amp;ID=517376 </t>
  </si>
  <si>
    <t xml:space="preserve">https://www.aliexpress.com/item/32660308298.html?spm=a2g0s.9042311.0.0.27424c4do1UU6J </t>
  </si>
  <si>
    <t xml:space="preserve">https://www.banggood.com/TWO-TREES-12mm-Linear-Guide-MGN12H-200-or-250-or-300-or-350-or-400-or-450-or-500mm-Linear-Rail-+-MGN12H-Block-for-3D-Printer-p-1678349.html?rmmds=myorder&amp;cur_warehouse=CN&amp;ID=517377 </t>
  </si>
  <si>
    <t xml:space="preserve">https://www.aliexpress.com/item/32806884712.html?spm=a2g0s.9042311.0.0.27424c4da48s1o </t>
  </si>
  <si>
    <t xml:space="preserve">https://www.banggood.com/8mm-300-or-400-or-500-or-600mm-Lead-2mm-Stainless-Steel-Lead-Screw-+-T8-Nut-For-CNC-3D-Printer-Reprap-p-1143904.html?rmmds=myorder </t>
  </si>
  <si>
    <t>trapezi</t>
  </si>
  <si>
    <t>skeletos</t>
  </si>
  <si>
    <t>start to buying</t>
  </si>
  <si>
    <t>last piece</t>
  </si>
  <si>
    <t>Time (Days)</t>
  </si>
  <si>
    <t>Have to buy probably</t>
  </si>
  <si>
    <t>estimated</t>
  </si>
  <si>
    <t>AVG DAYS</t>
  </si>
  <si>
    <t>Date</t>
  </si>
  <si>
    <t>arrival Date</t>
  </si>
  <si>
    <t xml:space="preserve">first arrival </t>
  </si>
  <si>
    <t>last arrival</t>
  </si>
  <si>
    <t>arrival time(Days)</t>
  </si>
  <si>
    <t>Προτερεότητα</t>
  </si>
  <si>
    <t>κολωνες</t>
  </si>
  <si>
    <t>πανω στηριγματα από ζ</t>
  </si>
  <si>
    <t>κατω στηριγματα</t>
  </si>
  <si>
    <t>ζ</t>
  </si>
  <si>
    <t>2040/100mm</t>
  </si>
  <si>
    <t>2020/100mm</t>
  </si>
  <si>
    <t>πολύ μελλον και αν</t>
  </si>
  <si>
    <t>https://www.aliexpress.com/item/32454831300.html?spm=a2g0o.detail.1000014.41.57486088LDp2Hw&amp;gps-id=pcDetailBottomMoreOtherSeller&amp;scm=1007.13338.189932.0&amp;scm_id=1007.13338.189932.0&amp;scm-url=1007.13338.189932.0&amp;pvid=45a0d247-0468-462c-b6f9-5d9b1c1edfd0&amp;_t=gps-id:pcDetailBottomMoreOtherSeller,scm-url:1007.13338.189932.0,pvid:45a0d247-0468-462c-b6f9-5d9b1c1edfd0,tpp_buckets:668%230%23131923%2330_668%23888%233325%235_3338%230%23189932%230_3338%233142%239890%238_668%232846%238109%23251_668%232717%237558%23193_668%231000022185%231000066058%230_668%233422%2315392%23557</t>
  </si>
  <si>
    <t>υδροψυξη</t>
  </si>
  <si>
    <t>NO</t>
  </si>
  <si>
    <t>LOADING..</t>
  </si>
  <si>
    <t>Time</t>
  </si>
  <si>
    <t>Arrival</t>
  </si>
  <si>
    <t>mixanismos m5 70?</t>
  </si>
  <si>
    <t>REFUNDS</t>
  </si>
  <si>
    <t>COST</t>
  </si>
  <si>
    <t>Ποσόν</t>
  </si>
  <si>
    <t>number</t>
  </si>
  <si>
    <t>Money to end</t>
  </si>
  <si>
    <t>Average Month</t>
  </si>
  <si>
    <t>loading…</t>
  </si>
  <si>
    <t>Estimate cost</t>
  </si>
  <si>
    <t>Estimate end</t>
  </si>
  <si>
    <t>rasbery pi 4 4gb</t>
  </si>
  <si>
    <t>https://topelectronics.gr/single-board-computer/raspberry/raspberry-pi-4-model-b-4gb-ram/</t>
  </si>
  <si>
    <t>topelectronics</t>
  </si>
  <si>
    <t>Cost</t>
  </si>
  <si>
    <t xml:space="preserve">https://www.omc-stepperonline.com/ </t>
  </si>
  <si>
    <t xml:space="preserve">https://www.aliexpress.com/item/33010997018.html?spm=a2g0o.store_home.productList_10431387.pic_13 </t>
  </si>
  <si>
    <t>https://github.com/goodtft/LCD-show</t>
  </si>
  <si>
    <t>βιδεσ</t>
  </si>
  <si>
    <t>μπλοκ επαφων</t>
  </si>
  <si>
    <t>rasberry pi 4</t>
  </si>
  <si>
    <t>Refund</t>
  </si>
  <si>
    <t>δώρο δεσποινούλας</t>
  </si>
  <si>
    <t>https://www.aliexpress.com/item/4000641003381.html?spm=a2g0o.productlist.0.0.3e5748b2LL0jGr&amp;algo_pvid=19397d42-08c8-4a05-9806-bf156c5d6683&amp;algo_expid=19397d42-08c8-4a05-9806-bf156c5d6683-9&amp;btsid=0bb0623916096259479757554e3392&amp;ws_ab_test=searchweb0_0,searchweb201602_,searchweb201603_</t>
  </si>
  <si>
    <t>ψυκτρα rasbery</t>
  </si>
  <si>
    <t>https://www.aliexpress.com/item/4000908430131.html?spm=a2g0o.detail.1000060.1.63fa576aAirfCz&amp;gps-id=pcDetailBottomMoreThisSeller&amp;scm=1007.13339.169870.0&amp;scm_id=1007.13339.169870.0&amp;scm-url=1007.13339.169870.0&amp;pvid=049c3c60-82ef-4926-b194-5b5f2475abfb&amp;_t=gps-id:pcDetailBottomMoreThisSeller,scm-url:1007.13339.169870.0,pvid:049c3c60-82ef-4926-b194-5b5f2475abfb,tpp_buckets:668%230%23131923%2324_668%23888%233325%235_668%232846%238109%231935_668%232717%237558%23193_668%231000022185%231000066058%230_668%233468%2315608%23136</t>
  </si>
  <si>
    <t>price for 2040</t>
  </si>
  <si>
    <t>price for 2020</t>
  </si>
  <si>
    <t>total price</t>
  </si>
  <si>
    <t xml:space="preserve">https://www.banggood.com/7-Inch-Full-View-LCD-IPS-Touch-Screen-1024+600-800+480-HD-HDMI-Display-Monitor-for-Raspberry-Pi-p-1633584.html?akmClientCountry=GR&amp;cur_warehouse=CZ&amp;ID=514816 </t>
  </si>
  <si>
    <t>οθονη drivers</t>
  </si>
  <si>
    <t>Touch screen 7"</t>
  </si>
  <si>
    <t xml:space="preserve">https://www.aliexpress.com/item/4000641003381.html?spm=a2g0o.productlist.0.0.3e5748b2LL0jGr&amp;algo_pvid=19397d42-08c8-4a05-9806-bf156c5d6683&amp;algo_expid=19397d42-08c8-4a05-9806-bf156c5d6683-9&amp;btsid=0bb0623916096259479757554e3392&amp;ws_ab_test=searchweb0_0,searchweb201602_,searchweb201603_ </t>
  </si>
  <si>
    <t>cooler</t>
  </si>
  <si>
    <t>A/N</t>
  </si>
  <si>
    <t>https://www.aliexpress.com/item/4001121807581.html?spm=a2g0o.productlist.0.0.2025b0b90Y3FC0&amp;algo_pvid=e6920286-f9a0-496b-aecb-fba300713a5d&amp;algo_expid=e6920286-f9a0-496b-aecb-fba300713a5d-14&amp;btsid=0b0a556b16097102145412739e7787&amp;ws_ab_test=searchweb0_0,searchweb201602_,searchweb201603_</t>
  </si>
  <si>
    <t>a2-14</t>
  </si>
  <si>
    <t>AMST-V8UP</t>
  </si>
  <si>
    <t>https://www.aliexpress.com/item/1005001337424604.html?spm=a2g0o.detail.1000014.31.5c0e3b29OSD1al&amp;gps-id=pcDetailBottomMoreOtherSeller&amp;scm=1007.13338.189932.0&amp;scm_id=1007.13338.189932.0&amp;scm-url=1007.13338.189932.0&amp;pvid=3ed8b212-1058-459d-8733-30a48d4f47a5&amp;_t=gps-id:pcDetailBottomMoreOtherSeller,scm-url:1007.13338.189932.0,pvid:3ed8b212-1058-459d-8733-30a48d4f47a5,tpp_buckets:668%230%23131923%2387_668%23888%233325%235_3338%230%23189932%230_3338%233142%239890%238_668%232846%238109%231935_668%232717%237558%23193_668%231000022185%231000066058%230_668%233422%2315392%23555</t>
  </si>
  <si>
    <t>https://www.aliexpress.com/item/10000315951480.html?spm=a2g0o.detail.100009.5.56e54e7fhuaB3t&amp;gps-id=pcDetailLeftTopSell&amp;scm=1007.13482.95643.0&amp;scm_id=1007.13482.95643.0&amp;scm-url=1007.13482.95643.0&amp;pvid=5f4f1b63-77f1-4d71-814f-dc2dc657786b&amp;_t=gps-id:pcDetai</t>
  </si>
  <si>
    <t xml:space="preserve">https://www.banggood.com/el/ICE-Tower-CPU-Cooling-Fan-V2_0-Super-Heat-Dissipation-Different-Colors-LEDs-for-Raspberry-Pi-3B+-or-4B-p-1584786.html?cur_warehouse=CN&amp;rmmds=search </t>
  </si>
  <si>
    <t xml:space="preserve">https://www.banggood.com/BIGTREETECH-GTR-V1_0-32Bit-Control-Board-with-M5-V1_0-Expansion-Board-DIY-Kit-for-3D-Printer-p-1695091.html?cur_warehouse=CN&amp;ID=6290452 </t>
  </si>
  <si>
    <t>BIGTREETECH® GTR V1.0</t>
  </si>
  <si>
    <t xml:space="preserve"> belt GT2 Width 6MM 4m</t>
  </si>
  <si>
    <t>ball bearing z axis</t>
  </si>
  <si>
    <t xml:space="preserve">https://www.aliexpress.com/item/33023133633.html?spm=a2g0s.9042311.0.0.54264c4d8c8Oxd </t>
  </si>
  <si>
    <t xml:space="preserve">https://www.aliexpress.com/item/32952396111.html?spm=a2g0s.9042311.0.0.54264c4dDAANTy </t>
  </si>
  <si>
    <t xml:space="preserve">https://www.aliexpress.com/item/32946169710.html?spm=a2g0s.9042311.0.0.54264c4d8c8Oxd </t>
  </si>
  <si>
    <t xml:space="preserve">https://www.banggood.com/Suleve-M5CH3-50Pcs-M5-12_9-Grade-Carbon-Steel-Hex-Socket-Cap-Head-Screw-8-30mm-Optional-Length-p-1333415.html?rmmds=flashdeals&amp;cur_warehouse=CN&amp;ID=48349 </t>
  </si>
  <si>
    <t xml:space="preserve">https://www.aliexpress.com/item/32866986097.html?spm=a2g0o.productlist.0.0.77c81cf1cDSgsZ&amp;algo_pvid=3c9962d1-91a7-4c7f-8800-3cf841a54ff5&amp;algo_expid=3c9962d1-91a7-4c7f-8800-3cf841a54ff5-2&amp;btsid=0b0a556116085096299856434e5605&amp;ws_ab_test=searchweb0_0,searchweb201602_,searchweb201603 </t>
  </si>
  <si>
    <t>Price</t>
  </si>
  <si>
    <t>Num of comp</t>
  </si>
  <si>
    <t>WAITING</t>
  </si>
  <si>
    <t>cnc cut</t>
  </si>
  <si>
    <t>https://www.aliexpress.com/item/33056113502.html</t>
  </si>
  <si>
    <t xml:space="preserve">https://www.aliexpress.com/item/32989494316.html?spm=a2g0o.placeorder.0.0.2083321eDsSaKE&amp;mp=1 </t>
  </si>
  <si>
    <t>15m</t>
  </si>
  <si>
    <t>2m</t>
  </si>
  <si>
    <t>https://www.aliexpress.com/item/4000110356215.html?spm=2114.12010615.8148356.56.45db5a5dK4OZTT</t>
  </si>
  <si>
    <t>σημειωσεις</t>
  </si>
  <si>
    <t>10m</t>
  </si>
  <si>
    <t>0.8 Steel PVC Coated Flexible wire</t>
  </si>
  <si>
    <t>0.6 Steel PVC Coated Flexible wire</t>
  </si>
  <si>
    <t>W0.6OD2.7ID1.5 spring guide</t>
  </si>
  <si>
    <t xml:space="preserve">Prod Bangood </t>
  </si>
  <si>
    <t>Prod Aliexpress</t>
  </si>
  <si>
    <t>Other Stores</t>
  </si>
  <si>
    <t xml:space="preserve">Total Bangood </t>
  </si>
  <si>
    <t xml:space="preserve">Total Aliexpress </t>
  </si>
  <si>
    <t>Total Other Stores</t>
  </si>
  <si>
    <t xml:space="preserve">Average Bangood </t>
  </si>
  <si>
    <t xml:space="preserve">Average Aliexpress </t>
  </si>
  <si>
    <t>CPM</t>
  </si>
  <si>
    <t>www.aliexpress.com/item/4000627399032.html?spm=a2g0s.9042311.0.0.27514c4dKmgW10</t>
  </si>
  <si>
    <t>linair rails 500mm MGN12H</t>
  </si>
  <si>
    <t>linair rails 500mm MGN12C</t>
  </si>
  <si>
    <t>S00000184036528</t>
  </si>
  <si>
    <t>https://www.aliexpress.com/item/32966023224.html?spm=a2g0o.detail.1000014.51.48144c24mXXMlT&amp;gps-id=pcDetailBottomMoreOtherSeller&amp;scm=1007.13338.189932.0&amp;scm_id=1007.13338.189932.0&amp;scm-url=1007.13338.189932.0&amp;pvid=ef203f78-cbe7-45e8-9f12-dbde10882558&amp;_t=gps-id:pcDetailBottomMoreOtherSeller,scm-url:1007.13338.189932.0,pvid:ef203f78-cbe7-45e8-9f12-dbde10882558,tpp_buckets:668%230%23131923%2337_668%23888%233325%235_3338%230%23189932%230_3338%233142%239890%238_668%232846%238109%231935_668%232717%237558%23193_668%231000022185%231000066058%230_668%233422%2315392%23350&amp;fromDetail</t>
  </si>
  <si>
    <t>tnut</t>
  </si>
  <si>
    <t>https://www.aliexpress.com/item/32822606633.html?aff_platform=link-c-tool&amp;sk=cpnplQQc&amp;aff_trace_key=ea29a0cec449405bab0d34c201e750f0-1610139600679-02096-cpnplQQc&amp;terminal_id=325e9f544e3d451ab66b0098112cfb53</t>
  </si>
  <si>
    <t>βιδες πλαισιου</t>
  </si>
  <si>
    <t>150x</t>
  </si>
  <si>
    <t xml:space="preserve">https://www.aliexpress.com/item/32796264908.html?spm=a2g0s.9042311.0.0.5b674c4dqzw7Ir </t>
  </si>
  <si>
    <t>gonia</t>
  </si>
  <si>
    <t>https://www.aliexpress.com/item/4000270270865.html?spm=a2g0s.9042311.0.0.5a8e4c4di0wi6E</t>
  </si>
  <si>
    <t>50x</t>
  </si>
  <si>
    <t>whasher</t>
  </si>
  <si>
    <t>balls for bed</t>
  </si>
  <si>
    <t>https://www.aliexpress.com/item/32912250678.html?spm=a2g0o.detail.1000013.17.3461443bcJyxQz&amp;gps-id=pcDetailBottomMoreThisSeller&amp;scm=1007.13339.169870.0&amp;scm_id=1007.13339.169870.0&amp;scm-url=1007.13339.169870.0&amp;pvid=3cc5510d-75e7-4c64-9aa3-8e4cf38ef29d&amp;_t=gps</t>
  </si>
  <si>
    <t>RE177237363CN</t>
  </si>
  <si>
    <t>UG967380866BE</t>
  </si>
  <si>
    <t>LT483867959NL</t>
  </si>
  <si>
    <t>I receive it before:</t>
  </si>
  <si>
    <t>Tracking number</t>
  </si>
  <si>
    <t>200x</t>
  </si>
  <si>
    <t>https://www.aliexpress.com/item/32964780472.html?spm=a2g0o.cart.0.0.4ab63c00icFlpD&amp;mp=1</t>
  </si>
  <si>
    <t>Hex Socket Cap M3x8 for rails</t>
  </si>
  <si>
    <t>Hammer Nut for rails</t>
  </si>
  <si>
    <t>linair rails</t>
  </si>
  <si>
    <t>https://www.aliexpress.com/item/4000053434251.html?spm=a2g0o.detail.1000014.1.353d792cHM8MrK&amp;gps-id=pcDetailBottomMoreOtherSeller&amp;scm=1007.13338.189932.0&amp;scm_id=1007.13338.189932.0&amp;scm-url=1007.13338.189932.0&amp;pvid=b3289da9-8950-4fb2-92f4-8af13c1c5787&amp;_t=gps-id:pcDetailBottomMoreOtherSeller,scm-url:1007.13338.189932.0,pvid:b3289da9-8950-4fb2-92f4-8af13c1c5787,tpp_buckets:668%230%23131923%2318_668%23888%233325%235_3338%230%23189932%230_3338%233142%239890%238_668%232846%238109%231935_668%232717%237564%23696_668%231000022185%231000066058%230_668%233422%2315392%23999</t>
  </si>
  <si>
    <t>shouldler screw</t>
  </si>
  <si>
    <t>https://www.aliexpress.com/item/33002989677.html?spm=a2g0o.placeorder.0.0.51e6321epqLfip&amp;mp=1</t>
  </si>
  <si>
    <t>Wrong part</t>
  </si>
  <si>
    <t>No</t>
  </si>
  <si>
    <t>YES</t>
  </si>
  <si>
    <t>Wrong parts</t>
  </si>
  <si>
    <t>wastage</t>
  </si>
  <si>
    <t>https://www.banggood.com/Meanwell-LRS-350-Switching-Power-Supply-24V-36V-48V-350W30mm-Thickness-Smps-Best-Voltage-Converter-p-1399825.html?cur_warehouse=CN&amp;ID=49552</t>
  </si>
  <si>
    <t>Wrong Parts</t>
  </si>
  <si>
    <t>Meanwell psu 24v</t>
  </si>
  <si>
    <t>Today</t>
  </si>
  <si>
    <t>LT375190187NL</t>
  </si>
  <si>
    <t>CD845089075DE</t>
  </si>
  <si>
    <t>YWXY011046391</t>
  </si>
  <si>
    <t>RE166242742CN</t>
  </si>
  <si>
    <t>LT400844100NL</t>
  </si>
  <si>
    <t>S00000179312941</t>
  </si>
  <si>
    <t>S00000179298350</t>
  </si>
  <si>
    <t>UG915390960BE</t>
  </si>
  <si>
    <t>LT403091205NL</t>
  </si>
  <si>
    <t>CQ613345222DE</t>
  </si>
  <si>
    <t>CQ613363257DE</t>
  </si>
  <si>
    <t>LT481947932NL</t>
  </si>
  <si>
    <t>S00000183835258</t>
  </si>
  <si>
    <t>Tracking…</t>
  </si>
  <si>
    <t>LT486835155NL</t>
  </si>
  <si>
    <t>LT487525708NL</t>
  </si>
  <si>
    <t>https://www.aliexpress.com/item/4001352816252.html?spm=a2g0o.detail.1000014.21.34972b7bmAw2Po&amp;gps-id=pcDetailBottomMoreOtherSeller&amp;scm=1007.13338.189932.0&amp;scm_id=1007.13338.189932.0&amp;scm-url=1007.13338.189932.0&amp;pvid=31ca34bb-9264-43c6-b611-74f2ebc46127&amp;_t=gps-id:pcDetailBottomMoreOtherSeller,scm-url:1007.13338.189932.0,pvid:31ca34bb-9264-43c6-b611-74f2ebc46127,tpp_buckets:668%230%23131923%23100_668%23888%233325%235_3338%230%23189932%230_3338%233142%239890%238_668%232846%238109%231935_668%232717%237564%23696_668%231000022185%231000066058%230_668%233422%2315392%23999</t>
  </si>
  <si>
    <t>micro hdmi</t>
  </si>
  <si>
    <t>https://www.banggood.com/Orbiter-Extruder-Planetary-Wheel-Extruder-for-Ender-3-or-Emder-5-3D-Printer-1_75mm-Filament-p-1789375.html?cur_warehouse=CN&amp;rmmds=search</t>
  </si>
  <si>
    <t>NUM OF ORDERS</t>
  </si>
  <si>
    <t xml:space="preserve">https://www.aliexpress.com/snapshot/0.html?spm=a2g0s.issue_f040t.0.0.40e14c4dKPpbqv&amp;orderId=8122442099675167&amp;productId=33008007487 </t>
  </si>
  <si>
    <t>Tracking Comp</t>
  </si>
  <si>
    <t>https://parcelsapp.com/en/tracking/</t>
  </si>
  <si>
    <t>https://www.dhl.com/gr-en/home/tracking/tracking-parcel.html?tracking-id=</t>
  </si>
  <si>
    <t>https://www.comethellas.gr/track-n-trace/</t>
  </si>
  <si>
    <t>parcel_app</t>
  </si>
  <si>
    <t>DHL</t>
  </si>
  <si>
    <t>comet_hellas</t>
  </si>
  <si>
    <t>Shipping Companies:</t>
  </si>
  <si>
    <t>https://www.instructables.com/3D-Printer-Monitor-Wemos-D1-Mini-ESP8266/</t>
  </si>
  <si>
    <t>CQ612205935DE</t>
  </si>
  <si>
    <t>Elta</t>
  </si>
  <si>
    <t>https://www.elta.gr/el-gr/%CE%B5%CE%BD%CF%84%CE%BF%CF%80%CE%B9%CF%83%CE%BC%CF%8C%CF%82%CE%B1%CE%BD%CF%84%CE%B9%CE%BA%CE%B5%CE%B9%CE%BC%CE%AD%CE%BD%CE%BF%CF%85.aspx?qc=</t>
  </si>
  <si>
    <t>https://www.banggood.com/BMG-Extruder-Clone-Dual-Drive-Upgrade-Bowden-Extruder-Kit-For-1_75mm-Filament-3D-Printer-Parts-Ender-3-or-CR-10S-Pro-p-1433052.html?rmmds=myorder&amp;cur_warehouse=UK</t>
  </si>
  <si>
    <t>LT540992529NL</t>
  </si>
  <si>
    <t xml:space="preserve">BMG-Extruder Dual Gear </t>
  </si>
  <si>
    <t xml:space="preserve">https://www.aliexpress.com/item/4000176913597.html?spm=a2g0o.detail.1000060.2.24273f15lKXiQE&amp;gps-id=pcDetailBottomMoreThisSeller&amp;scm=1007.13339.169870.0&amp;scm_id=1007.13339.169870.0&amp;scm-url=1007.13339.169870.0&amp;pvid=2f80d80a-d9b6-402c-afed-708a1019e64b&amp;_t=gps-id:pcDetailBottomMoreThisSeller,scm-url:1007.13339.169870.0,pvid:2f80d80a-d9b6-402c-afed-708a1019e64b,tpp_buckets:668%230%23131923%2358_668%23888%233325%238_668%232846%238110%231995_668%232717%237563%23592_668%231000022185%231000066058%230_668%233468%2315612%23344 </t>
  </si>
  <si>
    <t>https://www.aliexpress.com/item/4000233682608.html?spm=a2g0o.productlist.0.0.3d81482alA3T9G&amp;algo_pvid=23dd9d38-db07-45cb-a318-2c8eec846f94&amp;algo_expid=23dd9d38-db07-45cb-a318-2c8eec846f94-8&amp;btsid=0bb0623f16133989525625050e0e39&amp;ws_ab_test=searchweb0_0,searchweb201602_,searchweb201603_</t>
  </si>
  <si>
    <t>3x12MM GCr15 Bearing steel roller pins</t>
  </si>
  <si>
    <t>5x70MM GCr15 Bearing steel roller pins</t>
  </si>
  <si>
    <t>100x</t>
  </si>
  <si>
    <t>Allen Key Head M3 Stainless Steel 304</t>
  </si>
  <si>
    <t>10x</t>
  </si>
  <si>
    <t>M3X40 screws</t>
  </si>
  <si>
    <t>https://www.aliexpress.com/item/1005001793138553.html?spm=a2g0s.9042311.0.0.5c8c4c4ddJHzCP</t>
  </si>
  <si>
    <t>https://www.aliexpress.com/item/4000020967604.html?spm=a2g0s.9042311.0.0.5c8c4c4ddJHzCP</t>
  </si>
  <si>
    <t>https://www.aliexpress.com/item/4000407114781.html?spm=a2g0o.productlist.0.0.48f53087IbKiI1&amp;algo_pvid=dc42cf36-e68d-4dec-8339-a920d152d9c4&amp;algo_expid=dc42cf36-e68d-4dec-8339-a920d152d9c4-1&amp;btsid=0b0a556516135040583727362ef8bc&amp;ws_ab_test=searchweb0_0,searchweb201602_,searchweb201603_</t>
  </si>
  <si>
    <t>needle roler HK0610 6x10x10</t>
  </si>
  <si>
    <t>Refunds</t>
  </si>
  <si>
    <t>HIDE</t>
  </si>
  <si>
    <t>SIMAX3D® Phase 42-23 RepRap 42mm Stepper Motor</t>
  </si>
  <si>
    <t>https://www.banggood.com/SIMAX3D-Phase-42-23-RepRap-42mm-Stepper-Motor-For-Ender-3-3D-Printer-p-1777182.html</t>
  </si>
  <si>
    <t>https://itemsearch.elta.gr/en-GB/Query/Direct/</t>
  </si>
  <si>
    <t>Elta_EN</t>
  </si>
  <si>
    <t>GT2 Pulley 20Teeth</t>
  </si>
  <si>
    <t>https://www.aliexpress.com/item/32936342596.html?spm=a2g0s.9042311.0.0.4f714c4dbKQJDx</t>
  </si>
  <si>
    <t>https://www.aliexpress.com/item/4001258499799.html?spm=a2g0s.9042311.0.0.4f714c4dbKQJDx</t>
  </si>
  <si>
    <t>M3x4 Insert</t>
  </si>
  <si>
    <t>m3x8mm</t>
  </si>
  <si>
    <t>m3x10mm</t>
  </si>
  <si>
    <t xml:space="preserve">https://www.aliexpress.com/item/4000896301219.html?spm=a2g0s.9042311.0.0.4f714c4dbKQJDx </t>
  </si>
  <si>
    <t>https://www.aliexpress.com/item/4000020967604.html?spm=a2g0s.9042311.0.0.4f714c4dbKQJDx</t>
  </si>
  <si>
    <t>S00000191715376</t>
  </si>
  <si>
    <t>S00000191901970</t>
  </si>
  <si>
    <t>S00000191806241</t>
  </si>
  <si>
    <t>UH129261711BE</t>
  </si>
  <si>
    <t>30x</t>
  </si>
  <si>
    <t>https://www.aliexpress.com/item/32971802190.html?spm=a2g0s.9042311.0.0.5ae14c4dBKW6g0</t>
  </si>
  <si>
    <t>https://www.aliexpress.com/item/32969712671.html?spm=a2g0s.9042311.0.0.5ae14c4dBKW6g0</t>
  </si>
  <si>
    <t>o-ring nitril rubber</t>
  </si>
  <si>
    <t>o-ring silicon rubber</t>
  </si>
  <si>
    <t>LT520710609NL</t>
  </si>
  <si>
    <t>S00000194640806</t>
  </si>
  <si>
    <t>https://www.aliexpress.com/item/4000896301219.html?spm=a2g0s.9042311.0.0.4f714c4dbKQJDx</t>
  </si>
  <si>
    <t>m3x12mm</t>
  </si>
  <si>
    <t>8mm with 3mm thread balls</t>
  </si>
  <si>
    <t>https://www.aliexpress.com/item/1005001786853369.html?spm=a2g0s.9042311.0.0.5d734c4dhQgcsP</t>
  </si>
  <si>
    <t>OMRON D2F-01L</t>
  </si>
  <si>
    <t>https://www.aliexpress.com/item/32863857019.html?spm=a2g0s.9042311.0.0.2dec4c4dB6kl2s</t>
  </si>
  <si>
    <t>https://www.aliexpress.com/item/32841732634.html</t>
  </si>
  <si>
    <t>setscrew</t>
  </si>
  <si>
    <t>rod 6mm</t>
  </si>
  <si>
    <t>https://www.aliexpress.com/item/32869278066.html?spm=a2g0s.9042311.0.0.27424c4dI7tZbv</t>
  </si>
  <si>
    <t>https://www.aliexpress.com/item/4000780324485.html?spm=a2g0s.9042311.0.0.24114c4dS0XOxU</t>
  </si>
  <si>
    <t xml:space="preserve"> M3 Square Nuts </t>
  </si>
  <si>
    <t>8mm with 3mm holes balls</t>
  </si>
  <si>
    <t>UH208204288BE</t>
  </si>
  <si>
    <t>LT521967274NL</t>
  </si>
  <si>
    <t>S00000195077298</t>
  </si>
  <si>
    <t>S00000195062461</t>
  </si>
  <si>
    <t>S00000194822701</t>
  </si>
  <si>
    <t>S00000194793788</t>
  </si>
  <si>
    <t xml:space="preserve">aliexpress.com/item/32971310418.html?spm=a2g0o.productlist.0.0.773960f6Zpx5wP&amp;algo_pvid=69b02624-c829-4751-a5c4-1d085d40e16f&amp;algo_expid=69b02624-c829-4751-a5c4-1d085d40e16f-3&amp;btsid=0bb0622e16146080180434337ee818&amp;ws_ab_test=searchweb0_0,searchweb201602_,searchweb201603_ </t>
  </si>
  <si>
    <t>m5 shim 0.2mm</t>
  </si>
  <si>
    <t>https://www.aliexpress.com/item/1005002135036001.html?spm=a2g0o.placeorder.0.0.3a21321eByYhDS&amp;mp=1</t>
  </si>
  <si>
    <t>m5 m5 200mm belt</t>
  </si>
  <si>
    <t>part</t>
  </si>
  <si>
    <t>use</t>
  </si>
  <si>
    <t>lock mechanism</t>
  </si>
  <si>
    <t>quantity</t>
  </si>
  <si>
    <t>needle roler m5</t>
  </si>
  <si>
    <t>https://www.bbman.com/belt-length-calculator/</t>
  </si>
  <si>
    <t>https://www.aliexpress.com/i/32945336230.html</t>
  </si>
  <si>
    <t>heater</t>
  </si>
  <si>
    <t>https://www.aliexpress.com/item/4000083251998.html?spm=a2g0o.detail.1000060.3.506e589d1fYif2&amp;gps-id=pcDetailBottomMoreThisSeller&amp;scm=1007.13339.169870.0&amp;scm_id=1007.13339.169870.0&amp;scm-url=1007.13339.169870.0&amp;pvid=a12f93c2-877c-44a0-8e34-5c0f0049eb1c&amp;_t=gps-id:pcDetailBottomMoreThisSeller,scm-url:1007.13339.169870.0,pvid:a12f93c2-877c-44a0-8e34-5c0f0049eb1c,tpp_buckets:668%230%23131923%2325_668%230%23131923%2325_668%23888%233325%238_668%23888%233325%238_668%232846%238110%231995_668%232717%237564%23696_668%231000022185%231000066058%230_668%233468%2315613%23482_668%232846%238110%231995_668%232717%237564%23696_668%233164%239976%23808_668%233468%2315613%23482</t>
  </si>
  <si>
    <t>retainer</t>
  </si>
  <si>
    <t>thrust bearings  F5-12M 5x12x4mm</t>
  </si>
  <si>
    <t>https://www.aliexpress.com/item/32997682731.html?spm=a2g0o.productlist.0.0.5b004a65V1gASL&amp;algo_pvid=f6282cc2-7015-40dc-b4fb-4253cecae879&amp;algo_expid=f6282cc2-7015-40dc-b4fb-4253cecae879-3&amp;btsid=0bb0624716147327089776878ea5e1&amp;ws_ab_test=searchweb0_0,searchweb201602_,searchweb201603_</t>
  </si>
  <si>
    <t xml:space="preserve">l shape </t>
  </si>
  <si>
    <t>e-clips</t>
  </si>
  <si>
    <t>https://www.aliexpress.com/item/1005001284978179.html?spm=a2g0o.detail.1000014.7.691321f9oGvHnl&amp;gps-id=pcDetailBottomMoreOtherSeller&amp;scm=1007.13338.192130.0&amp;scm_id=1007.13338.192130.0&amp;scm-url=1007.13338.192130.0&amp;pvid=e91e9230-645d-4c9d-9f35-549c28395bc3&amp;_t=gps-id:pcDetailBottomMoreOtherSeller,scm-url:1007.13338.192130.0,pvid:e91e9230-645d-4c9d-9f35-549c28395bc3,tpp_buckets:668%230%23131923%2312_668%23888%233325%238_3338%230%23192130%230_3338%233142%239890%2310_668%232846%238110%231995_668%232717%237564%23696_668%231000022185%231000066058%230_668%233422%2315392%23999</t>
  </si>
  <si>
    <t>riverts</t>
  </si>
  <si>
    <t>https://www.aliexpress.com/item/4000086730612.html?spm=a2g0s.9042311.0.0.41e94c4dYbAbG7</t>
  </si>
  <si>
    <t>RE176979639CN</t>
  </si>
  <si>
    <t>REL SPRINGS</t>
  </si>
  <si>
    <t>Wedge plates</t>
  </si>
  <si>
    <t>solder lugs</t>
  </si>
  <si>
    <t>Omron swiches</t>
  </si>
  <si>
    <t>LukesLaboratory</t>
  </si>
  <si>
    <t>n/a</t>
  </si>
  <si>
    <t>5mmx 400 stainless steel rod</t>
  </si>
  <si>
    <t>https://www.aliexpress.com/item/4000896301219.html?spm=a2g0s.9042311.0.0.27424c4daR4oi0</t>
  </si>
  <si>
    <t>https://www.aliexpress.com/item/4000186787300.html?spm=a2g0s.9042311.0.0.27424c4daR4oi0</t>
  </si>
  <si>
    <t>1X</t>
  </si>
  <si>
    <t>2X</t>
  </si>
  <si>
    <t>https://www.aliexpress.com/item/32952396111.html?spm=a2g0s.9042311.0.0.37dd4c4dpL1MTG</t>
  </si>
  <si>
    <t>https://www.aliexpress.com/item/33023133633.html?spm=a2g0s.9042311.0.0.37dd4c4dpL1MTG</t>
  </si>
  <si>
    <t>UH219419090BE</t>
  </si>
  <si>
    <t>S00000196713046</t>
  </si>
  <si>
    <t>S00000196103659</t>
  </si>
  <si>
    <t>S00000195773373</t>
  </si>
  <si>
    <t>Timing Belt Pulley GT2 60teeth 20teeth Reduction 3:1</t>
  </si>
  <si>
    <t>S00000196038567</t>
  </si>
  <si>
    <t>LT524042882NL</t>
  </si>
  <si>
    <t xml:space="preserve">needle roller bearing t HK050908 size 5x9x8, </t>
  </si>
  <si>
    <t>https://www.aliexpress.com/snapshot/0.html?spm=a2g0s.issue_f040t.0.0.5a8b4c4dnAspb0&amp;orderId=8122579926165167&amp;productId=4000389230884</t>
  </si>
  <si>
    <t xml:space="preserve"> https://www.aliexpress.com/item/32766184679.html?spm=a2g0s.12269583.0.0.41c34ed6IxZk84</t>
  </si>
  <si>
    <t xml:space="preserve"> M4*20 stainless steel 304 dowel</t>
  </si>
  <si>
    <t>https://www.trackmyshipment.co/shipment-tracking/</t>
  </si>
  <si>
    <t>tracmyshipment</t>
  </si>
  <si>
    <t>ESUS37771841</t>
  </si>
  <si>
    <t>https://www.prusaprinters.org/prints/6062-servo-automated-iris-aperture-for-air-flow-control#preview</t>
  </si>
  <si>
    <t>LT653030164NL</t>
  </si>
  <si>
    <t>S00000198633865</t>
  </si>
  <si>
    <t xml:space="preserve"> https://www.aliexpress.com/item/33002989677.html?spm=a2g0s.12269583.0.0.35d75b29o6ekNd</t>
  </si>
  <si>
    <t>https://www.aliexpress.com/item/1005001596813595.html?spm=a2g0o.detail.1000014.59.3955689aaXukMK&amp;gps-id=pcDetailBottomMoreOtherSeller&amp;scm=1007.14452.214000.0&amp;scm_id=1007.14452.214000.0&amp;scm-url=1007.14452.214000.0&amp;pvid=578d60e3-883d-4207-b9c4-f6579e9eefde&amp;_t=gps-id:pcDetailBottomMoreOtherSeller,scm-url:1007.14452.214000.0,pvid:578d60e3-883d-4207-b9c4-f6579e9eefde,tpp_buckets:668%230%23131923%234_668%23888%233325%238_4452%230%23214000%230_4452%233474%2315675%23291_4452%234862%2324463%23899_4452%233098%239599%23736_4452%235108%2323442%23869_4452%233564%2316062%2349_668%232846%238110%231995_668%232717%237564%23696_668%231000022185%231000066058%230_668%233422%2315392%23999_23416%230%23213724%230_23416%234721%2321967%23579_23416%234722%2321972%236&amp;fromDetail</t>
  </si>
  <si>
    <t>bides den ξερω που αλλα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</si>
</sst>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_-* #,##0.00\ &quot;€&quot;_-;\-* #,##0.00\ &quot;€&quot;_-;_-* &quot;-&quot;??\ &quot;€&quot;_-;_-@_-"/>
    <numFmt numFmtId="165" formatCode="#,##0.00\ &quot;€&quot;"/>
    <numFmt numFmtId="166" formatCode="\•\ #0\ \ "/>
    <numFmt numFmtId="167" formatCode="\•\ #"/>
    <numFmt numFmtId="168" formatCode="\•\ General"/>
    <numFmt numFmtId="169" formatCode="\•General"/>
    <numFmt numFmtId="170" formatCode="\ d\ mmmm\ yyyy"/>
    <numFmt numFmtId="171" formatCode="mmm"/>
    <numFmt numFmtId="172" formatCode="General\ &quot;Days&quot;"/>
    <numFmt numFmtId="173" formatCode="General\ &quot;days&quot;"/>
    <numFmt numFmtId="174" formatCode="#,##0.00\ &quot;Months&quot;"/>
    <numFmt numFmtId="175" formatCode="[$€-2]\ #,##0.00;[Red]\-[$€-2]\ #,##0.00"/>
    <numFmt numFmtId="176" formatCode="General\ &quot;mm&quot;"/>
    <numFmt numFmtId="177" formatCode="\p\a\r\ce\l\ \a\p\p"/>
    <numFmt numFmtId="178" formatCode="\p\a\r\cyy\l\ \a\p\p"/>
    <numFmt numFmtId="179" formatCode="h:mm;@"/>
    <numFmt numFmtId="180" formatCode="_-* #,##0.00\ [$€-408]_-;\-* #,##0.00\ [$€-408]_-;_-* &quot;-&quot;??\ [$€-408]_-;_-@_-"/>
  </numFmts>
  <fonts count="29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Arial"/>
      <family val="2"/>
    </font>
    <font>
      <b/>
      <sz val="16"/>
      <color theme="0"/>
      <name val="Calibri"/>
      <family val="2"/>
      <scheme val="minor"/>
    </font>
    <font>
      <sz val="16"/>
      <color rgb="FF1E1E1E"/>
      <name val="Helvetica Neue"/>
      <family val="2"/>
    </font>
    <font>
      <sz val="12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24"/>
      <color rgb="FF333333"/>
      <name val="Arial"/>
      <family val="2"/>
    </font>
    <font>
      <sz val="14"/>
      <color rgb="FF262626"/>
      <name val="OpenSans"/>
    </font>
    <font>
      <sz val="12"/>
      <color rgb="FF999999"/>
      <name val="Arial"/>
      <family val="2"/>
    </font>
    <font>
      <sz val="12"/>
      <name val="Calibri"/>
      <family val="2"/>
      <scheme val="minor"/>
    </font>
    <font>
      <sz val="12"/>
      <color theme="1"/>
      <name val="Calibri (Body)"/>
    </font>
    <font>
      <sz val="14"/>
      <name val="Helvetica"/>
      <family val="2"/>
    </font>
    <font>
      <sz val="12"/>
      <color theme="0"/>
      <name val="Calibri (Body)"/>
    </font>
    <font>
      <sz val="12"/>
      <color rgb="FFC50411"/>
      <name val="Calibri"/>
      <family val="2"/>
      <scheme val="minor"/>
    </font>
    <font>
      <sz val="12"/>
      <color theme="4" tint="0.39997558519241921"/>
      <name val="Calibri"/>
      <family val="2"/>
      <scheme val="minor"/>
    </font>
    <font>
      <b/>
      <sz val="12"/>
      <color theme="4" tint="0.3999755851924192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4C303"/>
        <bgColor indexed="64"/>
      </patternFill>
    </fill>
    <fill>
      <patternFill patternType="solid">
        <fgColor rgb="FF3B87B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164" fontId="7" fillId="0" borderId="0" applyFont="0" applyFill="0" applyBorder="0" applyAlignment="0" applyProtection="0"/>
  </cellStyleXfs>
  <cellXfs count="299">
    <xf numFmtId="0" fontId="0" fillId="0" borderId="0" xfId="0"/>
    <xf numFmtId="165" fontId="0" fillId="0" borderId="0" xfId="0" applyNumberFormat="1"/>
    <xf numFmtId="0" fontId="6" fillId="0" borderId="0" xfId="1"/>
    <xf numFmtId="0" fontId="5" fillId="8" borderId="1" xfId="0" applyFont="1" applyFill="1" applyBorder="1"/>
    <xf numFmtId="165" fontId="0" fillId="0" borderId="1" xfId="0" applyNumberFormat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0" borderId="0" xfId="0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169" fontId="0" fillId="0" borderId="1" xfId="0" applyNumberFormat="1" applyBorder="1"/>
    <xf numFmtId="169" fontId="0" fillId="0" borderId="0" xfId="0" applyNumberFormat="1"/>
    <xf numFmtId="164" fontId="0" fillId="0" borderId="0" xfId="2" applyFont="1"/>
    <xf numFmtId="164" fontId="0" fillId="0" borderId="1" xfId="2" applyFont="1" applyBorder="1" applyAlignment="1">
      <alignment horizontal="center" vertical="center"/>
    </xf>
    <xf numFmtId="0" fontId="0" fillId="0" borderId="0" xfId="0" applyFill="1" applyBorder="1"/>
    <xf numFmtId="165" fontId="0" fillId="0" borderId="0" xfId="0" applyNumberFormat="1" applyFill="1" applyBorder="1"/>
    <xf numFmtId="0" fontId="5" fillId="0" borderId="0" xfId="0" applyFont="1" applyFill="1" applyBorder="1"/>
    <xf numFmtId="168" fontId="0" fillId="0" borderId="0" xfId="0" applyNumberFormat="1" applyFill="1" applyBorder="1"/>
    <xf numFmtId="165" fontId="0" fillId="0" borderId="0" xfId="0" applyNumberFormat="1" applyFill="1" applyBorder="1" applyAlignment="1">
      <alignment horizontal="center"/>
    </xf>
    <xf numFmtId="14" fontId="0" fillId="0" borderId="0" xfId="0" applyNumberFormat="1"/>
    <xf numFmtId="15" fontId="0" fillId="0" borderId="0" xfId="0" applyNumberFormat="1"/>
    <xf numFmtId="171" fontId="0" fillId="0" borderId="0" xfId="0" applyNumberFormat="1"/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1" fontId="5" fillId="14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174" fontId="0" fillId="0" borderId="0" xfId="0" applyNumberFormat="1"/>
    <xf numFmtId="0" fontId="0" fillId="0" borderId="1" xfId="0" applyBorder="1"/>
    <xf numFmtId="170" fontId="0" fillId="0" borderId="1" xfId="0" applyNumberFormat="1" applyBorder="1"/>
    <xf numFmtId="0" fontId="6" fillId="0" borderId="1" xfId="1" applyBorder="1"/>
    <xf numFmtId="0" fontId="0" fillId="0" borderId="1" xfId="0" applyFill="1" applyBorder="1"/>
    <xf numFmtId="164" fontId="5" fillId="6" borderId="1" xfId="2" applyFont="1" applyFill="1" applyBorder="1" applyAlignment="1">
      <alignment horizontal="center" vertical="center"/>
    </xf>
    <xf numFmtId="164" fontId="0" fillId="0" borderId="0" xfId="0" applyNumberFormat="1"/>
    <xf numFmtId="0" fontId="14" fillId="21" borderId="1" xfId="0" applyFont="1" applyFill="1" applyBorder="1"/>
    <xf numFmtId="0" fontId="15" fillId="22" borderId="3" xfId="0" applyFont="1" applyFill="1" applyBorder="1"/>
    <xf numFmtId="0" fontId="15" fillId="23" borderId="3" xfId="0" applyFont="1" applyFill="1" applyBorder="1"/>
    <xf numFmtId="0" fontId="15" fillId="25" borderId="3" xfId="0" applyFont="1" applyFill="1" applyBorder="1"/>
    <xf numFmtId="0" fontId="15" fillId="24" borderId="1" xfId="0" applyFont="1" applyFill="1" applyBorder="1"/>
    <xf numFmtId="164" fontId="0" fillId="0" borderId="1" xfId="0" applyNumberFormat="1" applyBorder="1"/>
    <xf numFmtId="0" fontId="16" fillId="0" borderId="0" xfId="0" applyFont="1"/>
    <xf numFmtId="0" fontId="17" fillId="0" borderId="0" xfId="0" applyFont="1"/>
    <xf numFmtId="171" fontId="5" fillId="0" borderId="0" xfId="0" applyNumberFormat="1" applyFont="1" applyFill="1" applyBorder="1" applyAlignment="1">
      <alignment horizontal="left" vertical="center"/>
    </xf>
    <xf numFmtId="164" fontId="0" fillId="0" borderId="0" xfId="2" applyFont="1" applyFill="1" applyBorder="1" applyAlignment="1">
      <alignment horizontal="center" vertical="center"/>
    </xf>
    <xf numFmtId="165" fontId="0" fillId="0" borderId="1" xfId="2" applyNumberFormat="1" applyFont="1" applyBorder="1" applyAlignment="1">
      <alignment horizontal="center" vertical="center"/>
    </xf>
    <xf numFmtId="165" fontId="0" fillId="0" borderId="0" xfId="2" applyNumberFormat="1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5" fillId="14" borderId="4" xfId="0" applyFont="1" applyFill="1" applyBorder="1"/>
    <xf numFmtId="0" fontId="0" fillId="0" borderId="6" xfId="0" applyBorder="1"/>
    <xf numFmtId="0" fontId="15" fillId="30" borderId="3" xfId="0" applyFont="1" applyFill="1" applyBorder="1"/>
    <xf numFmtId="176" fontId="0" fillId="0" borderId="0" xfId="0" applyNumberFormat="1"/>
    <xf numFmtId="175" fontId="0" fillId="0" borderId="1" xfId="0" applyNumberFormat="1" applyBorder="1"/>
    <xf numFmtId="164" fontId="0" fillId="0" borderId="1" xfId="0" applyNumberFormat="1" applyFont="1" applyBorder="1"/>
    <xf numFmtId="0" fontId="0" fillId="8" borderId="1" xfId="0" applyFill="1" applyBorder="1"/>
    <xf numFmtId="0" fontId="0" fillId="28" borderId="1" xfId="0" applyFill="1" applyBorder="1"/>
    <xf numFmtId="0" fontId="0" fillId="17" borderId="1" xfId="0" applyFill="1" applyBorder="1"/>
    <xf numFmtId="0" fontId="0" fillId="0" borderId="8" xfId="0" applyFill="1" applyBorder="1"/>
    <xf numFmtId="165" fontId="0" fillId="0" borderId="8" xfId="0" applyNumberFormat="1" applyFill="1" applyBorder="1"/>
    <xf numFmtId="0" fontId="0" fillId="0" borderId="8" xfId="0" applyFill="1" applyBorder="1" applyAlignment="1">
      <alignment horizontal="center" vertical="center"/>
    </xf>
    <xf numFmtId="165" fontId="0" fillId="0" borderId="1" xfId="0" applyNumberFormat="1" applyFill="1" applyBorder="1"/>
    <xf numFmtId="0" fontId="18" fillId="0" borderId="0" xfId="0" applyFont="1"/>
    <xf numFmtId="20" fontId="0" fillId="0" borderId="1" xfId="0" applyNumberFormat="1" applyBorder="1"/>
    <xf numFmtId="0" fontId="0" fillId="0" borderId="0" xfId="0" applyBorder="1"/>
    <xf numFmtId="0" fontId="0" fillId="16" borderId="1" xfId="0" applyFill="1" applyBorder="1"/>
    <xf numFmtId="166" fontId="0" fillId="0" borderId="0" xfId="0" applyNumberFormat="1" applyBorder="1" applyAlignment="1">
      <alignment horizontal="center"/>
    </xf>
    <xf numFmtId="166" fontId="0" fillId="0" borderId="0" xfId="0" applyNumberFormat="1"/>
    <xf numFmtId="16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26" borderId="1" xfId="0" applyFont="1" applyFill="1" applyBorder="1" applyAlignment="1">
      <alignment horizontal="center" vertical="center"/>
    </xf>
    <xf numFmtId="0" fontId="0" fillId="18" borderId="1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12" xfId="0" applyNumberFormat="1" applyBorder="1"/>
    <xf numFmtId="0" fontId="0" fillId="0" borderId="6" xfId="0" applyFill="1" applyBorder="1" applyAlignment="1">
      <alignment horizontal="center" vertical="center"/>
    </xf>
    <xf numFmtId="174" fontId="0" fillId="0" borderId="12" xfId="0" applyNumberFormat="1" applyBorder="1" applyAlignment="1">
      <alignment horizontal="right" vertical="center"/>
    </xf>
    <xf numFmtId="164" fontId="0" fillId="0" borderId="12" xfId="0" applyNumberFormat="1" applyBorder="1" applyAlignment="1">
      <alignment horizontal="right" vertical="center"/>
    </xf>
    <xf numFmtId="0" fontId="0" fillId="0" borderId="13" xfId="0" applyBorder="1"/>
    <xf numFmtId="164" fontId="0" fillId="0" borderId="14" xfId="0" applyNumberFormat="1" applyBorder="1" applyAlignment="1">
      <alignment horizontal="right" vertical="center"/>
    </xf>
    <xf numFmtId="0" fontId="5" fillId="28" borderId="1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/>
    </xf>
    <xf numFmtId="0" fontId="2" fillId="0" borderId="0" xfId="0" applyFont="1"/>
    <xf numFmtId="0" fontId="0" fillId="0" borderId="4" xfId="0" applyBorder="1"/>
    <xf numFmtId="0" fontId="0" fillId="0" borderId="4" xfId="0" applyFill="1" applyBorder="1"/>
    <xf numFmtId="170" fontId="0" fillId="0" borderId="4" xfId="0" applyNumberFormat="1" applyBorder="1"/>
    <xf numFmtId="20" fontId="0" fillId="0" borderId="4" xfId="0" applyNumberFormat="1" applyBorder="1"/>
    <xf numFmtId="0" fontId="6" fillId="0" borderId="4" xfId="1" applyBorder="1"/>
    <xf numFmtId="0" fontId="10" fillId="4" borderId="10" xfId="0" applyFont="1" applyFill="1" applyBorder="1" applyAlignment="1">
      <alignment horizontal="center" vertical="center"/>
    </xf>
    <xf numFmtId="0" fontId="13" fillId="26" borderId="13" xfId="0" applyFont="1" applyFill="1" applyBorder="1" applyAlignment="1">
      <alignment horizontal="center" vertical="center"/>
    </xf>
    <xf numFmtId="9" fontId="0" fillId="0" borderId="14" xfId="0" applyNumberFormat="1" applyFont="1" applyBorder="1" applyAlignment="1">
      <alignment horizontal="right" vertical="center"/>
    </xf>
    <xf numFmtId="0" fontId="0" fillId="0" borderId="15" xfId="0" applyBorder="1" applyAlignment="1">
      <alignment horizontal="center" vertical="center"/>
    </xf>
    <xf numFmtId="14" fontId="0" fillId="0" borderId="16" xfId="0" applyNumberFormat="1" applyBorder="1"/>
    <xf numFmtId="0" fontId="0" fillId="0" borderId="15" xfId="0" applyFill="1" applyBorder="1" applyAlignment="1">
      <alignment horizontal="center" vertical="center"/>
    </xf>
    <xf numFmtId="164" fontId="0" fillId="0" borderId="16" xfId="2" applyFont="1" applyBorder="1" applyAlignment="1">
      <alignment horizontal="right"/>
    </xf>
    <xf numFmtId="0" fontId="0" fillId="0" borderId="15" xfId="0" applyBorder="1"/>
    <xf numFmtId="164" fontId="0" fillId="0" borderId="16" xfId="0" applyNumberFormat="1" applyBorder="1" applyAlignment="1">
      <alignment horizontal="right"/>
    </xf>
    <xf numFmtId="0" fontId="0" fillId="0" borderId="17" xfId="0" applyBorder="1" applyAlignment="1">
      <alignment horizontal="center" vertical="center"/>
    </xf>
    <xf numFmtId="172" fontId="0" fillId="0" borderId="18" xfId="0" applyNumberFormat="1" applyBorder="1"/>
    <xf numFmtId="0" fontId="0" fillId="0" borderId="17" xfId="0" applyFill="1" applyBorder="1" applyAlignment="1">
      <alignment horizontal="center" vertical="center"/>
    </xf>
    <xf numFmtId="164" fontId="0" fillId="0" borderId="18" xfId="2" applyFont="1" applyBorder="1" applyAlignment="1">
      <alignment horizontal="right"/>
    </xf>
    <xf numFmtId="0" fontId="0" fillId="0" borderId="17" xfId="0" applyBorder="1"/>
    <xf numFmtId="164" fontId="0" fillId="0" borderId="18" xfId="0" applyNumberFormat="1" applyBorder="1" applyAlignment="1">
      <alignment horizontal="right" vertical="center"/>
    </xf>
    <xf numFmtId="0" fontId="0" fillId="14" borderId="19" xfId="0" applyFill="1" applyBorder="1"/>
    <xf numFmtId="14" fontId="0" fillId="14" borderId="20" xfId="0" applyNumberFormat="1" applyFill="1" applyBorder="1"/>
    <xf numFmtId="0" fontId="0" fillId="0" borderId="0" xfId="0" applyProtection="1"/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</xf>
    <xf numFmtId="0" fontId="12" fillId="27" borderId="1" xfId="0" applyFont="1" applyFill="1" applyBorder="1" applyAlignment="1" applyProtection="1">
      <alignment horizontal="center" vertical="center"/>
    </xf>
    <xf numFmtId="0" fontId="5" fillId="7" borderId="1" xfId="0" applyFont="1" applyFill="1" applyBorder="1" applyAlignment="1" applyProtection="1">
      <alignment horizontal="center" vertical="center"/>
    </xf>
    <xf numFmtId="0" fontId="0" fillId="0" borderId="0" xfId="0" applyFill="1" applyProtection="1"/>
    <xf numFmtId="0" fontId="0" fillId="0" borderId="0" xfId="0" applyAlignment="1" applyProtection="1">
      <alignment horizontal="center" vertical="center"/>
    </xf>
    <xf numFmtId="0" fontId="5" fillId="17" borderId="1" xfId="0" applyFont="1" applyFill="1" applyBorder="1" applyAlignment="1" applyProtection="1">
      <alignment horizontal="center" vertical="center"/>
    </xf>
    <xf numFmtId="20" fontId="3" fillId="0" borderId="1" xfId="0" applyNumberFormat="1" applyFont="1" applyBorder="1" applyAlignment="1" applyProtection="1">
      <alignment horizontal="center" vertical="center"/>
    </xf>
    <xf numFmtId="0" fontId="6" fillId="0" borderId="1" xfId="1" applyBorder="1" applyProtection="1"/>
    <xf numFmtId="20" fontId="9" fillId="0" borderId="1" xfId="0" applyNumberFormat="1" applyFont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5" fillId="19" borderId="10" xfId="0" applyFont="1" applyFill="1" applyBorder="1" applyAlignment="1">
      <alignment horizontal="center" vertical="center"/>
    </xf>
    <xf numFmtId="10" fontId="5" fillId="0" borderId="11" xfId="0" applyNumberFormat="1" applyFont="1" applyFill="1" applyBorder="1"/>
    <xf numFmtId="0" fontId="5" fillId="31" borderId="6" xfId="0" applyFont="1" applyFill="1" applyBorder="1"/>
    <xf numFmtId="168" fontId="5" fillId="0" borderId="12" xfId="0" applyNumberFormat="1" applyFont="1" applyBorder="1" applyAlignment="1">
      <alignment horizontal="center" vertical="center"/>
    </xf>
    <xf numFmtId="0" fontId="1" fillId="12" borderId="6" xfId="0" applyFont="1" applyFill="1" applyBorder="1" applyAlignment="1">
      <alignment horizontal="center"/>
    </xf>
    <xf numFmtId="167" fontId="0" fillId="0" borderId="12" xfId="0" applyNumberFormat="1" applyBorder="1" applyAlignment="1">
      <alignment horizontal="center" vertical="center"/>
    </xf>
    <xf numFmtId="0" fontId="1" fillId="13" borderId="13" xfId="0" applyFont="1" applyFill="1" applyBorder="1" applyAlignment="1">
      <alignment horizontal="center"/>
    </xf>
    <xf numFmtId="167" fontId="0" fillId="0" borderId="14" xfId="0" applyNumberForma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72" fontId="0" fillId="0" borderId="11" xfId="0" applyNumberFormat="1" applyFont="1" applyFill="1" applyBorder="1" applyAlignment="1">
      <alignment horizontal="right"/>
    </xf>
    <xf numFmtId="0" fontId="0" fillId="14" borderId="6" xfId="0" applyFill="1" applyBorder="1"/>
    <xf numFmtId="168" fontId="0" fillId="0" borderId="12" xfId="0" applyNumberFormat="1" applyBorder="1"/>
    <xf numFmtId="0" fontId="2" fillId="3" borderId="6" xfId="0" applyFont="1" applyFill="1" applyBorder="1" applyAlignment="1">
      <alignment horizontal="center" vertical="center"/>
    </xf>
    <xf numFmtId="172" fontId="0" fillId="0" borderId="12" xfId="0" applyNumberFormat="1" applyFont="1" applyFill="1" applyBorder="1" applyAlignment="1">
      <alignment horizontal="right"/>
    </xf>
    <xf numFmtId="168" fontId="0" fillId="0" borderId="14" xfId="0" applyNumberFormat="1" applyFill="1" applyBorder="1"/>
    <xf numFmtId="173" fontId="19" fillId="0" borderId="1" xfId="0" applyNumberFormat="1" applyFont="1" applyBorder="1" applyAlignment="1" applyProtection="1">
      <alignment horizontal="center" vertical="center"/>
    </xf>
    <xf numFmtId="0" fontId="5" fillId="10" borderId="1" xfId="0" applyFont="1" applyFill="1" applyBorder="1" applyAlignment="1" applyProtection="1">
      <alignment horizontal="center" vertical="center"/>
    </xf>
    <xf numFmtId="0" fontId="0" fillId="14" borderId="22" xfId="0" applyFill="1" applyBorder="1"/>
    <xf numFmtId="14" fontId="0" fillId="14" borderId="23" xfId="0" applyNumberFormat="1" applyFill="1" applyBorder="1"/>
    <xf numFmtId="164" fontId="0" fillId="0" borderId="12" xfId="0" applyNumberFormat="1" applyBorder="1"/>
    <xf numFmtId="0" fontId="2" fillId="32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14" fontId="0" fillId="7" borderId="19" xfId="0" applyNumberFormat="1" applyFill="1" applyBorder="1" applyAlignment="1">
      <alignment horizontal="center" vertical="center"/>
    </xf>
    <xf numFmtId="168" fontId="0" fillId="0" borderId="20" xfId="0" applyNumberFormat="1" applyFill="1" applyBorder="1" applyAlignment="1">
      <alignment horizontal="right" vertical="center"/>
    </xf>
    <xf numFmtId="0" fontId="0" fillId="0" borderId="10" xfId="0" applyBorder="1" applyAlignment="1">
      <alignment horizontal="center"/>
    </xf>
    <xf numFmtId="164" fontId="0" fillId="0" borderId="11" xfId="0" applyNumberFormat="1" applyBorder="1" applyAlignment="1"/>
    <xf numFmtId="10" fontId="0" fillId="0" borderId="14" xfId="0" applyNumberFormat="1" applyBorder="1"/>
    <xf numFmtId="0" fontId="0" fillId="0" borderId="13" xfId="0" applyBorder="1" applyAlignment="1">
      <alignment horizontal="center" vertical="center"/>
    </xf>
    <xf numFmtId="0" fontId="6" fillId="0" borderId="0" xfId="1" applyBorder="1"/>
    <xf numFmtId="165" fontId="0" fillId="0" borderId="0" xfId="0" applyNumberFormat="1" applyBorder="1"/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 applyProtection="1">
      <alignment horizontal="center"/>
    </xf>
    <xf numFmtId="173" fontId="5" fillId="0" borderId="0" xfId="0" applyNumberFormat="1" applyFont="1" applyFill="1" applyBorder="1" applyAlignment="1" applyProtection="1">
      <alignment horizontal="center"/>
    </xf>
    <xf numFmtId="165" fontId="0" fillId="0" borderId="1" xfId="0" applyNumberFormat="1" applyFill="1" applyBorder="1" applyProtection="1"/>
    <xf numFmtId="164" fontId="13" fillId="0" borderId="11" xfId="0" applyNumberFormat="1" applyFont="1" applyBorder="1" applyAlignment="1">
      <alignment horizontal="right"/>
    </xf>
    <xf numFmtId="0" fontId="0" fillId="18" borderId="13" xfId="0" applyFill="1" applyBorder="1" applyAlignment="1">
      <alignment horizontal="center" vertical="center"/>
    </xf>
    <xf numFmtId="170" fontId="0" fillId="0" borderId="20" xfId="0" applyNumberFormat="1" applyFill="1" applyBorder="1"/>
    <xf numFmtId="0" fontId="5" fillId="31" borderId="19" xfId="0" applyFont="1" applyFill="1" applyBorder="1" applyAlignment="1">
      <alignment horizontal="center" vertical="center"/>
    </xf>
    <xf numFmtId="0" fontId="0" fillId="0" borderId="0" xfId="0" applyAlignment="1" applyProtection="1">
      <alignment vertical="center"/>
    </xf>
    <xf numFmtId="14" fontId="0" fillId="0" borderId="0" xfId="0" applyNumberFormat="1" applyFill="1" applyAlignment="1" applyProtection="1">
      <alignment vertical="center"/>
    </xf>
    <xf numFmtId="14" fontId="11" fillId="0" borderId="0" xfId="0" applyNumberFormat="1" applyFont="1" applyAlignment="1" applyProtection="1">
      <alignment vertical="center"/>
    </xf>
    <xf numFmtId="0" fontId="0" fillId="0" borderId="0" xfId="0" applyAlignment="1">
      <alignment vertical="center"/>
    </xf>
    <xf numFmtId="0" fontId="1" fillId="9" borderId="1" xfId="0" applyFont="1" applyFill="1" applyBorder="1" applyAlignment="1" applyProtection="1">
      <alignment vertical="center"/>
    </xf>
    <xf numFmtId="0" fontId="5" fillId="10" borderId="1" xfId="0" applyFont="1" applyFill="1" applyBorder="1" applyAlignment="1" applyProtection="1">
      <alignment vertical="center"/>
    </xf>
    <xf numFmtId="0" fontId="5" fillId="7" borderId="1" xfId="0" applyFont="1" applyFill="1" applyBorder="1" applyAlignment="1" applyProtection="1">
      <alignment vertical="center"/>
    </xf>
    <xf numFmtId="0" fontId="5" fillId="6" borderId="1" xfId="0" applyFont="1" applyFill="1" applyBorder="1" applyAlignment="1" applyProtection="1">
      <alignment vertical="center"/>
    </xf>
    <xf numFmtId="0" fontId="5" fillId="8" borderId="1" xfId="0" applyFont="1" applyFill="1" applyBorder="1" applyAlignment="1" applyProtection="1">
      <alignment vertical="center"/>
    </xf>
    <xf numFmtId="0" fontId="5" fillId="11" borderId="1" xfId="0" applyFont="1" applyFill="1" applyBorder="1" applyAlignment="1" applyProtection="1">
      <alignment vertical="center"/>
    </xf>
    <xf numFmtId="0" fontId="5" fillId="8" borderId="2" xfId="0" applyFont="1" applyFill="1" applyBorder="1" applyAlignment="1" applyProtection="1">
      <alignment vertical="center"/>
    </xf>
    <xf numFmtId="0" fontId="0" fillId="0" borderId="1" xfId="0" applyBorder="1" applyAlignment="1" applyProtection="1">
      <alignment vertical="center"/>
    </xf>
    <xf numFmtId="170" fontId="0" fillId="0" borderId="1" xfId="0" applyNumberFormat="1" applyBorder="1" applyAlignment="1" applyProtection="1">
      <alignment vertical="center"/>
    </xf>
    <xf numFmtId="0" fontId="6" fillId="0" borderId="1" xfId="1" applyBorder="1" applyAlignment="1" applyProtection="1">
      <alignment vertical="center"/>
    </xf>
    <xf numFmtId="0" fontId="5" fillId="0" borderId="1" xfId="0" applyFont="1" applyBorder="1" applyAlignment="1" applyProtection="1">
      <alignment horizontal="center" vertical="center"/>
    </xf>
    <xf numFmtId="173" fontId="5" fillId="0" borderId="1" xfId="0" applyNumberFormat="1" applyFont="1" applyFill="1" applyBorder="1" applyAlignment="1" applyProtection="1">
      <alignment horizontal="center" vertical="center"/>
    </xf>
    <xf numFmtId="170" fontId="0" fillId="0" borderId="1" xfId="0" applyNumberFormat="1" applyFont="1" applyBorder="1" applyAlignment="1" applyProtection="1">
      <alignment horizontal="center" vertical="center"/>
    </xf>
    <xf numFmtId="166" fontId="0" fillId="0" borderId="1" xfId="0" applyNumberFormat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vertical="center"/>
    </xf>
    <xf numFmtId="0" fontId="6" fillId="0" borderId="1" xfId="1" applyFill="1" applyBorder="1" applyAlignment="1" applyProtection="1">
      <alignment vertical="center"/>
    </xf>
    <xf numFmtId="0" fontId="8" fillId="0" borderId="1" xfId="0" applyFont="1" applyBorder="1" applyAlignment="1" applyProtection="1">
      <alignment vertical="center"/>
    </xf>
    <xf numFmtId="14" fontId="0" fillId="0" borderId="1" xfId="0" applyNumberFormat="1" applyFill="1" applyBorder="1" applyAlignment="1" applyProtection="1">
      <alignment vertical="center"/>
    </xf>
    <xf numFmtId="0" fontId="0" fillId="0" borderId="3" xfId="0" applyBorder="1" applyAlignment="1" applyProtection="1">
      <alignment vertical="center"/>
    </xf>
    <xf numFmtId="0" fontId="6" fillId="0" borderId="21" xfId="1" applyBorder="1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1" fillId="33" borderId="1" xfId="0" applyFont="1" applyFill="1" applyBorder="1" applyAlignment="1" applyProtection="1">
      <alignment horizontal="center" vertical="center"/>
    </xf>
    <xf numFmtId="0" fontId="21" fillId="0" borderId="3" xfId="0" applyFont="1" applyBorder="1" applyAlignment="1" applyProtection="1">
      <alignment horizontal="center" vertical="center"/>
    </xf>
    <xf numFmtId="0" fontId="19" fillId="0" borderId="3" xfId="1" applyFont="1" applyBorder="1" applyAlignment="1" applyProtection="1">
      <alignment horizontal="center" vertical="center"/>
    </xf>
    <xf numFmtId="0" fontId="19" fillId="0" borderId="3" xfId="1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9" fillId="0" borderId="1" xfId="0" applyFont="1" applyBorder="1" applyAlignment="1" applyProtection="1">
      <alignment horizontal="center" vertical="center"/>
    </xf>
    <xf numFmtId="0" fontId="19" fillId="0" borderId="1" xfId="1" applyFont="1" applyFill="1" applyBorder="1" applyAlignment="1" applyProtection="1">
      <alignment horizontal="center" vertical="center"/>
    </xf>
    <xf numFmtId="0" fontId="19" fillId="0" borderId="1" xfId="1" applyFont="1" applyBorder="1" applyAlignment="1">
      <alignment horizontal="center" vertical="center"/>
    </xf>
    <xf numFmtId="0" fontId="5" fillId="16" borderId="1" xfId="0" applyFont="1" applyFill="1" applyBorder="1" applyAlignment="1" applyProtection="1">
      <alignment horizontal="center" vertical="center"/>
    </xf>
    <xf numFmtId="0" fontId="0" fillId="29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0" fontId="0" fillId="0" borderId="4" xfId="0" applyNumberFormat="1" applyBorder="1" applyAlignment="1" applyProtection="1">
      <alignment vertical="center"/>
    </xf>
    <xf numFmtId="0" fontId="19" fillId="0" borderId="1" xfId="1" applyFont="1" applyBorder="1" applyAlignment="1" applyProtection="1">
      <alignment horizontal="center" vertical="center"/>
    </xf>
    <xf numFmtId="0" fontId="2" fillId="34" borderId="1" xfId="0" applyFont="1" applyFill="1" applyBorder="1" applyAlignment="1">
      <alignment horizontal="center" vertical="center"/>
    </xf>
    <xf numFmtId="173" fontId="23" fillId="35" borderId="1" xfId="1" applyNumberFormat="1" applyFont="1" applyFill="1" applyBorder="1" applyAlignment="1">
      <alignment horizontal="center" vertical="center"/>
    </xf>
    <xf numFmtId="177" fontId="22" fillId="36" borderId="1" xfId="1" applyNumberFormat="1" applyFont="1" applyFill="1" applyBorder="1" applyAlignment="1">
      <alignment horizontal="center" vertical="center"/>
    </xf>
    <xf numFmtId="0" fontId="6" fillId="0" borderId="0" xfId="1" applyFill="1" applyBorder="1"/>
    <xf numFmtId="177" fontId="22" fillId="37" borderId="1" xfId="1" applyNumberFormat="1" applyFont="1" applyFill="1" applyBorder="1" applyAlignment="1">
      <alignment horizontal="center" vertical="center"/>
    </xf>
    <xf numFmtId="0" fontId="25" fillId="38" borderId="1" xfId="0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5" fillId="0" borderId="11" xfId="0" applyNumberFormat="1" applyFont="1" applyBorder="1" applyAlignment="1">
      <alignment horizontal="center" vertical="center"/>
    </xf>
    <xf numFmtId="165" fontId="0" fillId="0" borderId="1" xfId="2" applyNumberFormat="1" applyFont="1" applyFill="1" applyBorder="1" applyAlignment="1">
      <alignment horizontal="center" vertical="center"/>
    </xf>
    <xf numFmtId="170" fontId="0" fillId="0" borderId="0" xfId="0" applyNumberFormat="1" applyAlignment="1" applyProtection="1">
      <alignment vertical="center"/>
    </xf>
    <xf numFmtId="170" fontId="0" fillId="0" borderId="0" xfId="0" applyNumberFormat="1" applyProtection="1"/>
    <xf numFmtId="0" fontId="26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179" fontId="9" fillId="0" borderId="1" xfId="0" applyNumberFormat="1" applyFont="1" applyBorder="1" applyAlignment="1" applyProtection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0" fillId="0" borderId="4" xfId="0" applyBorder="1" applyAlignment="1" applyProtection="1">
      <alignment horizontal="center" vertical="center"/>
    </xf>
    <xf numFmtId="177" fontId="24" fillId="38" borderId="4" xfId="1" applyNumberFormat="1" applyFont="1" applyFill="1" applyBorder="1" applyAlignment="1">
      <alignment horizontal="center" vertical="center"/>
    </xf>
    <xf numFmtId="177" fontId="24" fillId="38" borderId="9" xfId="1" applyNumberFormat="1" applyFont="1" applyFill="1" applyBorder="1" applyAlignment="1">
      <alignment horizontal="center" vertical="center"/>
    </xf>
    <xf numFmtId="0" fontId="28" fillId="0" borderId="1" xfId="0" applyFont="1" applyBorder="1" applyAlignment="1">
      <alignment vertical="center" wrapText="1"/>
    </xf>
    <xf numFmtId="0" fontId="0" fillId="0" borderId="4" xfId="0" applyFill="1" applyBorder="1" applyAlignment="1" applyProtection="1">
      <alignment vertical="center"/>
    </xf>
    <xf numFmtId="0" fontId="2" fillId="2" borderId="4" xfId="0" applyFont="1" applyFill="1" applyBorder="1" applyAlignment="1" applyProtection="1">
      <alignment horizontal="center" vertical="center"/>
    </xf>
    <xf numFmtId="0" fontId="6" fillId="0" borderId="4" xfId="1" applyFill="1" applyBorder="1" applyAlignment="1" applyProtection="1">
      <alignment vertical="center"/>
    </xf>
    <xf numFmtId="0" fontId="7" fillId="0" borderId="1" xfId="1" applyFont="1" applyFill="1" applyBorder="1"/>
    <xf numFmtId="165" fontId="0" fillId="0" borderId="1" xfId="0" applyNumberFormat="1" applyFont="1" applyFill="1" applyBorder="1" applyAlignment="1">
      <alignment horizontal="left"/>
    </xf>
    <xf numFmtId="178" fontId="0" fillId="0" borderId="1" xfId="0" applyNumberFormat="1" applyFont="1" applyFill="1" applyBorder="1" applyAlignment="1">
      <alignment horizontal="left" vertical="center"/>
    </xf>
    <xf numFmtId="173" fontId="0" fillId="0" borderId="1" xfId="1" applyNumberFormat="1" applyFont="1" applyFill="1" applyBorder="1" applyAlignment="1">
      <alignment horizontal="left" vertical="center"/>
    </xf>
    <xf numFmtId="170" fontId="0" fillId="0" borderId="1" xfId="0" applyNumberFormat="1" applyBorder="1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2" fillId="0" borderId="0" xfId="0" applyFont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173" fontId="19" fillId="0" borderId="0" xfId="0" applyNumberFormat="1" applyFont="1" applyBorder="1" applyAlignment="1" applyProtection="1">
      <alignment horizontal="center" vertical="center"/>
    </xf>
    <xf numFmtId="170" fontId="0" fillId="0" borderId="1" xfId="0" applyNumberFormat="1" applyFill="1" applyBorder="1" applyAlignment="1" applyProtection="1">
      <alignment vertical="center"/>
    </xf>
    <xf numFmtId="164" fontId="0" fillId="0" borderId="1" xfId="2" applyFont="1" applyBorder="1" applyAlignment="1" applyProtection="1">
      <alignment vertical="center"/>
    </xf>
    <xf numFmtId="180" fontId="0" fillId="0" borderId="1" xfId="2" applyNumberFormat="1" applyFont="1" applyBorder="1" applyAlignment="1" applyProtection="1">
      <alignment horizontal="right" vertical="center"/>
    </xf>
    <xf numFmtId="180" fontId="0" fillId="0" borderId="1" xfId="0" applyNumberFormat="1" applyBorder="1" applyAlignment="1" applyProtection="1">
      <alignment vertical="center"/>
    </xf>
    <xf numFmtId="180" fontId="0" fillId="0" borderId="1" xfId="0" applyNumberFormat="1" applyBorder="1" applyAlignment="1" applyProtection="1">
      <alignment horizontal="right" vertical="center"/>
    </xf>
    <xf numFmtId="14" fontId="0" fillId="0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9" fillId="0" borderId="1" xfId="0" applyFont="1" applyFill="1" applyBorder="1" applyAlignment="1" applyProtection="1">
      <alignment horizontal="center" vertical="center"/>
    </xf>
    <xf numFmtId="164" fontId="0" fillId="0" borderId="0" xfId="2" applyFont="1" applyAlignment="1" applyProtection="1">
      <alignment vertical="center"/>
    </xf>
    <xf numFmtId="164" fontId="0" fillId="0" borderId="0" xfId="2" applyFont="1" applyProtection="1"/>
    <xf numFmtId="166" fontId="0" fillId="0" borderId="0" xfId="0" applyNumberFormat="1" applyBorder="1" applyAlignment="1" applyProtection="1">
      <alignment horizontal="center" vertical="center"/>
    </xf>
    <xf numFmtId="166" fontId="0" fillId="0" borderId="2" xfId="0" applyNumberFormat="1" applyBorder="1" applyAlignment="1" applyProtection="1">
      <alignment horizontal="center" vertical="center"/>
    </xf>
    <xf numFmtId="166" fontId="0" fillId="0" borderId="26" xfId="0" applyNumberFormat="1" applyBorder="1" applyAlignment="1" applyProtection="1">
      <alignment horizontal="center" vertical="center"/>
    </xf>
    <xf numFmtId="0" fontId="19" fillId="0" borderId="3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19" fillId="6" borderId="1" xfId="1" applyFont="1" applyFill="1" applyBorder="1" applyAlignment="1">
      <alignment horizontal="center" vertical="center"/>
    </xf>
    <xf numFmtId="0" fontId="19" fillId="6" borderId="3" xfId="1" applyFont="1" applyFill="1" applyBorder="1" applyAlignment="1">
      <alignment horizontal="center" vertical="center"/>
    </xf>
    <xf numFmtId="0" fontId="2" fillId="39" borderId="1" xfId="0" applyFont="1" applyFill="1" applyBorder="1" applyAlignment="1" applyProtection="1">
      <alignment horizontal="center" vertical="center"/>
    </xf>
    <xf numFmtId="165" fontId="0" fillId="0" borderId="0" xfId="0" applyNumberFormat="1" applyFill="1" applyBorder="1" applyProtection="1"/>
    <xf numFmtId="0" fontId="2" fillId="0" borderId="0" xfId="0" applyFont="1" applyFill="1" applyBorder="1" applyAlignment="1" applyProtection="1">
      <alignment horizontal="center" vertical="center"/>
    </xf>
    <xf numFmtId="0" fontId="6" fillId="0" borderId="0" xfId="1" applyFill="1" applyBorder="1" applyProtection="1"/>
    <xf numFmtId="170" fontId="0" fillId="0" borderId="0" xfId="0" applyNumberFormat="1" applyFill="1" applyBorder="1" applyProtection="1"/>
    <xf numFmtId="0" fontId="8" fillId="0" borderId="0" xfId="0" applyFont="1" applyFill="1" applyBorder="1" applyAlignment="1" applyProtection="1">
      <alignment horizontal="center"/>
    </xf>
    <xf numFmtId="0" fontId="26" fillId="0" borderId="0" xfId="0" applyFont="1" applyFill="1" applyBorder="1" applyAlignment="1">
      <alignment horizontal="center" wrapText="1"/>
    </xf>
    <xf numFmtId="180" fontId="0" fillId="0" borderId="0" xfId="0" applyNumberFormat="1"/>
    <xf numFmtId="180" fontId="0" fillId="0" borderId="1" xfId="0" applyNumberFormat="1" applyBorder="1"/>
    <xf numFmtId="180" fontId="0" fillId="0" borderId="4" xfId="0" applyNumberFormat="1" applyBorder="1"/>
    <xf numFmtId="180" fontId="0" fillId="0" borderId="1" xfId="0" applyNumberFormat="1" applyFill="1" applyBorder="1"/>
    <xf numFmtId="180" fontId="0" fillId="0" borderId="4" xfId="0" applyNumberFormat="1" applyBorder="1" applyAlignment="1" applyProtection="1">
      <alignment vertical="center"/>
    </xf>
    <xf numFmtId="0" fontId="0" fillId="0" borderId="1" xfId="0" applyFill="1" applyBorder="1" applyAlignment="1">
      <alignment vertical="center"/>
    </xf>
    <xf numFmtId="170" fontId="0" fillId="0" borderId="1" xfId="0" applyNumberFormat="1" applyBorder="1" applyAlignment="1">
      <alignment horizontal="right" vertical="center"/>
    </xf>
    <xf numFmtId="0" fontId="19" fillId="0" borderId="1" xfId="0" applyFont="1" applyFill="1" applyBorder="1" applyAlignment="1" applyProtection="1">
      <alignment horizontal="center" vertical="center"/>
    </xf>
    <xf numFmtId="0" fontId="1" fillId="40" borderId="0" xfId="0" applyFont="1" applyFill="1" applyBorder="1" applyAlignment="1">
      <alignment horizontal="center" vertical="center"/>
    </xf>
    <xf numFmtId="177" fontId="22" fillId="36" borderId="4" xfId="1" applyNumberFormat="1" applyFont="1" applyFill="1" applyBorder="1" applyAlignment="1">
      <alignment horizontal="center" vertical="center"/>
    </xf>
    <xf numFmtId="177" fontId="22" fillId="36" borderId="9" xfId="1" applyNumberFormat="1" applyFont="1" applyFill="1" applyBorder="1" applyAlignment="1">
      <alignment horizontal="center" vertical="center"/>
    </xf>
    <xf numFmtId="173" fontId="19" fillId="0" borderId="4" xfId="0" applyNumberFormat="1" applyFont="1" applyBorder="1" applyAlignment="1" applyProtection="1">
      <alignment horizontal="center" vertical="center"/>
    </xf>
    <xf numFmtId="173" fontId="19" fillId="0" borderId="9" xfId="0" applyNumberFormat="1" applyFont="1" applyBorder="1" applyAlignment="1" applyProtection="1">
      <alignment horizontal="center" vertical="center"/>
    </xf>
    <xf numFmtId="173" fontId="19" fillId="0" borderId="8" xfId="0" applyNumberFormat="1" applyFont="1" applyBorder="1" applyAlignment="1" applyProtection="1">
      <alignment horizontal="center" vertical="center"/>
    </xf>
    <xf numFmtId="170" fontId="0" fillId="0" borderId="1" xfId="0" applyNumberFormat="1" applyFont="1" applyBorder="1" applyAlignment="1" applyProtection="1">
      <alignment horizontal="center" vertical="center"/>
    </xf>
    <xf numFmtId="179" fontId="9" fillId="0" borderId="1" xfId="0" applyNumberFormat="1" applyFont="1" applyBorder="1" applyAlignment="1" applyProtection="1">
      <alignment horizontal="center" vertical="center"/>
    </xf>
    <xf numFmtId="170" fontId="0" fillId="0" borderId="1" xfId="0" applyNumberForma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9" fillId="0" borderId="4" xfId="0" applyFont="1" applyFill="1" applyBorder="1" applyAlignment="1" applyProtection="1">
      <alignment horizontal="center" vertical="center"/>
    </xf>
    <xf numFmtId="0" fontId="19" fillId="0" borderId="9" xfId="0" applyFont="1" applyFill="1" applyBorder="1" applyAlignment="1" applyProtection="1">
      <alignment horizontal="center" vertical="center"/>
    </xf>
    <xf numFmtId="0" fontId="13" fillId="7" borderId="24" xfId="0" applyFont="1" applyFill="1" applyBorder="1" applyAlignment="1">
      <alignment horizontal="center"/>
    </xf>
    <xf numFmtId="0" fontId="13" fillId="7" borderId="25" xfId="0" applyFont="1" applyFill="1" applyBorder="1" applyAlignment="1">
      <alignment horizontal="center"/>
    </xf>
    <xf numFmtId="177" fontId="24" fillId="38" borderId="4" xfId="1" applyNumberFormat="1" applyFont="1" applyFill="1" applyBorder="1" applyAlignment="1">
      <alignment horizontal="center" vertical="center"/>
    </xf>
    <xf numFmtId="177" fontId="24" fillId="38" borderId="8" xfId="1" applyNumberFormat="1" applyFont="1" applyFill="1" applyBorder="1" applyAlignment="1">
      <alignment horizontal="center" vertical="center"/>
    </xf>
    <xf numFmtId="177" fontId="24" fillId="38" borderId="9" xfId="1" applyNumberFormat="1" applyFont="1" applyFill="1" applyBorder="1" applyAlignment="1">
      <alignment horizontal="center" vertical="center"/>
    </xf>
    <xf numFmtId="0" fontId="0" fillId="0" borderId="4" xfId="0" applyBorder="1" applyAlignment="1" applyProtection="1">
      <alignment horizontal="center" vertical="center"/>
    </xf>
    <xf numFmtId="0" fontId="0" fillId="0" borderId="8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 vertical="center"/>
    </xf>
    <xf numFmtId="0" fontId="19" fillId="0" borderId="4" xfId="1" applyFont="1" applyFill="1" applyBorder="1" applyAlignment="1" applyProtection="1">
      <alignment horizontal="center" vertical="center"/>
    </xf>
    <xf numFmtId="0" fontId="19" fillId="0" borderId="8" xfId="1" applyFont="1" applyFill="1" applyBorder="1" applyAlignment="1" applyProtection="1">
      <alignment horizontal="center" vertical="center"/>
    </xf>
    <xf numFmtId="0" fontId="19" fillId="0" borderId="9" xfId="1" applyFont="1" applyFill="1" applyBorder="1" applyAlignment="1" applyProtection="1">
      <alignment horizontal="center" vertical="center"/>
    </xf>
    <xf numFmtId="0" fontId="19" fillId="0" borderId="4" xfId="1" applyFont="1" applyBorder="1" applyAlignment="1">
      <alignment horizontal="center" vertical="center"/>
    </xf>
    <xf numFmtId="0" fontId="19" fillId="0" borderId="9" xfId="1" applyFont="1" applyBorder="1" applyAlignment="1">
      <alignment horizontal="center" vertical="center"/>
    </xf>
    <xf numFmtId="20" fontId="9" fillId="0" borderId="4" xfId="0" applyNumberFormat="1" applyFont="1" applyBorder="1" applyAlignment="1" applyProtection="1">
      <alignment horizontal="center" vertical="center"/>
    </xf>
    <xf numFmtId="20" fontId="9" fillId="0" borderId="8" xfId="0" applyNumberFormat="1" applyFont="1" applyBorder="1" applyAlignment="1" applyProtection="1">
      <alignment horizontal="center" vertical="center"/>
    </xf>
    <xf numFmtId="20" fontId="9" fillId="0" borderId="9" xfId="0" applyNumberFormat="1" applyFont="1" applyBorder="1" applyAlignment="1" applyProtection="1">
      <alignment horizontal="center" vertical="center"/>
    </xf>
    <xf numFmtId="173" fontId="5" fillId="0" borderId="4" xfId="0" applyNumberFormat="1" applyFont="1" applyFill="1" applyBorder="1" applyAlignment="1" applyProtection="1">
      <alignment horizontal="center" vertical="center"/>
    </xf>
    <xf numFmtId="173" fontId="5" fillId="0" borderId="9" xfId="0" applyNumberFormat="1" applyFont="1" applyFill="1" applyBorder="1" applyAlignment="1" applyProtection="1">
      <alignment horizontal="center" vertical="center"/>
    </xf>
    <xf numFmtId="173" fontId="5" fillId="0" borderId="8" xfId="0" applyNumberFormat="1" applyFont="1" applyFill="1" applyBorder="1" applyAlignment="1" applyProtection="1">
      <alignment horizontal="center" vertical="center"/>
    </xf>
    <xf numFmtId="170" fontId="0" fillId="0" borderId="4" xfId="0" applyNumberFormat="1" applyFont="1" applyBorder="1" applyAlignment="1" applyProtection="1">
      <alignment horizontal="center" vertical="center"/>
    </xf>
    <xf numFmtId="170" fontId="0" fillId="0" borderId="8" xfId="0" applyNumberFormat="1" applyFont="1" applyBorder="1" applyAlignment="1" applyProtection="1">
      <alignment horizontal="center" vertical="center"/>
    </xf>
    <xf numFmtId="170" fontId="0" fillId="0" borderId="9" xfId="0" applyNumberFormat="1" applyFont="1" applyBorder="1" applyAlignment="1" applyProtection="1">
      <alignment horizontal="center" vertical="center"/>
    </xf>
    <xf numFmtId="170" fontId="0" fillId="0" borderId="4" xfId="0" applyNumberFormat="1" applyBorder="1" applyAlignment="1" applyProtection="1">
      <alignment horizontal="center" vertical="center"/>
    </xf>
    <xf numFmtId="170" fontId="0" fillId="0" borderId="8" xfId="0" applyNumberFormat="1" applyBorder="1" applyAlignment="1" applyProtection="1">
      <alignment horizontal="center" vertical="center"/>
    </xf>
    <xf numFmtId="170" fontId="0" fillId="0" borderId="9" xfId="0" applyNumberFormat="1" applyBorder="1" applyAlignment="1" applyProtection="1">
      <alignment horizontal="center" vertical="center"/>
    </xf>
    <xf numFmtId="0" fontId="19" fillId="0" borderId="8" xfId="0" applyFont="1" applyFill="1" applyBorder="1" applyAlignment="1" applyProtection="1">
      <alignment horizontal="center" vertical="center"/>
    </xf>
    <xf numFmtId="177" fontId="22" fillId="36" borderId="26" xfId="1" applyNumberFormat="1" applyFont="1" applyFill="1" applyBorder="1" applyAlignment="1">
      <alignment horizontal="center" vertical="center"/>
    </xf>
    <xf numFmtId="177" fontId="22" fillId="36" borderId="27" xfId="1" applyNumberFormat="1" applyFont="1" applyFill="1" applyBorder="1" applyAlignment="1">
      <alignment horizontal="center" vertical="center"/>
    </xf>
    <xf numFmtId="177" fontId="22" fillId="36" borderId="28" xfId="1" applyNumberFormat="1" applyFont="1" applyFill="1" applyBorder="1" applyAlignment="1">
      <alignment horizontal="center" vertical="center"/>
    </xf>
    <xf numFmtId="0" fontId="5" fillId="16" borderId="7" xfId="0" applyFont="1" applyFill="1" applyBorder="1" applyAlignment="1">
      <alignment horizontal="center" vertical="center"/>
    </xf>
  </cellXfs>
  <cellStyles count="3">
    <cellStyle name="Κανονικό" xfId="0" builtinId="0"/>
    <cellStyle name="Νομισματική μονάδα" xfId="2" builtinId="4"/>
    <cellStyle name="Υπερ-σύνδεση" xfId="1" builtinId="8"/>
  </cellStyles>
  <dxfs count="33">
    <dxf>
      <font>
        <b/>
        <i val="0"/>
      </font>
      <fill>
        <patternFill>
          <fgColor auto="1"/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fgColor theme="1"/>
          <bgColor rgb="FFFF8B7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fgColor theme="7" tint="-0.499984740745262"/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  <fill>
        <patternFill>
          <bgColor rgb="FFFF8B7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theme="7" tint="-0.499984740745262"/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  <fill>
        <patternFill>
          <bgColor rgb="FFFF8B7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theme="7" tint="-0.499984740745262"/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fgColor theme="7" tint="-0.499984740745262"/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fgColor theme="7" tint="-0.499984740745262"/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fgColor auto="1"/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fgColor theme="1"/>
          <bgColor rgb="FFFF8B7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fgColor theme="1"/>
          <bgColor rgb="FFFF8B7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1"/>
      </font>
      <fill>
        <patternFill>
          <bgColor rgb="FFFF8B7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E4D4E"/>
      <color rgb="FF3B87B2"/>
      <color rgb="FFF4C303"/>
      <color rgb="FFC50411"/>
      <color rgb="FF47BF9D"/>
      <color rgb="FFFF8B74"/>
      <color rgb="FFFFEB9C"/>
      <color rgb="FF9C57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Percentage from shops </a:t>
            </a:r>
            <a:endParaRPr lang="el-GR"/>
          </a:p>
        </c:rich>
      </c:tx>
      <c:layout>
        <c:manualLayout>
          <c:xMode val="edge"/>
          <c:yMode val="edge"/>
          <c:x val="0.29957633851472332"/>
          <c:y val="5.39639324968360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962-45B1-A4C7-82D71EFB7B84}"/>
              </c:ext>
            </c:extLst>
          </c:dPt>
          <c:dPt>
            <c:idx val="1"/>
            <c:bubble3D val="0"/>
            <c:spPr>
              <a:solidFill>
                <a:srgbClr val="FE4D4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62-45B1-A4C7-82D71EFB7B84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962-45B1-A4C7-82D71EFB7B84}"/>
              </c:ext>
            </c:extLst>
          </c:dPt>
          <c:cat>
            <c:strRef>
              <c:f>Logistics!$B$26:$B$28</c:f>
              <c:strCache>
                <c:ptCount val="3"/>
                <c:pt idx="0">
                  <c:v>Total Bangood </c:v>
                </c:pt>
                <c:pt idx="1">
                  <c:v>Total Aliexpress </c:v>
                </c:pt>
                <c:pt idx="2">
                  <c:v>Total Other Stores</c:v>
                </c:pt>
              </c:strCache>
            </c:strRef>
          </c:cat>
          <c:val>
            <c:numRef>
              <c:f>Logistics!$C$26:$C$28</c:f>
              <c:numCache>
                <c:formatCode>_-* #,##0.00\ "€"_-;\-* #,##0.00\ "€"_-;_-* "-"??\ "€"_-;_-@_-</c:formatCode>
                <c:ptCount val="3"/>
                <c:pt idx="0">
                  <c:v>313.88</c:v>
                </c:pt>
                <c:pt idx="1">
                  <c:v>231.33999999999992</c:v>
                </c:pt>
                <c:pt idx="2">
                  <c:v>200.79000000000008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62-45B1-A4C7-82D71EFB7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56032</xdr:colOff>
      <xdr:row>17</xdr:row>
      <xdr:rowOff>44824</xdr:rowOff>
    </xdr:from>
    <xdr:to>
      <xdr:col>9</xdr:col>
      <xdr:colOff>762002</xdr:colOff>
      <xdr:row>29</xdr:row>
      <xdr:rowOff>150158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618B5D02-89E5-455A-9ED5-88585FC24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iexpress.com/item/32766184679.html?spm=a2g0o.productlist.0.0.169e5f9d3sm9O2&amp;algo_pvid=f985e751-2efd-428e-916a-f92da83d8238&amp;algo_expid=f985e751-2efd-428e-916a-f92da83d8238-0&amp;btsid=0bb0624616072843730448858e1976&amp;ws_ab_test=searchweb0_0,searchweb201602_,searchweb201603_" TargetMode="External"/><Relationship Id="rId18" Type="http://schemas.openxmlformats.org/officeDocument/2006/relationships/hyperlink" Target="https://www.aliexpress.com/item/32952396111.html?spm=a2g0s.9042311.0.0.54264c4dDAANTy" TargetMode="External"/><Relationship Id="rId26" Type="http://schemas.openxmlformats.org/officeDocument/2006/relationships/hyperlink" Target="https://www.aliexpress.com/item/4000270270865.html?spm=a2g0s.9042311.0.0.5a8e4c4di0wi6E" TargetMode="External"/><Relationship Id="rId39" Type="http://schemas.openxmlformats.org/officeDocument/2006/relationships/hyperlink" Target="https://www.aliexpress.com/item/1005001786853369.html?spm=a2g0s.9042311.0.0.5d734c4dhQgcsP" TargetMode="External"/><Relationship Id="rId21" Type="http://schemas.openxmlformats.org/officeDocument/2006/relationships/hyperlink" Target="https://www.aliexpress.com/item/32989494316.html?spm=a2g0o.placeorder.0.0.2083321eDsSaKE&amp;mp=1" TargetMode="External"/><Relationship Id="rId34" Type="http://schemas.openxmlformats.org/officeDocument/2006/relationships/hyperlink" Target="https://www.aliexpress.com/item/4000896301219.html?spm=a2g0s.9042311.0.0.4f714c4dbKQJDx" TargetMode="External"/><Relationship Id="rId42" Type="http://schemas.openxmlformats.org/officeDocument/2006/relationships/hyperlink" Target="https://www.aliexpress.com/item/4000086730612.html?spm=a2g0s.9042311.0.0.41e94c4dYbAbG7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aliexpress.com/item/33008007487.html?spm=a2g0s.9042311.0.0.534f4c4dlRYhO5" TargetMode="External"/><Relationship Id="rId2" Type="http://schemas.openxmlformats.org/officeDocument/2006/relationships/hyperlink" Target="https://www.aliexpress.com/item/33023133633.html?spm=a2g0s.9042311.0.0.66654c4dL3MhKu" TargetMode="External"/><Relationship Id="rId16" Type="http://schemas.openxmlformats.org/officeDocument/2006/relationships/hyperlink" Target="https://www.banggood.com/7-Inch-Full-View-LCD-IPS-Touch-Screen-1024+600-800+480-HD-HDMI-Display-Monitor-for-Raspberry-Pi-p-1633584.html?akmClientCountry=GR&amp;cur_warehouse=CZ&amp;ID=514816" TargetMode="External"/><Relationship Id="rId29" Type="http://schemas.openxmlformats.org/officeDocument/2006/relationships/hyperlink" Target="https://www.banggood.com/BMG-Extruder-Clone-Dual-Drive-Upgrade-Bowden-Extruder-Kit-For-1_75mm-Filament-3D-Printer-Parts-Ender-3-or-CR-10S-Pro-p-1433052.html?rmmds=myorder&amp;cur_warehouse=UK" TargetMode="External"/><Relationship Id="rId1" Type="http://schemas.openxmlformats.org/officeDocument/2006/relationships/hyperlink" Target="https://www.aliexpress.com/item/4000803101862.html?spm=a2g0s.9042311.0.0.7e964c4dOo1VKH" TargetMode="External"/><Relationship Id="rId6" Type="http://schemas.openxmlformats.org/officeDocument/2006/relationships/hyperlink" Target="https://www.aliexpress.com/item/33002989677.html?spm=a2g0o.placeorder.0.0.51e6321epqLfip&amp;mp=1" TargetMode="External"/><Relationship Id="rId11" Type="http://schemas.openxmlformats.org/officeDocument/2006/relationships/hyperlink" Target="https://www.aliexpress.com/item/32806884712.html?spm=a2g0s.9042311.0.0.27424c4da48s1o" TargetMode="External"/><Relationship Id="rId24" Type="http://schemas.openxmlformats.org/officeDocument/2006/relationships/hyperlink" Target="https://www.aliexpress.com/item/4000110356215.html?spm=2114.12010615.8148356.56.45db5a5dK4OZTT" TargetMode="External"/><Relationship Id="rId32" Type="http://schemas.openxmlformats.org/officeDocument/2006/relationships/hyperlink" Target="https://www.aliexpress.com/item/4000407114781.html?spm=a2g0o.productlist.0.0.48f53087IbKiI1&amp;algo_pvid=dc42cf36-e68d-4dec-8339-a920d152d9c4&amp;algo_expid=dc42cf36-e68d-4dec-8339-a920d152d9c4-1&amp;btsid=0b0a556516135040583727362ef8bc&amp;ws_ab_test=searchweb0_0,searchweb201602_,searchweb201603_" TargetMode="External"/><Relationship Id="rId37" Type="http://schemas.openxmlformats.org/officeDocument/2006/relationships/hyperlink" Target="https://www.aliexpress.com/item/32936342596.html?spm=a2g0s.9042311.0.0.4f714c4dbKQJDx" TargetMode="External"/><Relationship Id="rId40" Type="http://schemas.openxmlformats.org/officeDocument/2006/relationships/hyperlink" Target="https://www.aliexpress.com/item/4001258499799.html?spm=a2g0s.9042311.0.0.4f714c4dbKQJDx" TargetMode="External"/><Relationship Id="rId45" Type="http://schemas.openxmlformats.org/officeDocument/2006/relationships/hyperlink" Target="https://www.aliexpress.com/item/33023133633.html?spm=a2g0s.9042311.0.0.37dd4c4dpL1MTG" TargetMode="External"/><Relationship Id="rId5" Type="http://schemas.openxmlformats.org/officeDocument/2006/relationships/hyperlink" Target="https://www.aliexpress.com/item/32957699302.html?spm=2114.12010615.8148356.13.2b947edfhcXwEf" TargetMode="External"/><Relationship Id="rId15" Type="http://schemas.openxmlformats.org/officeDocument/2006/relationships/hyperlink" Target="https://www.omc-stepperonline.com/" TargetMode="External"/><Relationship Id="rId23" Type="http://schemas.openxmlformats.org/officeDocument/2006/relationships/hyperlink" Target="http://www.aliexpress.com/item/4000627399032.html?spm=a2g0s.9042311.0.0.27514c4dKmgW10" TargetMode="External"/><Relationship Id="rId28" Type="http://schemas.openxmlformats.org/officeDocument/2006/relationships/hyperlink" Target="https://www.banggood.com/Meanwell-LRS-350-Switching-Power-Supply-24V-36V-48V-350W30mm-Thickness-Smps-Best-Voltage-Converter-p-1399825.html?cur_warehouse=CN&amp;ID=49552" TargetMode="External"/><Relationship Id="rId36" Type="http://schemas.openxmlformats.org/officeDocument/2006/relationships/hyperlink" Target="https://www.banggood.com/SIMAX3D-Phase-42-23-RepRap-42mm-Stepper-Motor-For-Ender-3-3D-Printer-p-1777182.html" TargetMode="External"/><Relationship Id="rId10" Type="http://schemas.openxmlformats.org/officeDocument/2006/relationships/hyperlink" Target="https://www.banggood.com/TWO-TREES-12mm-Linear-Guide-MGN12H-200-or-250-or-300-or-350-or-400-or-450-or-500mm-Linear-Rail-+-MGN12H-Block-for-3D-Printer-p-1678349.html?rmmds=myorder&amp;cur_warehouse=CN&amp;ID=517377" TargetMode="External"/><Relationship Id="rId19" Type="http://schemas.openxmlformats.org/officeDocument/2006/relationships/hyperlink" Target="https://www.aliexpress.com/item/33023133633.html?spm=a2g0s.9042311.0.0.54264c4d8c8Oxd" TargetMode="External"/><Relationship Id="rId31" Type="http://schemas.openxmlformats.org/officeDocument/2006/relationships/hyperlink" Target="https://www.aliexpress.com/item/4000233682608.html?spm=a2g0o.productlist.0.0.3d81482alA3T9G&amp;algo_pvid=23dd9d38-db07-45cb-a318-2c8eec846f94&amp;algo_expid=23dd9d38-db07-45cb-a318-2c8eec846f94-8&amp;btsid=0bb0623f16133989525625050e0e39&amp;ws_ab_test=searchweb0_0,searchweb201602_,searchweb201603_" TargetMode="External"/><Relationship Id="rId44" Type="http://schemas.openxmlformats.org/officeDocument/2006/relationships/hyperlink" Target="https://www.aliexpress.com/item/32952396111.html?spm=a2g0s.9042311.0.0.37dd4c4dpL1MTG" TargetMode="External"/><Relationship Id="rId4" Type="http://schemas.openxmlformats.org/officeDocument/2006/relationships/hyperlink" Target="https://www.aliexpress.com/item/4000389230884.html?spm=a2g0o.productlist.0.0.70bb4eedrRfpaH&amp;algo_pvid=19296c4b-e709-44ef-bd7a-d16ad105010a&amp;algo_expid=19296c4b-e709-44ef-bd7a-d16ad105010a-2&amp;btsid=0bb0622e16074131145558835ea01e&amp;ws_ab_test=searchweb0_0,searchweb201602_,searchweb201603_" TargetMode="External"/><Relationship Id="rId9" Type="http://schemas.openxmlformats.org/officeDocument/2006/relationships/hyperlink" Target="https://www.aliexpress.com/item/32660308298.html?spm=a2g0s.9042311.0.0.27424c4do1UU6J" TargetMode="External"/><Relationship Id="rId14" Type="http://schemas.openxmlformats.org/officeDocument/2006/relationships/hyperlink" Target="https://topelectronics.gr/single-board-computer/raspberry/raspberry-pi-4-model-b-4gb-ram/" TargetMode="External"/><Relationship Id="rId22" Type="http://schemas.openxmlformats.org/officeDocument/2006/relationships/hyperlink" Target="https://www.aliexpress.com/item/32989494316.html?spm=a2g0o.placeorder.0.0.2083321eDsSaKE&amp;mp=1" TargetMode="External"/><Relationship Id="rId27" Type="http://schemas.openxmlformats.org/officeDocument/2006/relationships/hyperlink" Target="https://www.aliexpress.com/item/32964780472.html?spm=a2g0o.cart.0.0.4ab63c00icFlpD&amp;mp=1" TargetMode="External"/><Relationship Id="rId30" Type="http://schemas.openxmlformats.org/officeDocument/2006/relationships/hyperlink" Target="https://www.aliexpress.com/item/4000176913597.html?spm=a2g0o.detail.1000060.2.24273f15lKXiQE&amp;gps-id=pcDetailBottomMoreThisSeller&amp;scm=1007.13339.169870.0&amp;scm_id=1007.13339.169870.0&amp;scm-url=1007.13339.169870.0&amp;pvid=2f80d80a-d9b6-402c-afed-708a1019e64b&amp;_t=gps-id:pcDetailBottomMoreThisSeller,scm-url:1007.13339.169870.0,pvid:2f80d80a-d9b6-402c-afed-708a1019e64b,tpp_buckets:668%230%23131923%2358_668%23888%233325%238_668%232846%238110%231995_668%232717%237563%23592_668%231000022185%231000066058%230_668%233468%2315612%23344" TargetMode="External"/><Relationship Id="rId35" Type="http://schemas.openxmlformats.org/officeDocument/2006/relationships/hyperlink" Target="https://www.aliexpress.com/item/32971802190.html?spm=a2g0s.9042311.0.0.5ae14c4dBKW6g0" TargetMode="External"/><Relationship Id="rId43" Type="http://schemas.openxmlformats.org/officeDocument/2006/relationships/hyperlink" Target="https://www.aliexpress.com/item/4000896301219.html?spm=a2g0s.9042311.0.0.27424c4daR4oi0" TargetMode="External"/><Relationship Id="rId8" Type="http://schemas.openxmlformats.org/officeDocument/2006/relationships/hyperlink" Target="https://www.banggood.com/TWO-TREES-12mm-Linear-Guide-MGN12H-200-or-250-or-300-or-350-or-400-or-450-or-500mm-Linear-Rail-+-MGN12H-Block-for-3D-Printer-p-1678349.html?rmmds=myorder&amp;cur_warehouse=CN&amp;ID=517376" TargetMode="External"/><Relationship Id="rId3" Type="http://schemas.openxmlformats.org/officeDocument/2006/relationships/hyperlink" Target="https://www.aliexpress.com/item/1005001315513956.html?spm=a2g0s.9042311.0.0.66654c4dL3MhKu" TargetMode="External"/><Relationship Id="rId12" Type="http://schemas.openxmlformats.org/officeDocument/2006/relationships/hyperlink" Target="https://www.banggood.com/8mm-300-or-400-or-500-or-600mm-Lead-2mm-Stainless-Steel-Lead-Screw-+-T8-Nut-For-CNC-3D-Printer-Reprap-p-1143904.html?rmmds=myorder" TargetMode="External"/><Relationship Id="rId17" Type="http://schemas.openxmlformats.org/officeDocument/2006/relationships/hyperlink" Target="https://www.banggood.com/BIGTREETECH-GTR-V1_0-32Bit-Control-Board-with-M5-V1_0-Expansion-Board-DIY-Kit-for-3D-Printer-p-1695091.html?cur_warehouse=CN&amp;ID=6290452" TargetMode="External"/><Relationship Id="rId25" Type="http://schemas.openxmlformats.org/officeDocument/2006/relationships/hyperlink" Target="https://www.aliexpress.com/item/32796264908.html?spm=a2g0s.9042311.0.0.5b674c4dqzw7Ir" TargetMode="External"/><Relationship Id="rId33" Type="http://schemas.openxmlformats.org/officeDocument/2006/relationships/hyperlink" Target="https://itemsearch.elta.gr/en-GB/Query/Direct/" TargetMode="External"/><Relationship Id="rId38" Type="http://schemas.openxmlformats.org/officeDocument/2006/relationships/hyperlink" Target="https://www.aliexpress.com/item/4000020967604.html?spm=a2g0s.9042311.0.0.4f714c4dbKQJDx" TargetMode="External"/><Relationship Id="rId46" Type="http://schemas.openxmlformats.org/officeDocument/2006/relationships/hyperlink" Target="https://www.trackmyshipment.co/shipment-tracking/" TargetMode="External"/><Relationship Id="rId20" Type="http://schemas.openxmlformats.org/officeDocument/2006/relationships/hyperlink" Target="https://www.aliexpress.com/item/32946169710.html?spm=a2g0s.9042311.0.0.54264c4d8c8Oxd" TargetMode="External"/><Relationship Id="rId41" Type="http://schemas.openxmlformats.org/officeDocument/2006/relationships/hyperlink" Target="https://www.aliexpress.com/item/32863857019.html?spm=a2g0s.9042311.0.0.2dec4c4dB6kl2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nggood.com/TWO-TREES-12mm-Linear-Guide-MGN12H-200-or-250-or-300-or-350-or-400-or-450-or-500mm-Linear-Rail-+-MGN12H-Block-for-3D-Printer-p-1678349.html?rmmds=myorder&amp;cur_warehouse=CN&amp;ID=517377" TargetMode="External"/><Relationship Id="rId2" Type="http://schemas.openxmlformats.org/officeDocument/2006/relationships/hyperlink" Target="https://www.banggood.com/8mm-300-or-400-or-500-or-600mm-Lead-2mm-Stainless-Steel-Lead-Screw-+-T8-Nut-For-CNC-3D-Printer-Reprap-p-1143904.html?rmmds=myorder" TargetMode="External"/><Relationship Id="rId1" Type="http://schemas.openxmlformats.org/officeDocument/2006/relationships/hyperlink" Target="https://topelectronics.gr/single-board-computer/raspberry/raspberry-pi-4-model-b-4gb-ram/" TargetMode="External"/><Relationship Id="rId6" Type="http://schemas.openxmlformats.org/officeDocument/2006/relationships/hyperlink" Target="https://www.aliexpress.com/snapshot/0.html?spm=a2g0s.issue_f040t.0.0.5a8b4c4dnAspb0&amp;orderId=8122579926165167&amp;productId=4000389230884" TargetMode="External"/><Relationship Id="rId5" Type="http://schemas.openxmlformats.org/officeDocument/2006/relationships/hyperlink" Target="https://www.banggood.com/BIGTREETECH-GTR-V1_0-32Bit-Control-Board-with-M5-V1_0-Expansion-Board-DIY-Kit-for-3D-Printer-p-1695091.html?cur_warehouse=CN&amp;ID=6290452" TargetMode="External"/><Relationship Id="rId4" Type="http://schemas.openxmlformats.org/officeDocument/2006/relationships/hyperlink" Target="https://www.aliexpress.com/snapshot/0.html?spm=a2g0s.issue_f040t.0.0.40e14c4dKPpbqv&amp;orderId=8122442099675167&amp;productId=33008007487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32997682731.html?spm=a2g0o.productlist.0.0.5b004a65V1gASL&amp;algo_pvid=f6282cc2-7015-40dc-b4fb-4253cecae879&amp;algo_expid=f6282cc2-7015-40dc-b4fb-4253cecae879-3&amp;btsid=0bb0624716147327089776878ea5e1&amp;ws_ab_test=searchweb0_0,searchweb201602_,searchweb201603_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aliexpress.com/item/10000315951480.html?spm=a2g0o.detail.100009.5.56e54e7fhuaB3t&amp;gps-id=pcDetailLeftTopSell&amp;scm=1007.13482.95643.0&amp;scm_id=1007.13482.95643.0&amp;scm-url=1007.13482.95643.0&amp;pvid=5f4f1b63-77f1-4d71-814f-dc2dc657786b&amp;_t=gps-id:pcDetailLeftTopSell,scm-url:1007.13482.95643.0,pvid:5f4f1b63-77f1-4d71-814f-dc2dc657786b,tpp_buckets:668%230%23131923%236_668%23888%233325%235_668%232846%238109%231935_668%232717%237558%23193_668%231000022185%231000066058%230_668%233480%2315683%23713" TargetMode="External"/><Relationship Id="rId7" Type="http://schemas.openxmlformats.org/officeDocument/2006/relationships/hyperlink" Target="https://www.aliexpress.com/item/32912250678.html?spm=a2g0o.detail.1000013.17.3461443bcJyxQz&amp;gps-id=pcDetailBottomMoreThisSeller&amp;scm=1007.13339.169870.0&amp;scm_id=1007.13339.169870.0&amp;scm-url=1007.13339.169870.0&amp;pvid=3cc5510d-75e7-4c64-9aa3-8e4cf38ef29d&amp;_t=gps-id:pcDetailBottomMoreThisSeller,scm-url:1007.13339.169870.0,pvid:3cc5510d-75e7-4c64-9aa3-8e4cf38ef29d,tpp_buckets:668%230%23131923%235_668%23888%233325%235_668%232846%238109%231935_668%232717%237564%23696_668%231000022185%231000066058%230_668%233468%2315613%23482" TargetMode="External"/><Relationship Id="rId12" Type="http://schemas.openxmlformats.org/officeDocument/2006/relationships/hyperlink" Target="https://www.aliexpress.com/item/33056113502.html" TargetMode="External"/><Relationship Id="rId2" Type="http://schemas.openxmlformats.org/officeDocument/2006/relationships/hyperlink" Target="https://www.aliexpress.com/item/4000641003381.html?spm=a2g0o.productlist.0.0.3e5748b2LL0jGr&amp;algo_pvid=19397d42-08c8-4a05-9806-bf156c5d6683&amp;algo_expid=19397d42-08c8-4a05-9806-bf156c5d6683-9&amp;btsid=0bb0623916096259479757554e3392&amp;ws_ab_test=searchweb0_0,searchweb201602_,searchweb201603_" TargetMode="External"/><Relationship Id="rId1" Type="http://schemas.openxmlformats.org/officeDocument/2006/relationships/hyperlink" Target="https://www.aliexpress.com/item/33010997018.html?spm=a2g0o.store_home.productList_10431387.pic_13" TargetMode="External"/><Relationship Id="rId6" Type="http://schemas.openxmlformats.org/officeDocument/2006/relationships/hyperlink" Target="https://www.banggood.com/el/ICE-Tower-CPU-Cooling-Fan-V2_0-Super-Heat-Dissipation-Different-Colors-LEDs-for-Raspberry-Pi-3B+-or-4B-p-1584786.html?cur_warehouse=CN&amp;rmmds=search" TargetMode="External"/><Relationship Id="rId11" Type="http://schemas.openxmlformats.org/officeDocument/2006/relationships/hyperlink" Target="https://www.aliexpress.com/item/4001121807581.html?spm=a2g0o.productlist.0.0.2025b0b90Y3FC0&amp;algo_pvid=e6920286-f9a0-496b-aecb-fba300713a5d&amp;algo_expid=e6920286-f9a0-496b-aecb-fba300713a5d-14&amp;btsid=0b0a556b16097102145412739e7787&amp;ws_ab_test=searchweb0_0,searchweb201602_,searchweb201603_" TargetMode="External"/><Relationship Id="rId5" Type="http://schemas.openxmlformats.org/officeDocument/2006/relationships/hyperlink" Target="https://www.aliexpress.com/item/32866986097.html?spm=a2g0o.productlist.0.0.77c81cf1cDSgsZ&amp;algo_pvid=3c9962d1-91a7-4c7f-8800-3cf841a54ff5&amp;algo_expid=3c9962d1-91a7-4c7f-8800-3cf841a54ff5-2&amp;btsid=0b0a556116085096299856434e5605&amp;ws_ab_test=searchweb0_0,searchweb201602_,searchweb201603" TargetMode="External"/><Relationship Id="rId10" Type="http://schemas.openxmlformats.org/officeDocument/2006/relationships/hyperlink" Target="https://www.prusaprinters.org/prints/6062-servo-automated-iris-aperture-for-air-flow-control" TargetMode="External"/><Relationship Id="rId4" Type="http://schemas.openxmlformats.org/officeDocument/2006/relationships/hyperlink" Target="https://www.banggood.com/Suleve-M5CH3-50Pcs-M5-12_9-Grade-Carbon-Steel-Hex-Socket-Cap-Head-Screw-8-30mm-Optional-Length-p-1333415.html?rmmds=flashdeals&amp;cur_warehouse=CN&amp;ID=48349" TargetMode="External"/><Relationship Id="rId9" Type="http://schemas.openxmlformats.org/officeDocument/2006/relationships/hyperlink" Target="https://www.instructables.com/3D-Printer-Monitor-Wemos-D1-Mini-ESP82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B8F8-2B20-C841-B37F-2E7619B40D97}">
  <sheetPr codeName="Sheet1"/>
  <dimension ref="A1:AV451"/>
  <sheetViews>
    <sheetView tabSelected="1" topLeftCell="C4" zoomScale="85" zoomScaleNormal="85" workbookViewId="0">
      <selection activeCell="J28" sqref="J28"/>
    </sheetView>
  </sheetViews>
  <sheetFormatPr defaultColWidth="11" defaultRowHeight="15.75"/>
  <cols>
    <col min="1" max="1" width="10.875" style="103"/>
    <col min="2" max="2" width="24.875" style="103" customWidth="1"/>
    <col min="3" max="3" width="14.5" style="103" bestFit="1" customWidth="1"/>
    <col min="4" max="4" width="15.5" style="103" customWidth="1"/>
    <col min="5" max="5" width="20" style="103" customWidth="1"/>
    <col min="6" max="6" width="13.125" style="103" customWidth="1"/>
    <col min="7" max="7" width="10.125" style="103" customWidth="1"/>
    <col min="8" max="8" width="14.375" style="103" customWidth="1"/>
    <col min="9" max="9" width="11" style="110" customWidth="1"/>
    <col min="10" max="10" width="18.375" style="103" customWidth="1"/>
    <col min="11" max="11" width="18.625" style="103" customWidth="1"/>
    <col min="12" max="12" width="10" style="103" customWidth="1"/>
    <col min="13" max="13" width="10.875" style="111" customWidth="1"/>
    <col min="14" max="14" width="16.75" style="221" customWidth="1"/>
    <col min="15" max="15" width="17.375" customWidth="1"/>
    <col min="16" max="16" width="11.875" style="80" customWidth="1"/>
    <col min="17" max="17" width="17.125" customWidth="1"/>
    <col min="18" max="18" width="13.625" customWidth="1"/>
    <col min="19" max="19" width="16" customWidth="1"/>
    <col min="20" max="20" width="16.875" customWidth="1"/>
    <col min="21" max="21" width="18.625" customWidth="1"/>
    <col min="22" max="22" width="15" customWidth="1"/>
    <col min="23" max="23" width="66.625" customWidth="1"/>
    <col min="24" max="24" width="18.125" customWidth="1"/>
    <col min="25" max="25" width="12" customWidth="1"/>
    <col min="26" max="26" width="65.375" customWidth="1"/>
    <col min="27" max="27" width="7.375" customWidth="1"/>
    <col min="28" max="28" width="8.5" customWidth="1"/>
    <col min="29" max="29" width="7.875" customWidth="1"/>
  </cols>
  <sheetData>
    <row r="1" spans="1:48" ht="15.95" customHeight="1">
      <c r="A1" s="155"/>
      <c r="B1" s="155"/>
      <c r="C1" s="155"/>
      <c r="D1" s="155"/>
      <c r="E1" s="155"/>
      <c r="F1" s="155"/>
      <c r="G1" s="155"/>
      <c r="H1" s="155"/>
      <c r="I1" s="156"/>
      <c r="J1" s="157"/>
      <c r="K1" s="155"/>
      <c r="L1" s="155"/>
      <c r="M1" s="169" t="s">
        <v>226</v>
      </c>
      <c r="O1" s="169" t="s">
        <v>226</v>
      </c>
      <c r="P1" s="158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</row>
    <row r="2" spans="1:48">
      <c r="A2" s="159" t="s">
        <v>14</v>
      </c>
      <c r="B2" s="160" t="s">
        <v>15</v>
      </c>
      <c r="C2" s="161" t="s">
        <v>16</v>
      </c>
      <c r="D2" s="162" t="s">
        <v>17</v>
      </c>
      <c r="E2" s="163" t="s">
        <v>48</v>
      </c>
      <c r="F2" s="163" t="s">
        <v>65</v>
      </c>
      <c r="G2" s="164" t="s">
        <v>23</v>
      </c>
      <c r="H2" s="165" t="s">
        <v>66</v>
      </c>
      <c r="I2" s="109" t="s">
        <v>65</v>
      </c>
      <c r="J2" s="112" t="s">
        <v>49</v>
      </c>
      <c r="K2" s="112" t="s">
        <v>46</v>
      </c>
      <c r="L2" s="161" t="s">
        <v>71</v>
      </c>
      <c r="M2" s="180" t="s">
        <v>190</v>
      </c>
      <c r="N2" s="188" t="s">
        <v>159</v>
      </c>
      <c r="O2" s="133" t="s">
        <v>158</v>
      </c>
      <c r="P2" s="137" t="s">
        <v>168</v>
      </c>
      <c r="Q2" s="194" t="s">
        <v>198</v>
      </c>
      <c r="R2" s="15"/>
      <c r="S2" s="14"/>
      <c r="T2" s="16"/>
      <c r="U2" s="13"/>
      <c r="V2" s="13"/>
      <c r="W2" s="13"/>
      <c r="X2" s="13"/>
      <c r="Y2" s="13"/>
      <c r="Z2" s="17"/>
      <c r="AA2" s="17"/>
      <c r="AB2" s="17"/>
      <c r="AC2" s="17"/>
      <c r="AD2" s="17"/>
      <c r="AE2" s="17"/>
      <c r="AF2" s="17"/>
      <c r="AG2" s="17"/>
      <c r="AH2" s="17"/>
      <c r="AI2" s="14"/>
      <c r="AJ2" s="14"/>
      <c r="AK2" s="13"/>
      <c r="AL2" s="13"/>
      <c r="AM2" s="13"/>
      <c r="AN2" s="13"/>
      <c r="AO2" s="13"/>
      <c r="AP2" s="13"/>
      <c r="AQ2" s="13"/>
      <c r="AR2" s="13"/>
      <c r="AS2" s="13"/>
      <c r="AT2" s="13"/>
    </row>
    <row r="3" spans="1:48" ht="18">
      <c r="A3" s="103" t="s">
        <v>13</v>
      </c>
      <c r="B3" s="103" t="s">
        <v>258</v>
      </c>
      <c r="C3" s="228">
        <v>4.72</v>
      </c>
      <c r="D3" s="105" t="s">
        <v>3</v>
      </c>
      <c r="E3" s="167">
        <v>44067</v>
      </c>
      <c r="F3" s="113">
        <v>0.15</v>
      </c>
      <c r="G3" s="103" t="s">
        <v>259</v>
      </c>
      <c r="H3" s="169" t="str" cm="1">
        <f t="array" ref="H3">_xlfn.IFS(J3="","WAIT",J3="Never Arrived","Never Arrived",J3&lt;&gt;0,"ARRIVED")</f>
        <v>ARRIVED</v>
      </c>
      <c r="I3" s="170">
        <f ca="1">IF(J3="Never Arrived",(TODAY()-E3),IF(IF(H3="WAIT",(TODAY()-E3),J3-E3)=0,"",IF(H3="WAIT",(TODAY()-E3),J3-E3)))</f>
        <v>85</v>
      </c>
      <c r="J3" s="167">
        <v>44152</v>
      </c>
      <c r="K3" s="171">
        <f ca="1">IF(D3="aliexpress",IF(AND(E3+$T$16&lt;=TODAY(),H3="WAIT"),"A/N",E3+$T$16),IF(D3="bangood",IF(AND(E3+$T$14&lt;=TODAY(),H3="WAIT"),"A/N",E3+$T$14),"A/N STORE"))</f>
        <v>44134</v>
      </c>
      <c r="L3" s="172">
        <v>1</v>
      </c>
      <c r="M3" s="116" t="str" cm="1">
        <f t="array" aca="1" ref="M3" ca="1">IF(AND($M$1="Hide",H3="ARRIVED"),"",IF(N3="","",HYPERLINK(INDIRECT(Q3)&amp;N3,"TRACK")))</f>
        <v/>
      </c>
      <c r="N3" s="181"/>
      <c r="O3" s="132" t="str">
        <f ca="1">IF(AND(H3="ARRIVED",$O$1="show"),TODAY()-J3,"")</f>
        <v/>
      </c>
      <c r="P3" s="138" t="s">
        <v>63</v>
      </c>
      <c r="Q3" s="196" t="s">
        <v>202</v>
      </c>
      <c r="R3" s="15" t="s">
        <v>6</v>
      </c>
      <c r="S3" s="14"/>
      <c r="T3" s="16"/>
      <c r="U3" s="13"/>
      <c r="V3" s="13"/>
      <c r="W3" s="13"/>
      <c r="X3" s="13"/>
      <c r="Y3" s="13"/>
      <c r="Z3" s="17"/>
      <c r="AA3" s="17"/>
      <c r="AB3" s="17"/>
      <c r="AC3" s="17"/>
      <c r="AD3" s="17"/>
      <c r="AE3" s="17"/>
      <c r="AF3" s="17"/>
      <c r="AG3" s="17"/>
      <c r="AH3" s="17"/>
      <c r="AI3" s="14"/>
      <c r="AJ3" s="14"/>
      <c r="AK3" s="13"/>
      <c r="AL3" s="13"/>
      <c r="AM3" s="13"/>
      <c r="AN3" s="13"/>
      <c r="AO3" s="13"/>
      <c r="AP3" s="13"/>
      <c r="AQ3" s="13"/>
      <c r="AR3" s="13"/>
      <c r="AS3" s="13"/>
      <c r="AT3" s="13"/>
    </row>
    <row r="4" spans="1:48" ht="18">
      <c r="A4" s="166" t="s">
        <v>5</v>
      </c>
      <c r="B4" s="166" t="s">
        <v>153</v>
      </c>
      <c r="C4" s="228">
        <v>1.94</v>
      </c>
      <c r="D4" s="105" t="s">
        <v>3</v>
      </c>
      <c r="E4" s="167">
        <v>44087</v>
      </c>
      <c r="F4" s="113">
        <v>0.10833333333333334</v>
      </c>
      <c r="G4" s="168" t="s">
        <v>38</v>
      </c>
      <c r="H4" s="169" t="str" cm="1">
        <f t="array" ref="H4">_xlfn.IFS(J4="","WAIT",J4="Never Arrived","Never Arrived",J4&lt;&gt;0,"ARRIVED")</f>
        <v>ARRIVED</v>
      </c>
      <c r="I4" s="170">
        <f t="shared" ref="I4:I57" ca="1" si="0">IF(J4="Never Arrived",(TODAY()-E4),IF(IF(H4="WAIT",(TODAY()-E4),J4-E4)=0,"",IF(H4="WAIT",(TODAY()-E4),J4-E4)))</f>
        <v>76</v>
      </c>
      <c r="J4" s="167">
        <v>44163</v>
      </c>
      <c r="K4" s="171">
        <f t="shared" ref="K4:K16" ca="1" si="1">IF(D4="aliexpress",IF(AND(E4+$T$16&lt;=TODAY(),H4="WAIT"),"A/N",E4+$T$16),IF(D4="bangood",IF(AND(E4+$T$14&lt;=TODAY(),H4="WAIT"),"A/N",E4+$T$14),"A/N STORE"))</f>
        <v>44154</v>
      </c>
      <c r="L4" s="172">
        <f t="shared" ref="L4:L26" si="2">IF(C4="","",1+L3)</f>
        <v>2</v>
      </c>
      <c r="M4" s="116" t="str" cm="1">
        <f t="array" aca="1" ref="M4" ca="1">IF(AND($M$1="Hide",H4="ARRIVED"),"",IF(N4="","",HYPERLINK(INDIRECT(Q4)&amp;N4,"TRACK")))</f>
        <v/>
      </c>
      <c r="N4" s="181"/>
      <c r="O4" s="132" t="str">
        <f t="shared" ref="O4:O32" ca="1" si="3">IF(AND(H4="ARRIVED",$O$1="show"),TODAY()-J4,"")</f>
        <v/>
      </c>
      <c r="P4" s="138" t="s">
        <v>63</v>
      </c>
      <c r="Q4" s="196" t="s">
        <v>202</v>
      </c>
      <c r="R4" s="15" t="s">
        <v>6</v>
      </c>
      <c r="S4" s="14"/>
      <c r="T4" s="16"/>
      <c r="U4" s="13"/>
      <c r="V4" s="13"/>
      <c r="W4" s="13"/>
      <c r="X4" s="13"/>
      <c r="AA4" s="17"/>
      <c r="AB4" s="17"/>
      <c r="AC4" s="17"/>
      <c r="AD4" s="17"/>
      <c r="AE4" s="17"/>
      <c r="AF4" s="17"/>
      <c r="AG4" s="17"/>
      <c r="AH4" s="17"/>
      <c r="AI4" s="14"/>
      <c r="AJ4" s="14"/>
      <c r="AK4" s="13"/>
      <c r="AL4" s="13"/>
      <c r="AM4" s="13"/>
      <c r="AN4" s="13"/>
      <c r="AO4" s="13"/>
      <c r="AP4" s="13"/>
      <c r="AQ4" s="13"/>
      <c r="AR4" s="13"/>
      <c r="AS4" s="13"/>
      <c r="AT4" s="13"/>
    </row>
    <row r="5" spans="1:48" ht="16.5" thickBot="1">
      <c r="A5" s="166" t="s">
        <v>1</v>
      </c>
      <c r="B5" s="166" t="s">
        <v>140</v>
      </c>
      <c r="C5" s="228">
        <v>54.1</v>
      </c>
      <c r="D5" s="106" t="s">
        <v>0</v>
      </c>
      <c r="E5" s="167">
        <v>44136</v>
      </c>
      <c r="F5" s="113">
        <v>0.69305555555555554</v>
      </c>
      <c r="G5" s="168" t="s">
        <v>37</v>
      </c>
      <c r="H5" s="169" t="str" cm="1">
        <f t="array" ref="H5">_xlfn.IFS(J5="","WAIT",J5="Never Arrived","Never Arrived",J5&lt;&gt;0,"ARRIVED")</f>
        <v>ARRIVED</v>
      </c>
      <c r="I5" s="170">
        <f t="shared" ca="1" si="0"/>
        <v>18</v>
      </c>
      <c r="J5" s="171">
        <v>44154</v>
      </c>
      <c r="K5" s="171">
        <f t="shared" ca="1" si="1"/>
        <v>44156</v>
      </c>
      <c r="L5" s="172">
        <f t="shared" si="2"/>
        <v>3</v>
      </c>
      <c r="M5" s="116" t="str" cm="1">
        <f t="array" aca="1" ref="M5" ca="1">IF(AND($M$1="Hide",H5="ARRIVED"),"",IF(N5="","",HYPERLINK(INDIRECT(Q5)&amp;N5,"TRACK")))</f>
        <v/>
      </c>
      <c r="N5" s="182" t="s">
        <v>207</v>
      </c>
      <c r="O5" s="132" t="str">
        <f t="shared" ca="1" si="3"/>
        <v/>
      </c>
      <c r="P5" s="138" t="s">
        <v>169</v>
      </c>
      <c r="Q5" s="195" t="s">
        <v>203</v>
      </c>
      <c r="R5" s="15" t="s">
        <v>6</v>
      </c>
      <c r="S5" s="14"/>
      <c r="T5" s="16"/>
      <c r="U5" s="13"/>
      <c r="V5" s="13"/>
      <c r="W5" s="13"/>
      <c r="X5" s="13"/>
      <c r="AA5" s="17"/>
      <c r="AB5" s="17"/>
      <c r="AC5" s="17"/>
      <c r="AD5" s="17"/>
      <c r="AE5" s="17"/>
      <c r="AF5" s="17"/>
      <c r="AG5" s="17"/>
      <c r="AH5" s="17"/>
      <c r="AI5" s="14"/>
      <c r="AJ5" s="14"/>
      <c r="AK5" s="13"/>
      <c r="AL5" s="13"/>
      <c r="AM5" s="13"/>
      <c r="AN5" s="13"/>
      <c r="AO5" s="13"/>
      <c r="AP5" s="13"/>
      <c r="AQ5" s="13"/>
      <c r="AR5" s="13"/>
      <c r="AS5" s="13"/>
      <c r="AT5" s="13"/>
    </row>
    <row r="6" spans="1:48" ht="19.5" thickBot="1">
      <c r="A6" s="173" t="s">
        <v>2</v>
      </c>
      <c r="B6" s="166" t="s">
        <v>4</v>
      </c>
      <c r="C6" s="228">
        <v>15.39</v>
      </c>
      <c r="D6" s="105" t="s">
        <v>3</v>
      </c>
      <c r="E6" s="167">
        <v>44143</v>
      </c>
      <c r="F6" s="113">
        <v>0.10902777777777778</v>
      </c>
      <c r="G6" s="168" t="s">
        <v>36</v>
      </c>
      <c r="H6" s="169" t="str" cm="1">
        <f t="array" ref="H6">_xlfn.IFS(J6="","WAIT",J6="Never Arrived","Never Arrived",J6&lt;&gt;0,"ARRIVED")</f>
        <v>ARRIVED</v>
      </c>
      <c r="I6" s="170">
        <f t="shared" ca="1" si="0"/>
        <v>58</v>
      </c>
      <c r="J6" s="171">
        <v>44201</v>
      </c>
      <c r="K6" s="171">
        <f t="shared" ca="1" si="1"/>
        <v>44210</v>
      </c>
      <c r="L6" s="172">
        <f>IF(C6="","",1+L5)</f>
        <v>4</v>
      </c>
      <c r="M6" s="116" t="str" cm="1">
        <f t="array" aca="1" ref="M6" ca="1">IF(AND($M$1="Hide",H6="ARRIVED"),"",IF(N6="","",HYPERLINK(INDIRECT(Q6)&amp;N6,"TRACK")))</f>
        <v/>
      </c>
      <c r="N6" s="184" t="s">
        <v>177</v>
      </c>
      <c r="O6" s="132" t="str">
        <f t="shared" ca="1" si="3"/>
        <v/>
      </c>
      <c r="P6" s="138" t="s">
        <v>170</v>
      </c>
      <c r="Q6" s="199" t="s">
        <v>208</v>
      </c>
      <c r="R6" s="15" t="s">
        <v>6</v>
      </c>
      <c r="S6" s="154" t="s">
        <v>176</v>
      </c>
      <c r="T6" s="153">
        <f ca="1">TODAY()</f>
        <v>44283</v>
      </c>
      <c r="U6" s="13"/>
      <c r="V6" s="269" t="s">
        <v>205</v>
      </c>
      <c r="W6" s="270"/>
      <c r="AA6" s="17"/>
      <c r="AB6" s="17"/>
      <c r="AC6" s="17"/>
      <c r="AD6" s="17"/>
      <c r="AE6" s="17"/>
      <c r="AF6" s="17"/>
      <c r="AG6" s="17"/>
      <c r="AH6" s="17"/>
      <c r="AI6" s="14"/>
      <c r="AJ6" s="14"/>
      <c r="AK6" s="13"/>
      <c r="AL6" s="13"/>
      <c r="AM6" s="13"/>
      <c r="AN6" s="13"/>
      <c r="AO6" s="13"/>
      <c r="AP6" s="13"/>
      <c r="AQ6" s="13"/>
      <c r="AR6" s="13"/>
      <c r="AS6" s="13"/>
      <c r="AT6" s="13"/>
    </row>
    <row r="7" spans="1:48">
      <c r="A7" s="166" t="s">
        <v>2</v>
      </c>
      <c r="B7" s="166" t="s">
        <v>7</v>
      </c>
      <c r="C7" s="228">
        <v>90.74</v>
      </c>
      <c r="D7" s="107" t="s">
        <v>8</v>
      </c>
      <c r="E7" s="167">
        <v>44142</v>
      </c>
      <c r="F7" s="113">
        <v>0.97499999999999998</v>
      </c>
      <c r="G7" s="168" t="s">
        <v>81</v>
      </c>
      <c r="H7" s="169" t="str" cm="1">
        <f t="array" ref="H7">_xlfn.IFS(J7="","WAIT",J7="Never Arrived","Never Arrived",J7&lt;&gt;0,"ARRIVED")</f>
        <v>ARRIVED</v>
      </c>
      <c r="I7" s="170">
        <f t="shared" ca="1" si="0"/>
        <v>11</v>
      </c>
      <c r="J7" s="171">
        <v>44153</v>
      </c>
      <c r="K7" s="171" t="str">
        <f t="shared" ca="1" si="1"/>
        <v>A/N STORE</v>
      </c>
      <c r="L7" s="172">
        <f t="shared" si="2"/>
        <v>5</v>
      </c>
      <c r="M7" s="116" t="str" cm="1">
        <f t="array" aca="1" ref="M7" ca="1">IF(AND($M$1="Hide",H7="ARRIVED"),"",IF(N7="","",HYPERLINK(INDIRECT(Q7)&amp;N7,"TRACK")))</f>
        <v/>
      </c>
      <c r="N7" s="184" t="s">
        <v>178</v>
      </c>
      <c r="O7" s="132" t="str">
        <f t="shared" ca="1" si="3"/>
        <v/>
      </c>
      <c r="P7" s="138" t="s">
        <v>169</v>
      </c>
      <c r="Q7" s="196" t="s">
        <v>202</v>
      </c>
      <c r="R7" s="15" t="s">
        <v>6</v>
      </c>
      <c r="S7" s="15"/>
      <c r="T7" s="14"/>
      <c r="U7" s="14"/>
      <c r="V7" s="13"/>
      <c r="W7" s="17"/>
      <c r="X7" s="13"/>
      <c r="AA7" s="17"/>
      <c r="AB7" s="17"/>
      <c r="AC7" s="17"/>
      <c r="AD7" s="17"/>
      <c r="AE7" s="17"/>
      <c r="AF7" s="17"/>
      <c r="AG7" s="17"/>
      <c r="AH7" s="17"/>
      <c r="AI7" s="14"/>
      <c r="AJ7" s="14"/>
      <c r="AK7" s="13"/>
      <c r="AL7" s="13"/>
      <c r="AM7" s="13"/>
      <c r="AN7" s="13"/>
      <c r="AO7" s="13"/>
      <c r="AP7" s="13"/>
      <c r="AQ7" s="13"/>
      <c r="AR7" s="13"/>
      <c r="AS7" s="13"/>
      <c r="AT7" s="13"/>
    </row>
    <row r="8" spans="1:48" ht="16.5" thickBot="1">
      <c r="A8" s="166" t="s">
        <v>1</v>
      </c>
      <c r="B8" s="166" t="s">
        <v>140</v>
      </c>
      <c r="C8" s="228">
        <v>54.9</v>
      </c>
      <c r="D8" s="106" t="s">
        <v>0</v>
      </c>
      <c r="E8" s="167">
        <v>44169</v>
      </c>
      <c r="F8" s="113">
        <v>0.5541666666666667</v>
      </c>
      <c r="G8" s="168" t="s">
        <v>35</v>
      </c>
      <c r="H8" s="169" t="str" cm="1">
        <f t="array" ref="H8">_xlfn.IFS(J8="","WAIT",J8="Never Arrived","Never Arrived",J8&lt;&gt;0,"ARRIVED")</f>
        <v>ARRIVED</v>
      </c>
      <c r="I8" s="170">
        <f t="shared" ca="1" si="0"/>
        <v>24</v>
      </c>
      <c r="J8" s="171">
        <v>44193</v>
      </c>
      <c r="K8" s="171">
        <f t="shared" ca="1" si="1"/>
        <v>44189</v>
      </c>
      <c r="L8" s="172">
        <f t="shared" si="2"/>
        <v>6</v>
      </c>
      <c r="M8" s="116" t="str" cm="1">
        <f t="array" aca="1" ref="M8" ca="1">IF(AND($M$1="Hide",H8="ARRIVED"),"",IF(N8="","",HYPERLINK(INDIRECT(Q8)&amp;N8,"TRACK")))</f>
        <v/>
      </c>
      <c r="N8" s="193">
        <v>6224125950</v>
      </c>
      <c r="O8" s="132" t="str">
        <f t="shared" ca="1" si="3"/>
        <v/>
      </c>
      <c r="P8" s="138" t="s">
        <v>169</v>
      </c>
      <c r="Q8" s="198" t="s">
        <v>204</v>
      </c>
      <c r="R8" s="15" t="s">
        <v>6</v>
      </c>
      <c r="S8" s="15"/>
      <c r="T8" s="14"/>
      <c r="U8" s="13"/>
      <c r="X8" s="13"/>
      <c r="AA8" s="17"/>
      <c r="AB8" s="17"/>
      <c r="AC8" s="17"/>
      <c r="AD8" s="17"/>
      <c r="AE8" s="17"/>
      <c r="AF8" s="17"/>
      <c r="AG8" s="17"/>
      <c r="AH8" s="17"/>
      <c r="AI8" s="14"/>
      <c r="AJ8" s="14"/>
      <c r="AK8" s="13"/>
      <c r="AL8" s="13"/>
      <c r="AM8" s="13"/>
      <c r="AN8" s="13"/>
      <c r="AO8" s="13"/>
      <c r="AP8" s="13"/>
      <c r="AQ8" s="13"/>
      <c r="AR8" s="13"/>
      <c r="AS8" s="13"/>
      <c r="AT8" s="13"/>
    </row>
    <row r="9" spans="1:48">
      <c r="A9" s="166" t="s">
        <v>9</v>
      </c>
      <c r="B9" s="166" t="s">
        <v>283</v>
      </c>
      <c r="C9" s="228">
        <v>3.4</v>
      </c>
      <c r="D9" s="105" t="s">
        <v>3</v>
      </c>
      <c r="E9" s="167">
        <v>44170</v>
      </c>
      <c r="F9" s="113">
        <v>0.42638888888888887</v>
      </c>
      <c r="G9" s="168" t="s">
        <v>10</v>
      </c>
      <c r="H9" s="169" t="str" cm="1">
        <f t="array" ref="H9">_xlfn.IFS(J9="","WAIT",J9="Never Arrived","Never Arrived",J9&lt;&gt;0,"ARRIVED")</f>
        <v>ARRIVED</v>
      </c>
      <c r="I9" s="170">
        <f t="shared" ca="1" si="0"/>
        <v>90</v>
      </c>
      <c r="J9" s="171">
        <v>44260</v>
      </c>
      <c r="K9" s="171">
        <f t="shared" ca="1" si="1"/>
        <v>44237</v>
      </c>
      <c r="L9" s="172">
        <f t="shared" si="2"/>
        <v>7</v>
      </c>
      <c r="M9" s="116" t="str" cm="1">
        <f t="array" aca="1" ref="M9" ca="1">IF(AND($M$1="Hide",H9="ARRIVED"),"",IF(N9="","",HYPERLINK(INDIRECT(Q9)&amp;N9,"TRACK")))</f>
        <v/>
      </c>
      <c r="N9" s="186" t="s">
        <v>179</v>
      </c>
      <c r="O9" s="132" t="str">
        <f t="shared" ca="1" si="3"/>
        <v/>
      </c>
      <c r="P9" s="138" t="s">
        <v>169</v>
      </c>
      <c r="Q9" s="196" t="s">
        <v>202</v>
      </c>
      <c r="R9" s="15"/>
      <c r="S9" s="117" t="s">
        <v>64</v>
      </c>
      <c r="T9" s="118">
        <f>T12/T10</f>
        <v>0.3559322033898305</v>
      </c>
      <c r="U9" s="13"/>
      <c r="V9" s="196" t="s">
        <v>202</v>
      </c>
      <c r="W9" s="218" t="s">
        <v>199</v>
      </c>
      <c r="X9" s="13" t="s">
        <v>6</v>
      </c>
      <c r="Y9" s="13"/>
      <c r="Z9" s="17"/>
      <c r="AA9" s="17"/>
      <c r="AB9" s="17"/>
      <c r="AC9" s="17"/>
      <c r="AD9" s="17"/>
      <c r="AE9" s="17"/>
      <c r="AF9" s="17"/>
      <c r="AG9" s="17"/>
      <c r="AH9" s="17"/>
      <c r="AI9" s="14"/>
      <c r="AJ9" s="14"/>
      <c r="AK9" s="13"/>
      <c r="AL9" s="13"/>
      <c r="AM9" s="13"/>
      <c r="AN9" s="13"/>
      <c r="AO9" s="13"/>
      <c r="AP9" s="13"/>
      <c r="AQ9" s="13"/>
      <c r="AR9" s="13"/>
      <c r="AS9" s="13"/>
      <c r="AT9" s="13"/>
    </row>
    <row r="10" spans="1:48">
      <c r="A10" s="166" t="s">
        <v>1</v>
      </c>
      <c r="B10" s="166" t="s">
        <v>11</v>
      </c>
      <c r="C10" s="228">
        <v>8.9499999999999993</v>
      </c>
      <c r="D10" s="105" t="s">
        <v>3</v>
      </c>
      <c r="E10" s="167">
        <v>44170</v>
      </c>
      <c r="F10" s="113">
        <v>0.42777777777777781</v>
      </c>
      <c r="G10" s="168" t="s">
        <v>34</v>
      </c>
      <c r="H10" s="169" t="str" cm="1">
        <f t="array" ref="H10">_xlfn.IFS(J10="","WAIT",J10="Never Arrived","Never Arrived",J10&lt;&gt;0,"ARRIVED")</f>
        <v>ARRIVED</v>
      </c>
      <c r="I10" s="170">
        <f t="shared" ca="1" si="0"/>
        <v>47</v>
      </c>
      <c r="J10" s="171">
        <v>44217</v>
      </c>
      <c r="K10" s="171">
        <f t="shared" ca="1" si="1"/>
        <v>44237</v>
      </c>
      <c r="L10" s="172">
        <f t="shared" si="2"/>
        <v>8</v>
      </c>
      <c r="M10" s="116" t="str" cm="1">
        <f t="array" aca="1" ref="M10" ca="1">IF(AND($M$1="Hide",H10="ARRIVED"),"",IF(N10="","",HYPERLINK(INDIRECT(Q10)&amp;N10,"TRACK")))</f>
        <v/>
      </c>
      <c r="N10" s="186" t="s">
        <v>180</v>
      </c>
      <c r="O10" s="132" t="str">
        <f t="shared" ca="1" si="3"/>
        <v/>
      </c>
      <c r="P10" s="138" t="s">
        <v>169</v>
      </c>
      <c r="Q10" s="196" t="s">
        <v>202</v>
      </c>
      <c r="R10" s="15" t="s">
        <v>6</v>
      </c>
      <c r="S10" s="119" t="s">
        <v>196</v>
      </c>
      <c r="T10" s="120">
        <f>COUNTIF(E3:E100,"&lt;&gt;")</f>
        <v>59</v>
      </c>
      <c r="U10" s="14"/>
      <c r="V10" s="195" t="s">
        <v>203</v>
      </c>
      <c r="W10" s="219" t="s">
        <v>200</v>
      </c>
      <c r="X10" s="13" t="s">
        <v>6</v>
      </c>
      <c r="Y10" s="14"/>
      <c r="Z10" s="13"/>
      <c r="AA10" s="13"/>
      <c r="AB10" s="17"/>
      <c r="AC10" s="17"/>
      <c r="AD10" s="17"/>
      <c r="AE10" s="17"/>
      <c r="AF10" s="17"/>
      <c r="AG10" s="17"/>
      <c r="AH10" s="17"/>
      <c r="AI10" s="17"/>
      <c r="AJ10" s="17"/>
      <c r="AK10" s="14"/>
      <c r="AL10" s="14"/>
      <c r="AM10" s="13"/>
      <c r="AN10" s="13"/>
      <c r="AO10" s="13"/>
      <c r="AP10" s="13"/>
      <c r="AQ10" s="13"/>
      <c r="AR10" s="13"/>
      <c r="AS10" s="13"/>
      <c r="AT10" s="13"/>
      <c r="AU10" s="13"/>
      <c r="AV10" s="13"/>
    </row>
    <row r="11" spans="1:48">
      <c r="A11" s="173" t="s">
        <v>13</v>
      </c>
      <c r="B11" s="173" t="s">
        <v>12</v>
      </c>
      <c r="C11" s="228">
        <v>6.12</v>
      </c>
      <c r="D11" s="105" t="s">
        <v>3</v>
      </c>
      <c r="E11" s="167">
        <v>44170</v>
      </c>
      <c r="F11" s="113">
        <v>0.43541666666666662</v>
      </c>
      <c r="G11" s="168" t="s">
        <v>167</v>
      </c>
      <c r="H11" s="169" t="str" cm="1">
        <f t="array" ref="H11">_xlfn.IFS(J11="","WAIT",J11="Never Arrived","Never Arrived",J11&lt;&gt;0,"ARRIVED")</f>
        <v>WAIT</v>
      </c>
      <c r="I11" s="170">
        <f t="shared" ca="1" si="0"/>
        <v>113</v>
      </c>
      <c r="J11" s="171"/>
      <c r="K11" s="171" t="str">
        <f t="shared" ca="1" si="1"/>
        <v>A/N</v>
      </c>
      <c r="L11" s="172">
        <f t="shared" si="2"/>
        <v>9</v>
      </c>
      <c r="M11" s="116" t="str" cm="1">
        <f t="array" aca="1" ref="M11" ca="1">IF(AND($M$1="Hide",H11="ARRIVED"),"",IF(N11="","",HYPERLINK(INDIRECT(Q11)&amp;N11,"TRACK")))</f>
        <v>TRACK</v>
      </c>
      <c r="N11" s="193" t="s">
        <v>181</v>
      </c>
      <c r="O11" s="132" t="str">
        <f t="shared" ca="1" si="3"/>
        <v/>
      </c>
      <c r="P11" s="138" t="s">
        <v>170</v>
      </c>
      <c r="Q11" s="199" t="s">
        <v>230</v>
      </c>
      <c r="R11" s="15" t="s">
        <v>6</v>
      </c>
      <c r="S11" s="121" t="s">
        <v>118</v>
      </c>
      <c r="T11" s="122">
        <f>COUNTIF(H4:H100,"WAIT")</f>
        <v>37</v>
      </c>
      <c r="U11" s="14"/>
      <c r="V11" s="198" t="s">
        <v>204</v>
      </c>
      <c r="W11" s="217" t="s">
        <v>201</v>
      </c>
      <c r="X11" s="13" t="s">
        <v>6</v>
      </c>
      <c r="Y11" s="13"/>
      <c r="Z11" s="13"/>
      <c r="AA11" s="13"/>
      <c r="AB11" s="17"/>
      <c r="AC11" s="17"/>
      <c r="AD11" s="17"/>
      <c r="AE11" s="17"/>
      <c r="AF11" s="17"/>
      <c r="AG11" s="17"/>
      <c r="AH11" s="17"/>
      <c r="AI11" s="17"/>
      <c r="AJ11" s="17"/>
      <c r="AK11" s="14"/>
      <c r="AL11" s="14"/>
      <c r="AM11" s="13"/>
      <c r="AN11" s="13"/>
      <c r="AO11" s="13"/>
      <c r="AP11" s="13"/>
      <c r="AQ11" s="13"/>
      <c r="AR11" s="13"/>
      <c r="AS11" s="13"/>
      <c r="AT11" s="13"/>
      <c r="AU11" s="13"/>
      <c r="AV11" s="13"/>
    </row>
    <row r="12" spans="1:48" ht="16.5" thickBot="1">
      <c r="A12" s="166" t="s">
        <v>18</v>
      </c>
      <c r="B12" s="173" t="s">
        <v>19</v>
      </c>
      <c r="C12" s="228">
        <v>2.6</v>
      </c>
      <c r="D12" s="105" t="s">
        <v>3</v>
      </c>
      <c r="E12" s="167">
        <v>44171</v>
      </c>
      <c r="F12" s="113">
        <v>0.4145833333333333</v>
      </c>
      <c r="G12" s="168" t="s">
        <v>33</v>
      </c>
      <c r="H12" s="169" t="str" cm="1">
        <f t="array" ref="H12">_xlfn.IFS(J12="","WAIT",J12="Never Arrived","Never Arrived",J12&lt;&gt;0,"ARRIVED")</f>
        <v>WAIT</v>
      </c>
      <c r="I12" s="170">
        <f t="shared" ca="1" si="0"/>
        <v>112</v>
      </c>
      <c r="J12" s="171"/>
      <c r="K12" s="171" t="str">
        <f t="shared" ca="1" si="1"/>
        <v>A/N</v>
      </c>
      <c r="L12" s="172">
        <f t="shared" si="2"/>
        <v>10</v>
      </c>
      <c r="M12" s="116" t="str" cm="1">
        <f t="array" aca="1" ref="M12" ca="1">IF(AND($M$1="Hide",H12="ARRIVED"),"",IF(N12="","",HYPERLINK(INDIRECT(Q12)&amp;N12,"TRACK")))</f>
        <v>TRACK</v>
      </c>
      <c r="N12" s="193" t="s">
        <v>182</v>
      </c>
      <c r="O12" s="132" t="str">
        <f t="shared" ca="1" si="3"/>
        <v/>
      </c>
      <c r="P12" s="138" t="s">
        <v>169</v>
      </c>
      <c r="Q12" s="196" t="s">
        <v>202</v>
      </c>
      <c r="R12" s="15" t="s">
        <v>6</v>
      </c>
      <c r="S12" s="123" t="s">
        <v>24</v>
      </c>
      <c r="T12" s="124">
        <f>COUNTIF(H4:H100,"ARRIVED")</f>
        <v>21</v>
      </c>
      <c r="U12" s="13"/>
      <c r="V12" s="199" t="s">
        <v>208</v>
      </c>
      <c r="W12" s="29" t="s">
        <v>209</v>
      </c>
      <c r="X12" s="13" t="s">
        <v>6</v>
      </c>
      <c r="Y12" s="13"/>
      <c r="Z12" s="17"/>
      <c r="AA12" s="17"/>
      <c r="AB12" s="17"/>
      <c r="AC12" s="17"/>
      <c r="AD12" s="17"/>
      <c r="AE12" s="17"/>
      <c r="AF12" s="17"/>
      <c r="AG12" s="17"/>
      <c r="AH12" s="17"/>
      <c r="AI12" s="14"/>
      <c r="AJ12" s="14"/>
      <c r="AK12" s="13"/>
      <c r="AL12" s="13"/>
      <c r="AM12" s="13"/>
      <c r="AN12" s="13"/>
      <c r="AO12" s="13"/>
      <c r="AP12" s="13"/>
      <c r="AQ12" s="13"/>
      <c r="AR12" s="13"/>
      <c r="AS12" s="13"/>
      <c r="AT12" s="13"/>
    </row>
    <row r="13" spans="1:48" ht="16.5" thickBot="1">
      <c r="A13" s="166" t="s">
        <v>20</v>
      </c>
      <c r="B13" s="173" t="s">
        <v>21</v>
      </c>
      <c r="C13" s="228">
        <v>3.34</v>
      </c>
      <c r="D13" s="105" t="s">
        <v>3</v>
      </c>
      <c r="E13" s="167">
        <v>44172</v>
      </c>
      <c r="F13" s="113">
        <v>0.57361111111111118</v>
      </c>
      <c r="G13" s="168" t="s">
        <v>32</v>
      </c>
      <c r="H13" s="169" t="str" cm="1">
        <f t="array" ref="H13">_xlfn.IFS(J13="","WAIT",J13="Never Arrived","Never Arrived",J13&lt;&gt;0,"ARRIVED")</f>
        <v>ARRIVED</v>
      </c>
      <c r="I13" s="170">
        <f t="shared" ca="1" si="0"/>
        <v>88</v>
      </c>
      <c r="J13" s="171">
        <v>44260</v>
      </c>
      <c r="K13" s="171">
        <f t="shared" ca="1" si="1"/>
        <v>44239</v>
      </c>
      <c r="L13" s="172">
        <f t="shared" si="2"/>
        <v>11</v>
      </c>
      <c r="M13" s="116" t="str" cm="1">
        <f t="array" aca="1" ref="M13" ca="1">IF(AND($M$1="Hide",H13="ARRIVED"),"",IF(N13="","",HYPERLINK(INDIRECT(Q13)&amp;N13,"TRACK")))</f>
        <v/>
      </c>
      <c r="N13" s="193" t="s">
        <v>183</v>
      </c>
      <c r="O13" s="132" t="str">
        <f t="shared" ca="1" si="3"/>
        <v/>
      </c>
      <c r="P13" s="138" t="s">
        <v>169</v>
      </c>
      <c r="Q13" s="196" t="s">
        <v>202</v>
      </c>
      <c r="R13" s="15" t="s">
        <v>6</v>
      </c>
      <c r="U13" s="13"/>
      <c r="V13" s="199" t="s">
        <v>230</v>
      </c>
      <c r="W13" s="216" t="s">
        <v>229</v>
      </c>
      <c r="X13" s="13" t="s">
        <v>6</v>
      </c>
      <c r="Y13" s="197"/>
      <c r="AA13" s="17"/>
      <c r="AB13" s="17"/>
      <c r="AC13" s="17"/>
      <c r="AD13" s="17"/>
      <c r="AE13" s="17"/>
      <c r="AF13" s="17"/>
      <c r="AG13" s="17"/>
      <c r="AH13" s="17"/>
      <c r="AI13" s="14"/>
      <c r="AJ13" s="14"/>
      <c r="AK13" s="13"/>
      <c r="AL13" s="13"/>
      <c r="AM13" s="13"/>
      <c r="AN13" s="13"/>
      <c r="AO13" s="13"/>
      <c r="AP13" s="13"/>
      <c r="AQ13" s="13"/>
      <c r="AR13" s="13"/>
      <c r="AS13" s="13"/>
      <c r="AT13" s="13"/>
    </row>
    <row r="14" spans="1:48" ht="15.95" customHeight="1">
      <c r="A14" s="166" t="s">
        <v>1</v>
      </c>
      <c r="B14" s="173" t="s">
        <v>22</v>
      </c>
      <c r="C14" s="228">
        <v>27.03</v>
      </c>
      <c r="D14" s="106" t="s">
        <v>0</v>
      </c>
      <c r="E14" s="167">
        <v>44172</v>
      </c>
      <c r="F14" s="113">
        <v>0.63194444444444442</v>
      </c>
      <c r="G14" s="168" t="s">
        <v>39</v>
      </c>
      <c r="H14" s="169" t="str" cm="1">
        <f t="array" ref="H14">_xlfn.IFS(J14="","WAIT",J14="Never Arrived","Never Arrived",J14&lt;&gt;0,"ARRIVED")</f>
        <v>ARRIVED</v>
      </c>
      <c r="I14" s="170">
        <f t="shared" ca="1" si="0"/>
        <v>14</v>
      </c>
      <c r="J14" s="171">
        <v>44186</v>
      </c>
      <c r="K14" s="171">
        <f t="shared" ca="1" si="1"/>
        <v>44192</v>
      </c>
      <c r="L14" s="172">
        <f t="shared" si="2"/>
        <v>12</v>
      </c>
      <c r="M14" s="116" t="str" cm="1">
        <f t="array" aca="1" ref="M14" ca="1">IF(AND($M$1="Hide",H14="ARRIVED"),"",IF(N14="","",HYPERLINK(INDIRECT(Q14)&amp;N14,"TRACK")))</f>
        <v/>
      </c>
      <c r="N14" s="193">
        <v>51027018</v>
      </c>
      <c r="O14" s="132" t="str">
        <f t="shared" ca="1" si="3"/>
        <v/>
      </c>
      <c r="P14" s="138" t="s">
        <v>169</v>
      </c>
      <c r="Q14" s="196" t="s">
        <v>202</v>
      </c>
      <c r="R14" s="15" t="s">
        <v>6</v>
      </c>
      <c r="S14" s="125" t="s">
        <v>47</v>
      </c>
      <c r="T14" s="126">
        <f ca="1">ROUNDUP(AVERAGEIFS(I4:I100,D4:D100,"bangood",H4:H100,"arrived"),0)</f>
        <v>20</v>
      </c>
      <c r="U14" s="13"/>
      <c r="V14" s="257" t="s">
        <v>316</v>
      </c>
      <c r="W14" s="197" t="s">
        <v>315</v>
      </c>
      <c r="X14" s="13" t="s">
        <v>6</v>
      </c>
      <c r="Y14" s="13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3"/>
      <c r="AL14" s="13"/>
      <c r="AM14" s="13"/>
      <c r="AN14" s="13"/>
      <c r="AO14" s="13"/>
      <c r="AP14" s="13"/>
      <c r="AQ14" s="13"/>
      <c r="AR14" s="13"/>
      <c r="AS14" s="13"/>
      <c r="AT14" s="13"/>
    </row>
    <row r="15" spans="1:48">
      <c r="A15" s="166" t="s">
        <v>9</v>
      </c>
      <c r="B15" s="173" t="s">
        <v>277</v>
      </c>
      <c r="C15" s="228">
        <v>3.16</v>
      </c>
      <c r="D15" s="105" t="s">
        <v>3</v>
      </c>
      <c r="E15" s="167">
        <v>44173</v>
      </c>
      <c r="F15" s="113">
        <v>0.4069444444444445</v>
      </c>
      <c r="G15" s="174" t="s">
        <v>31</v>
      </c>
      <c r="H15" s="169" t="str" cm="1">
        <f t="array" ref="H15">_xlfn.IFS(J15="","WAIT",J15="Never Arrived","Never Arrived",J15&lt;&gt;0,"ARRIVED")</f>
        <v>WAIT</v>
      </c>
      <c r="I15" s="170">
        <f t="shared" ca="1" si="0"/>
        <v>110</v>
      </c>
      <c r="J15" s="171"/>
      <c r="K15" s="171" t="str">
        <f t="shared" ca="1" si="1"/>
        <v>A/N</v>
      </c>
      <c r="L15" s="172">
        <f t="shared" si="2"/>
        <v>13</v>
      </c>
      <c r="M15" s="116" t="str" cm="1">
        <f t="array" aca="1" ref="M15" ca="1">IF(AND($M$1="Hide",H15="ARRIVED"),"",IF(N15="","",HYPERLINK(INDIRECT(Q15)&amp;N15,"TRACK")))</f>
        <v>TRACK</v>
      </c>
      <c r="N15" s="186" t="s">
        <v>184</v>
      </c>
      <c r="O15" s="132" t="str">
        <f t="shared" ca="1" si="3"/>
        <v/>
      </c>
      <c r="P15" s="138" t="s">
        <v>169</v>
      </c>
      <c r="Q15" s="196" t="s">
        <v>202</v>
      </c>
      <c r="R15" s="15" t="s">
        <v>6</v>
      </c>
      <c r="S15" s="127" t="s">
        <v>130</v>
      </c>
      <c r="T15" s="128">
        <f>COUNTIF(D4:D100,"bangood")</f>
        <v>8</v>
      </c>
      <c r="U15" s="13"/>
      <c r="V15" s="13"/>
      <c r="W15" s="13"/>
      <c r="X15" s="13"/>
      <c r="Y15" s="13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3"/>
      <c r="AL15" s="13"/>
      <c r="AM15" s="13"/>
      <c r="AN15" s="13"/>
      <c r="AO15" s="13"/>
      <c r="AP15" s="13"/>
      <c r="AQ15" s="13"/>
      <c r="AR15" s="13"/>
      <c r="AS15" s="13"/>
      <c r="AT15" s="13"/>
    </row>
    <row r="16" spans="1:48">
      <c r="A16" s="166" t="s">
        <v>18</v>
      </c>
      <c r="B16" s="175" t="s">
        <v>26</v>
      </c>
      <c r="C16" s="228">
        <v>19.100000000000001</v>
      </c>
      <c r="D16" s="105" t="s">
        <v>3</v>
      </c>
      <c r="E16" s="192">
        <v>44174</v>
      </c>
      <c r="F16" s="282">
        <v>0.66597222222222219</v>
      </c>
      <c r="G16" s="168" t="s">
        <v>30</v>
      </c>
      <c r="H16" s="169" t="str" cm="1">
        <f t="array" ref="H16">_xlfn.IFS(J16="","WAIT",J16="Never Arrived","Never Arrived",J16&lt;&gt;0,"ARRIVED")</f>
        <v>ARRIVED</v>
      </c>
      <c r="I16" s="285">
        <f t="shared" ca="1" si="0"/>
        <v>79</v>
      </c>
      <c r="J16" s="288">
        <v>44253</v>
      </c>
      <c r="K16" s="288">
        <f t="shared" ca="1" si="1"/>
        <v>44241</v>
      </c>
      <c r="L16" s="172">
        <f t="shared" si="2"/>
        <v>14</v>
      </c>
      <c r="M16" s="274" t="str" cm="1">
        <f t="array" aca="1" ref="M16" ca="1">IF(AND($M$1="Hide",H16="ARRIVED"),"",IF(N16="","",HYPERLINK(INDIRECT(Q16)&amp;N16,"TRACK")))</f>
        <v/>
      </c>
      <c r="N16" s="277" t="s">
        <v>185</v>
      </c>
      <c r="O16" s="260" t="str">
        <f ca="1">IF(AND(H16="ARRIVED",$O$1="show"),TODAY()-K16,"")</f>
        <v/>
      </c>
      <c r="P16" s="138" t="s">
        <v>169</v>
      </c>
      <c r="Q16" s="210" t="s">
        <v>230</v>
      </c>
      <c r="R16" s="15" t="s">
        <v>6</v>
      </c>
      <c r="S16" s="129" t="s">
        <v>47</v>
      </c>
      <c r="T16" s="130">
        <f ca="1">ROUNDUP(AVERAGEIFS(I4:I100,D4:D100,"aliexpress",H4:H100,"arrived"),0)</f>
        <v>67</v>
      </c>
      <c r="U16" s="13"/>
      <c r="V16" s="13"/>
      <c r="W16" s="13"/>
      <c r="X16" s="13"/>
      <c r="Y16" s="13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3"/>
      <c r="AL16" s="13"/>
      <c r="AM16" s="13"/>
      <c r="AN16" s="13"/>
      <c r="AO16" s="13"/>
      <c r="AP16" s="13"/>
      <c r="AQ16" s="13"/>
      <c r="AR16" s="13"/>
      <c r="AS16" s="13"/>
      <c r="AT16" s="13"/>
    </row>
    <row r="17" spans="1:43">
      <c r="A17" s="166" t="s">
        <v>13</v>
      </c>
      <c r="B17" s="175" t="s">
        <v>28</v>
      </c>
      <c r="C17" s="228">
        <v>2.04</v>
      </c>
      <c r="D17" s="105" t="s">
        <v>3</v>
      </c>
      <c r="E17" s="192">
        <v>44174</v>
      </c>
      <c r="F17" s="284"/>
      <c r="G17" s="168" t="s">
        <v>29</v>
      </c>
      <c r="H17" s="169" t="str" cm="1">
        <f t="array" ref="H17">_xlfn.IFS(J16="","WAIT",J16="Never Arrived","Never Arrived",J16&lt;&gt;0,"ARRIVED")</f>
        <v>ARRIVED</v>
      </c>
      <c r="I17" s="286"/>
      <c r="J17" s="290"/>
      <c r="K17" s="290"/>
      <c r="L17" s="172">
        <f t="shared" si="2"/>
        <v>15</v>
      </c>
      <c r="M17" s="276"/>
      <c r="N17" s="279"/>
      <c r="O17" s="261"/>
      <c r="P17" s="138" t="s">
        <v>169</v>
      </c>
      <c r="Q17" s="211"/>
      <c r="R17" s="15" t="s">
        <v>6</v>
      </c>
      <c r="S17" s="127" t="s">
        <v>131</v>
      </c>
      <c r="T17" s="128">
        <f>COUNTIF(D4:D100,"aliexpress")</f>
        <v>44</v>
      </c>
      <c r="U17" s="13"/>
      <c r="V17" s="13"/>
      <c r="W17" s="14"/>
      <c r="X17" s="13"/>
      <c r="Y17" s="14"/>
      <c r="Z17" s="14"/>
      <c r="AA17" s="14"/>
      <c r="AB17" s="14"/>
      <c r="AC17" s="14"/>
      <c r="AD17" s="14"/>
      <c r="AE17" s="14"/>
      <c r="AF17" s="14"/>
      <c r="AG17" s="14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6.5" thickBot="1">
      <c r="A18" s="166" t="s">
        <v>27</v>
      </c>
      <c r="B18" s="173" t="s">
        <v>77</v>
      </c>
      <c r="C18" s="228">
        <v>65</v>
      </c>
      <c r="D18" s="108" t="s">
        <v>79</v>
      </c>
      <c r="E18" s="167">
        <v>44197</v>
      </c>
      <c r="F18" s="115">
        <v>0.70763888888888904</v>
      </c>
      <c r="G18" s="168" t="s">
        <v>78</v>
      </c>
      <c r="H18" s="169" t="str" cm="1">
        <f t="array" ref="H18">_xlfn.IFS(J18="","WAIT",J18="Never Arrived","Never Arrived",J18&lt;&gt;0,"ARRIVED")</f>
        <v>ARRIVED</v>
      </c>
      <c r="I18" s="170">
        <f t="shared" ca="1" si="0"/>
        <v>1</v>
      </c>
      <c r="J18" s="171">
        <v>44198</v>
      </c>
      <c r="K18" s="171" t="str">
        <f ca="1">IF(D18="aliexpress",IF(AND(E18+$T$16&lt;=TODAY(),H18="WAIT"),"A/N",E18+$T$16),IF(D18="bangood",IF(AND(E18+$T$14&lt;=TODAY(),H18="WAIT"),"A/N",E18+$T$14),"A/N STORE"))</f>
        <v>A/N STORE</v>
      </c>
      <c r="L18" s="172">
        <f t="shared" si="2"/>
        <v>16</v>
      </c>
      <c r="M18" s="116" t="str" cm="1">
        <f t="array" aca="1" ref="M18" ca="1">IF(AND($M$1="Hide",H18="ARRIVED"),"",IF(N18="","",HYPERLINK(INDIRECT(Q18)&amp;N18,"TRACK")))</f>
        <v/>
      </c>
      <c r="N18" s="185"/>
      <c r="O18" s="132" t="str">
        <f t="shared" ca="1" si="3"/>
        <v/>
      </c>
      <c r="P18" s="138" t="s">
        <v>169</v>
      </c>
      <c r="Q18" s="196" t="s">
        <v>202</v>
      </c>
      <c r="R18" s="15" t="s">
        <v>6</v>
      </c>
      <c r="S18" s="152" t="s">
        <v>132</v>
      </c>
      <c r="T18" s="131">
        <f>T10-T17-T15</f>
        <v>7</v>
      </c>
      <c r="U18" s="13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3"/>
      <c r="AH18" s="13"/>
      <c r="AI18" s="13"/>
      <c r="AJ18" s="13"/>
      <c r="AK18" s="13"/>
      <c r="AL18" s="13"/>
      <c r="AM18" s="13"/>
      <c r="AN18" s="13"/>
      <c r="AO18" s="13"/>
      <c r="AP18" s="13"/>
    </row>
    <row r="19" spans="1:43" ht="16.5" thickBot="1">
      <c r="A19" s="173" t="s">
        <v>27</v>
      </c>
      <c r="B19" s="173" t="s">
        <v>97</v>
      </c>
      <c r="C19" s="228">
        <v>35.380000000000003</v>
      </c>
      <c r="D19" s="106" t="s">
        <v>0</v>
      </c>
      <c r="E19" s="167">
        <v>44199</v>
      </c>
      <c r="F19" s="115">
        <v>0.54513888888888895</v>
      </c>
      <c r="G19" s="168" t="s">
        <v>95</v>
      </c>
      <c r="H19" s="169" t="str" cm="1">
        <f t="array" ref="H19">_xlfn.IFS(J19="","WAIT",J19="Never Arrived","Never Arrived",J19&lt;&gt;0,"ARRIVED")</f>
        <v>ARRIVED</v>
      </c>
      <c r="I19" s="170">
        <f t="shared" ca="1" si="0"/>
        <v>10</v>
      </c>
      <c r="J19" s="171">
        <v>44209</v>
      </c>
      <c r="K19" s="171">
        <f ca="1">IF(D19="aliexpress",IF(AND(E19+$T$16&lt;=TODAY(),H19="WAIT"),"A/N",E19+$T$16),IF(D19="bangood",IF(AND(E19+$T$14&lt;=TODAY(),H19="WAIT"),"A/N",E19+$T$14),"A/N STORE"))</f>
        <v>44219</v>
      </c>
      <c r="L19" s="172">
        <f t="shared" si="2"/>
        <v>17</v>
      </c>
      <c r="M19" s="116" t="str" cm="1">
        <f t="array" aca="1" ref="M19" ca="1">IF(AND($M$1="Hide",H19="ARRIVED"),"",IF(N19="","",HYPERLINK(INDIRECT(Q19)&amp;N19,"TRACK")))</f>
        <v/>
      </c>
      <c r="N19" s="193" t="s">
        <v>186</v>
      </c>
      <c r="O19" s="132" t="str">
        <f t="shared" ca="1" si="3"/>
        <v/>
      </c>
      <c r="P19" s="138" t="s">
        <v>169</v>
      </c>
      <c r="Q19" s="195" t="s">
        <v>203</v>
      </c>
      <c r="R19" s="15" t="s">
        <v>6</v>
      </c>
      <c r="S19" s="13"/>
      <c r="T19" s="13"/>
      <c r="U19" s="13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3"/>
      <c r="AH19" s="13"/>
      <c r="AI19" s="13"/>
      <c r="AJ19" s="13"/>
      <c r="AK19" s="13"/>
      <c r="AL19" s="13"/>
      <c r="AM19" s="13"/>
      <c r="AN19" s="13"/>
      <c r="AO19" s="13"/>
      <c r="AP19" s="13"/>
    </row>
    <row r="20" spans="1:43" ht="16.5" thickBot="1">
      <c r="A20" s="173" t="s">
        <v>27</v>
      </c>
      <c r="B20" s="173" t="s">
        <v>108</v>
      </c>
      <c r="C20" s="228">
        <v>70.7</v>
      </c>
      <c r="D20" s="106" t="s">
        <v>0</v>
      </c>
      <c r="E20" s="167">
        <v>44200</v>
      </c>
      <c r="F20" s="115">
        <v>0.54305555555555551</v>
      </c>
      <c r="G20" s="174" t="s">
        <v>107</v>
      </c>
      <c r="H20" s="169" t="str" cm="1">
        <f t="array" ref="H20">_xlfn.IFS(J20="","WAIT",J20="Never Arrived","Never Arrived",J20&lt;&gt;0,"ARRIVED")</f>
        <v>ARRIVED</v>
      </c>
      <c r="I20" s="170">
        <f t="shared" ca="1" si="0"/>
        <v>25</v>
      </c>
      <c r="J20" s="171">
        <v>44225</v>
      </c>
      <c r="K20" s="171">
        <f ca="1">IF(D20="aliexpress",IF(AND(E20+$T$16&lt;=TODAY(),H20="WAIT"),"A/N",E20+$T$16),IF(D20="bangood",IF(AND(E20+$T$14&lt;=TODAY(),H20="WAIT"),"A/N",E20+$T$14),"A/N STORE"))</f>
        <v>44220</v>
      </c>
      <c r="L20" s="172">
        <f t="shared" si="2"/>
        <v>18</v>
      </c>
      <c r="M20" s="116" t="str" cm="1">
        <f t="array" aca="1" ref="M20" ca="1">IF(AND($M$1="Hide",H20="ARRIVED"),"",IF(N20="","",HYPERLINK(INDIRECT(Q20)&amp;N20,"TRACK")))</f>
        <v/>
      </c>
      <c r="N20" s="186" t="s">
        <v>187</v>
      </c>
      <c r="O20" s="132" t="str">
        <f t="shared" ca="1" si="3"/>
        <v/>
      </c>
      <c r="P20" s="138" t="s">
        <v>169</v>
      </c>
      <c r="Q20" s="195" t="s">
        <v>203</v>
      </c>
      <c r="R20" s="15" t="s">
        <v>6</v>
      </c>
      <c r="S20" s="139" t="s">
        <v>171</v>
      </c>
      <c r="T20" s="140">
        <f>COUNTIF(P4:P100,"YES")</f>
        <v>3</v>
      </c>
      <c r="U20" s="13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3"/>
      <c r="AH20" s="13"/>
      <c r="AI20" s="13"/>
      <c r="AJ20" s="13"/>
      <c r="AK20" s="13"/>
      <c r="AL20" s="13"/>
      <c r="AM20" s="13"/>
      <c r="AN20" s="13"/>
      <c r="AO20" s="13"/>
      <c r="AP20" s="13"/>
    </row>
    <row r="21" spans="1:43">
      <c r="A21" s="173" t="s">
        <v>27</v>
      </c>
      <c r="B21" s="166" t="s">
        <v>109</v>
      </c>
      <c r="C21" s="228">
        <v>12.04</v>
      </c>
      <c r="D21" s="105" t="s">
        <v>3</v>
      </c>
      <c r="E21" s="192">
        <v>44200</v>
      </c>
      <c r="F21" s="282">
        <v>0.7583333333333333</v>
      </c>
      <c r="G21" s="168" t="s">
        <v>112</v>
      </c>
      <c r="H21" s="169" t="str" cm="1">
        <f t="array" ref="H21">_xlfn.IFS(J21="","WAIT",J21="Never Arrived","Never Arrived",J21&lt;&gt;0,"ARRIVED")</f>
        <v>ARRIVED</v>
      </c>
      <c r="I21" s="285">
        <f t="shared" ca="1" si="0"/>
        <v>60</v>
      </c>
      <c r="J21" s="291">
        <v>44260</v>
      </c>
      <c r="K21" s="288">
        <f ca="1">IF(D21="aliexpress",IF(AND(E21+$T$16&lt;=TODAY(),H21="WAIT"),"A/N",E21+$T$16),IF(D21="bangood",IF(AND(E21+$T$14&lt;=TODAY(),H21="WAIT"),"A/N",E21+$T$14),"A/N STORE"))</f>
        <v>44267</v>
      </c>
      <c r="L21" s="172">
        <f t="shared" si="2"/>
        <v>19</v>
      </c>
      <c r="M21" s="274" t="str" cm="1">
        <f t="array" aca="1" ref="M21" ca="1">IF(AND($M$1="Hide",H21="ARRIVED"),"",IF(N21="","",HYPERLINK(INDIRECT(Q21)&amp;N21,"TRACK")))</f>
        <v/>
      </c>
      <c r="N21" s="277" t="s">
        <v>188</v>
      </c>
      <c r="O21" s="260" t="str">
        <f t="shared" ca="1" si="3"/>
        <v/>
      </c>
      <c r="P21" s="138" t="s">
        <v>169</v>
      </c>
      <c r="Q21" s="271" t="s">
        <v>230</v>
      </c>
      <c r="R21" s="15" t="s">
        <v>6</v>
      </c>
      <c r="S21" s="13"/>
      <c r="T21" s="13"/>
      <c r="U21" s="13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3"/>
      <c r="AH21" s="13"/>
      <c r="AI21" s="13"/>
      <c r="AJ21" s="13"/>
      <c r="AK21" s="13"/>
      <c r="AL21" s="13"/>
      <c r="AM21" s="13"/>
      <c r="AN21" s="13"/>
      <c r="AO21" s="13"/>
      <c r="AP21" s="13"/>
    </row>
    <row r="22" spans="1:43">
      <c r="A22" s="173" t="s">
        <v>27</v>
      </c>
      <c r="B22" s="175" t="s">
        <v>28</v>
      </c>
      <c r="C22" s="228">
        <v>4.3099999999999996</v>
      </c>
      <c r="D22" s="105" t="s">
        <v>3</v>
      </c>
      <c r="E22" s="192">
        <v>44200</v>
      </c>
      <c r="F22" s="283"/>
      <c r="G22" s="168" t="s">
        <v>111</v>
      </c>
      <c r="H22" s="169" t="str" cm="1">
        <f t="array" ref="H22">_xlfn.IFS(J21="","WAIT",J21="Never Arrived","Never Arrived",J21&lt;&gt;0,"ARRIVED")</f>
        <v>ARRIVED</v>
      </c>
      <c r="I22" s="287"/>
      <c r="J22" s="292"/>
      <c r="K22" s="289"/>
      <c r="L22" s="172">
        <f t="shared" si="2"/>
        <v>20</v>
      </c>
      <c r="M22" s="275"/>
      <c r="N22" s="278"/>
      <c r="O22" s="262"/>
      <c r="P22" s="138" t="s">
        <v>169</v>
      </c>
      <c r="Q22" s="272"/>
      <c r="R22" s="15" t="s">
        <v>6</v>
      </c>
      <c r="V22" s="1"/>
      <c r="W22" s="1"/>
      <c r="X22" s="14"/>
      <c r="Y22" s="1"/>
      <c r="Z22" s="1"/>
      <c r="AA22" s="1"/>
      <c r="AB22" s="1"/>
      <c r="AC22" s="1"/>
      <c r="AD22" s="1"/>
      <c r="AE22" s="1"/>
      <c r="AF22" s="1"/>
    </row>
    <row r="23" spans="1:43">
      <c r="A23" s="173" t="s">
        <v>27</v>
      </c>
      <c r="B23" s="166" t="s">
        <v>110</v>
      </c>
      <c r="C23" s="228">
        <v>5.44</v>
      </c>
      <c r="D23" s="105" t="s">
        <v>3</v>
      </c>
      <c r="E23" s="192">
        <v>44200</v>
      </c>
      <c r="F23" s="284"/>
      <c r="G23" s="168" t="s">
        <v>113</v>
      </c>
      <c r="H23" s="169" t="str" cm="1">
        <f t="array" ref="H23">_xlfn.IFS(J21="","WAIT",J21="Never Arrived","Never Arrived",J21&lt;&gt;0,"ARRIVED")</f>
        <v>ARRIVED</v>
      </c>
      <c r="I23" s="286"/>
      <c r="J23" s="293"/>
      <c r="K23" s="290"/>
      <c r="L23" s="172">
        <f t="shared" si="2"/>
        <v>21</v>
      </c>
      <c r="M23" s="276"/>
      <c r="N23" s="279"/>
      <c r="O23" s="261"/>
      <c r="P23" s="138" t="s">
        <v>169</v>
      </c>
      <c r="Q23" s="273"/>
      <c r="R23" s="15" t="s">
        <v>6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43">
      <c r="A24" s="173" t="s">
        <v>122</v>
      </c>
      <c r="B24" s="176" t="s">
        <v>128</v>
      </c>
      <c r="C24" s="228">
        <v>3.05</v>
      </c>
      <c r="D24" s="105" t="s">
        <v>3</v>
      </c>
      <c r="E24" s="167">
        <v>44201</v>
      </c>
      <c r="F24" s="115">
        <v>2.4999999999999998E-2</v>
      </c>
      <c r="G24" s="168" t="s">
        <v>121</v>
      </c>
      <c r="H24" s="169" t="str" cm="1">
        <f t="array" ref="H24">_xlfn.IFS(J24="","WAIT",J24="Never Arrived","Never Arrived",J24&lt;&gt;0,"ARRIVED")</f>
        <v>WAIT</v>
      </c>
      <c r="I24" s="170">
        <f t="shared" ca="1" si="0"/>
        <v>82</v>
      </c>
      <c r="J24" s="167"/>
      <c r="K24" s="171" t="str">
        <f t="shared" ref="K24:K32" ca="1" si="4">IF(D24="aliexpress",IF(AND(E24+$T$16&lt;=TODAY(),H24="WAIT"),"A/N",E24+$T$16),IF(D24="bangood",IF(AND(E24+$T$14&lt;=TODAY(),H24="WAIT"),"A/N",E24+$T$14),"A/N STORE"))</f>
        <v>A/N</v>
      </c>
      <c r="L24" s="172">
        <f t="shared" si="2"/>
        <v>22</v>
      </c>
      <c r="M24" s="116" t="str" cm="1">
        <f t="array" aca="1" ref="M24" ca="1">IF(AND($M$1="Hide",H24="ARRIVED"),"",IF(N24="","",HYPERLINK(INDIRECT(Q24)&amp;N24,"TRACK")))</f>
        <v>TRACK</v>
      </c>
      <c r="N24" s="193" t="s">
        <v>189</v>
      </c>
      <c r="O24" s="132" t="str">
        <f t="shared" ca="1" si="3"/>
        <v/>
      </c>
      <c r="P24" s="138" t="s">
        <v>169</v>
      </c>
      <c r="Q24" s="196" t="s">
        <v>202</v>
      </c>
      <c r="R24" s="15" t="s">
        <v>6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43">
      <c r="A25" s="173" t="s">
        <v>123</v>
      </c>
      <c r="B25" s="176" t="s">
        <v>129</v>
      </c>
      <c r="C25" s="228">
        <v>10.85</v>
      </c>
      <c r="D25" s="105" t="s">
        <v>3</v>
      </c>
      <c r="E25" s="167">
        <v>44201</v>
      </c>
      <c r="F25" s="115">
        <v>3.9583333333333331E-2</v>
      </c>
      <c r="G25" s="168" t="s">
        <v>124</v>
      </c>
      <c r="H25" s="169" t="str" cm="1">
        <f t="array" ref="H25">_xlfn.IFS(J25="","WAIT",J25="Never Arrived","Never Arrived",J25&lt;&gt;0,"ARRIVED")</f>
        <v>ARRIVED</v>
      </c>
      <c r="I25" s="170">
        <f t="shared" ca="1" si="0"/>
        <v>58</v>
      </c>
      <c r="J25" s="167">
        <v>44259</v>
      </c>
      <c r="K25" s="171">
        <f t="shared" ca="1" si="4"/>
        <v>44268</v>
      </c>
      <c r="L25" s="172">
        <f t="shared" si="2"/>
        <v>23</v>
      </c>
      <c r="M25" s="116" t="str" cm="1">
        <f t="array" aca="1" ref="M25" ca="1">IF(AND($M$1="Hide",H25="ARRIVED"),"",IF(N25="","",HYPERLINK(INDIRECT(Q25)&amp;N25,"TRACK")))</f>
        <v/>
      </c>
      <c r="N25" s="184" t="s">
        <v>157</v>
      </c>
      <c r="O25" s="132" t="str">
        <f t="shared" ca="1" si="3"/>
        <v/>
      </c>
      <c r="P25" s="138" t="s">
        <v>169</v>
      </c>
      <c r="Q25" s="199" t="s">
        <v>230</v>
      </c>
      <c r="R25" s="15" t="s">
        <v>6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43">
      <c r="A26" s="173" t="s">
        <v>126</v>
      </c>
      <c r="B26" s="176" t="s">
        <v>127</v>
      </c>
      <c r="C26" s="228">
        <v>2.4300000000000002</v>
      </c>
      <c r="D26" s="105" t="s">
        <v>3</v>
      </c>
      <c r="E26" s="167">
        <v>44201</v>
      </c>
      <c r="F26" s="115">
        <v>0.49444444444444446</v>
      </c>
      <c r="G26" s="168" t="s">
        <v>121</v>
      </c>
      <c r="H26" s="169" t="str" cm="1">
        <f t="array" ref="H26">_xlfn.IFS(J26="","WAIT",J26="Never Arrived","Never Arrived",J26&lt;&gt;0,"ARRIVED")</f>
        <v>ARRIVED</v>
      </c>
      <c r="I26" s="170">
        <f t="shared" ca="1" si="0"/>
        <v>59</v>
      </c>
      <c r="J26" s="167">
        <v>44260</v>
      </c>
      <c r="K26" s="171">
        <f t="shared" ca="1" si="4"/>
        <v>44268</v>
      </c>
      <c r="L26" s="172">
        <f t="shared" si="2"/>
        <v>24</v>
      </c>
      <c r="M26" s="116" t="str" cm="1">
        <f t="array" aca="1" ref="M26" ca="1">IF(AND($M$1="Hide",H26="ARRIVED"),"",IF(N26="","",HYPERLINK(INDIRECT(Q26)&amp;N26,"TRACK")))</f>
        <v/>
      </c>
      <c r="N26" s="184" t="s">
        <v>142</v>
      </c>
      <c r="O26" s="132" t="str">
        <f t="shared" ca="1" si="3"/>
        <v/>
      </c>
      <c r="P26" s="138" t="s">
        <v>169</v>
      </c>
      <c r="Q26" s="196" t="s">
        <v>202</v>
      </c>
      <c r="R26" s="15" t="s">
        <v>6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43">
      <c r="A27" s="173" t="s">
        <v>27</v>
      </c>
      <c r="B27" s="166" t="s">
        <v>141</v>
      </c>
      <c r="C27" s="228">
        <v>18.91</v>
      </c>
      <c r="D27" s="105" t="s">
        <v>3</v>
      </c>
      <c r="E27" s="167">
        <v>44201</v>
      </c>
      <c r="F27" s="115">
        <v>0.69791666666666663</v>
      </c>
      <c r="G27" s="168" t="s">
        <v>139</v>
      </c>
      <c r="H27" s="169" t="str" cm="1">
        <f t="array" ref="H27">_xlfn.IFS(J27="","WAIT",J27="Never Arrived","Never Arrived",J27&lt;&gt;0,"ARRIVED")</f>
        <v>WAIT</v>
      </c>
      <c r="I27" s="170">
        <f t="shared" ca="1" si="0"/>
        <v>82</v>
      </c>
      <c r="J27" s="167"/>
      <c r="K27" s="171" t="str">
        <f t="shared" ca="1" si="4"/>
        <v>A/N</v>
      </c>
      <c r="L27" s="172">
        <f t="shared" ref="L27:L32" si="5">IF(C27="","",1+L26)</f>
        <v>25</v>
      </c>
      <c r="M27" s="116" t="str" cm="1">
        <f t="array" aca="1" ref="M27" ca="1">IF(AND($M$1="Hide",H27="ARRIVED"),"",IF(N27="","",HYPERLINK(INDIRECT(Q27)&amp;N27,"TRACK")))</f>
        <v>TRACK</v>
      </c>
      <c r="N27" s="240" t="s">
        <v>290</v>
      </c>
      <c r="O27" s="132" t="str">
        <f t="shared" ca="1" si="3"/>
        <v/>
      </c>
      <c r="P27" s="138" t="s">
        <v>169</v>
      </c>
      <c r="Q27" s="199" t="s">
        <v>230</v>
      </c>
      <c r="R27" s="15" t="s">
        <v>6</v>
      </c>
      <c r="V27" s="1"/>
      <c r="W27" s="1"/>
      <c r="X27" s="1"/>
      <c r="Z27" s="1"/>
      <c r="AA27" s="1"/>
      <c r="AB27" s="1"/>
      <c r="AC27" s="1"/>
      <c r="AD27" s="1"/>
      <c r="AE27" s="1"/>
      <c r="AF27" s="1"/>
    </row>
    <row r="28" spans="1:43">
      <c r="A28" s="166" t="s">
        <v>147</v>
      </c>
      <c r="B28" s="177" t="s">
        <v>162</v>
      </c>
      <c r="C28" s="228">
        <v>7.57</v>
      </c>
      <c r="D28" s="105" t="s">
        <v>3</v>
      </c>
      <c r="E28" s="167">
        <v>44204</v>
      </c>
      <c r="F28" s="115">
        <v>0.96875</v>
      </c>
      <c r="G28" s="178" t="s">
        <v>148</v>
      </c>
      <c r="H28" s="169" t="str" cm="1">
        <f t="array" ref="H28">_xlfn.IFS(J28="","WAIT",J28="Never Arrived","Never Arrived",J28&lt;&gt;0,"ARRIVED")</f>
        <v>WAIT</v>
      </c>
      <c r="I28" s="170">
        <f t="shared" ca="1" si="0"/>
        <v>79</v>
      </c>
      <c r="J28" s="167"/>
      <c r="K28" s="171" t="str">
        <f t="shared" ca="1" si="4"/>
        <v>A/N</v>
      </c>
      <c r="L28" s="172">
        <f t="shared" si="5"/>
        <v>26</v>
      </c>
      <c r="M28" s="116" t="str" cm="1">
        <f t="array" aca="1" ref="M28" ca="1">IF(AND($M$1="Hide",H28="ARRIVED"),"",IF(N28="","",HYPERLINK(INDIRECT(Q28)&amp;N28,"TRACK")))</f>
        <v>TRACK</v>
      </c>
      <c r="N28" s="208" t="s">
        <v>155</v>
      </c>
      <c r="O28" s="132" t="str">
        <f t="shared" ca="1" si="3"/>
        <v/>
      </c>
      <c r="P28" s="138" t="s">
        <v>169</v>
      </c>
      <c r="Q28" s="199" t="s">
        <v>230</v>
      </c>
      <c r="R28" s="15" t="s">
        <v>6</v>
      </c>
      <c r="V28" s="1"/>
      <c r="W28" s="1"/>
      <c r="X28" s="1"/>
      <c r="Z28" s="1"/>
      <c r="AA28" s="1"/>
      <c r="AB28" s="1"/>
      <c r="AC28" s="1"/>
      <c r="AD28" s="1"/>
      <c r="AE28" s="1"/>
      <c r="AF28" s="1"/>
    </row>
    <row r="29" spans="1:43">
      <c r="A29" s="166" t="s">
        <v>151</v>
      </c>
      <c r="B29" s="177" t="s">
        <v>152</v>
      </c>
      <c r="C29" s="228">
        <v>2.27</v>
      </c>
      <c r="D29" s="105" t="s">
        <v>3</v>
      </c>
      <c r="E29" s="167">
        <v>44205</v>
      </c>
      <c r="F29" s="115">
        <v>7.8472222222222221E-2</v>
      </c>
      <c r="G29" s="178" t="s">
        <v>150</v>
      </c>
      <c r="H29" s="169" t="str" cm="1">
        <f t="array" ref="H29">_xlfn.IFS(J29="","WAIT",J29="Never Arrived","Never Arrived",J29&lt;&gt;0,"ARRIVED")</f>
        <v>WAIT</v>
      </c>
      <c r="I29" s="170">
        <f t="shared" ca="1" si="0"/>
        <v>78</v>
      </c>
      <c r="J29" s="167"/>
      <c r="K29" s="171" t="str">
        <f t="shared" ca="1" si="4"/>
        <v>A/N</v>
      </c>
      <c r="L29" s="172">
        <f t="shared" si="5"/>
        <v>27</v>
      </c>
      <c r="M29" s="116" t="str" cm="1">
        <f t="array" aca="1" ref="M29" ca="1">IF(AND($M$1="Hide",H29="ARRIVED"),"",IF(N29="","",HYPERLINK(INDIRECT(Q29)&amp;N29,"TRACK")))</f>
        <v>TRACK</v>
      </c>
      <c r="N29" s="184" t="s">
        <v>156</v>
      </c>
      <c r="O29" s="132" t="str">
        <f t="shared" ca="1" si="3"/>
        <v/>
      </c>
      <c r="P29" s="138" t="s">
        <v>169</v>
      </c>
      <c r="Q29" s="196" t="s">
        <v>202</v>
      </c>
      <c r="R29" s="15" t="s">
        <v>6</v>
      </c>
      <c r="V29" s="1"/>
      <c r="W29" s="1"/>
      <c r="X29" s="1"/>
      <c r="Z29" s="1"/>
      <c r="AA29" s="1"/>
      <c r="AB29" s="1"/>
      <c r="AC29" s="1"/>
      <c r="AD29" s="1"/>
      <c r="AE29" s="1"/>
      <c r="AF29" s="1"/>
    </row>
    <row r="30" spans="1:43">
      <c r="A30" s="166" t="s">
        <v>160</v>
      </c>
      <c r="B30" s="177" t="s">
        <v>163</v>
      </c>
      <c r="C30" s="228">
        <v>12.09</v>
      </c>
      <c r="D30" s="105" t="s">
        <v>3</v>
      </c>
      <c r="E30" s="167">
        <v>44207</v>
      </c>
      <c r="F30" s="115">
        <v>0.4513888888888889</v>
      </c>
      <c r="G30" s="178" t="s">
        <v>161</v>
      </c>
      <c r="H30" s="169" t="str" cm="1">
        <f t="array" ref="H30">_xlfn.IFS(J30="","WAIT",J30="Never Arrived","Never Arrived",J30&lt;&gt;0,"ARRIVED")</f>
        <v>WAIT</v>
      </c>
      <c r="I30" s="170">
        <f t="shared" ca="1" si="0"/>
        <v>76</v>
      </c>
      <c r="J30" s="167"/>
      <c r="K30" s="171" t="str">
        <f t="shared" ca="1" si="4"/>
        <v>A/N</v>
      </c>
      <c r="L30" s="172">
        <f t="shared" si="5"/>
        <v>28</v>
      </c>
      <c r="M30" s="116" t="str" cm="1">
        <f t="array" aca="1" ref="M30" ca="1">IF(AND($M$1="Hide",H30="ARRIVED"),"",IF(N30="","",HYPERLINK(INDIRECT(Q30)&amp;N30,"TRACK")))</f>
        <v>TRACK</v>
      </c>
      <c r="N30" s="240" t="s">
        <v>192</v>
      </c>
      <c r="O30" s="132" t="str">
        <f t="shared" ca="1" si="3"/>
        <v/>
      </c>
      <c r="P30" s="138" t="s">
        <v>169</v>
      </c>
      <c r="Q30" s="199" t="s">
        <v>230</v>
      </c>
      <c r="R30" s="15" t="s">
        <v>6</v>
      </c>
      <c r="W30" s="1"/>
      <c r="X30" s="1"/>
    </row>
    <row r="31" spans="1:43">
      <c r="A31" s="173" t="s">
        <v>13</v>
      </c>
      <c r="B31" s="173" t="s">
        <v>231</v>
      </c>
      <c r="C31" s="228">
        <v>5.81</v>
      </c>
      <c r="D31" s="105" t="s">
        <v>3</v>
      </c>
      <c r="E31" s="167">
        <v>44207</v>
      </c>
      <c r="F31" s="115">
        <v>0.83333333333333337</v>
      </c>
      <c r="G31" s="168" t="s">
        <v>167</v>
      </c>
      <c r="H31" s="169" t="str" cm="1">
        <f t="array" ref="H31">_xlfn.IFS(J31="","WAIT",J31="Never Arrived","Never Arrived",J31&lt;&gt;0,"ARRIVED")</f>
        <v>ARRIVED</v>
      </c>
      <c r="I31" s="170">
        <f t="shared" ca="1" si="0"/>
        <v>52</v>
      </c>
      <c r="J31" s="167">
        <v>44259</v>
      </c>
      <c r="K31" s="171">
        <f t="shared" ca="1" si="4"/>
        <v>44274</v>
      </c>
      <c r="L31" s="172">
        <f t="shared" si="5"/>
        <v>29</v>
      </c>
      <c r="M31" s="116" t="str" cm="1">
        <f t="array" aca="1" ref="M31" ca="1">IF(AND($M$1="Hide",H31="ARRIVED"),"",IF(N31="","",HYPERLINK(INDIRECT(Q31)&amp;N31,"TRACK")))</f>
        <v/>
      </c>
      <c r="N31" s="187" t="s">
        <v>191</v>
      </c>
      <c r="O31" s="132" t="str">
        <f t="shared" ca="1" si="3"/>
        <v/>
      </c>
      <c r="P31" s="138" t="s">
        <v>169</v>
      </c>
      <c r="Q31" s="199" t="s">
        <v>230</v>
      </c>
      <c r="R31" s="15" t="s">
        <v>6</v>
      </c>
      <c r="W31" s="1"/>
    </row>
    <row r="32" spans="1:43">
      <c r="A32" s="173" t="s">
        <v>27</v>
      </c>
      <c r="B32" s="173" t="s">
        <v>175</v>
      </c>
      <c r="C32" s="228">
        <v>45.35</v>
      </c>
      <c r="D32" s="106" t="s">
        <v>0</v>
      </c>
      <c r="E32" s="167">
        <v>44208</v>
      </c>
      <c r="F32" s="115">
        <v>0.69861111111111107</v>
      </c>
      <c r="G32" s="168" t="s">
        <v>173</v>
      </c>
      <c r="H32" s="169" t="str" cm="1">
        <f t="array" ref="H32">_xlfn.IFS(J32="","WAIT",J32="Never Arrived","Never Arrived",J32&lt;&gt;0,"ARRIVED")</f>
        <v>ARRIVED</v>
      </c>
      <c r="I32" s="170">
        <f t="shared" ca="1" si="0"/>
        <v>27</v>
      </c>
      <c r="J32" s="167">
        <v>44235</v>
      </c>
      <c r="K32" s="171">
        <f t="shared" ca="1" si="4"/>
        <v>44228</v>
      </c>
      <c r="L32" s="172">
        <f t="shared" si="5"/>
        <v>30</v>
      </c>
      <c r="M32" s="116" t="str" cm="1">
        <f t="array" aca="1" ref="M32" ca="1">IF(AND($M$1="Hide",H32="ARRIVED"),"",IF(N32="","",HYPERLINK(INDIRECT(Q32)&amp;N32,"TRACK")))</f>
        <v/>
      </c>
      <c r="N32" s="183">
        <v>51328511</v>
      </c>
      <c r="O32" s="132" t="str">
        <f t="shared" ca="1" si="3"/>
        <v/>
      </c>
      <c r="P32" s="138" t="s">
        <v>169</v>
      </c>
      <c r="Q32" s="198" t="s">
        <v>204</v>
      </c>
      <c r="R32" s="15" t="s">
        <v>6</v>
      </c>
      <c r="W32" s="1"/>
    </row>
    <row r="33" spans="1:18">
      <c r="A33" s="173" t="s">
        <v>27</v>
      </c>
      <c r="B33" s="173" t="s">
        <v>212</v>
      </c>
      <c r="C33" s="228">
        <v>14.64</v>
      </c>
      <c r="D33" s="106" t="s">
        <v>0</v>
      </c>
      <c r="E33" s="167">
        <v>44238</v>
      </c>
      <c r="F33" s="115">
        <v>0.86319444444444438</v>
      </c>
      <c r="G33" s="168" t="s">
        <v>210</v>
      </c>
      <c r="H33" s="169" t="str" cm="1">
        <f t="array" ref="H33">_xlfn.IFS(J33="","WAIT",J33="Never Arrived","Never Arrived",J33&lt;&gt;0,"ARRIVED")</f>
        <v>WAIT</v>
      </c>
      <c r="I33" s="170">
        <f t="shared" ca="1" si="0"/>
        <v>45</v>
      </c>
      <c r="J33" s="167"/>
      <c r="K33" s="171" t="str">
        <f ca="1">IF(D33="aliexpress",IF(AND(E33+$T$16&lt;=TODAY(),H33="WAIT"),"A/N",E33+$T$16),IF(D33="bangood",IF(AND(E33+$T$14&lt;=TODAY(),H33="WAIT"),"A/N",E33+$T$14),"A/N STORE"))</f>
        <v>A/N</v>
      </c>
      <c r="L33" s="172">
        <f t="shared" ref="L33:L53" si="6">IF(C33="","",1+L32)</f>
        <v>31</v>
      </c>
      <c r="M33" s="116" t="str" cm="1">
        <f t="array" aca="1" ref="M33" ca="1">IF(AND($M$1="Hide",H33="ARRIVED"),"",IF(N33="","",HYPERLINK(INDIRECT(Q33)&amp;N33,"TRACK")))</f>
        <v>TRACK</v>
      </c>
      <c r="N33" s="241" t="s">
        <v>211</v>
      </c>
      <c r="O33" s="132" t="str">
        <f t="shared" ref="O33:O44" ca="1" si="7">IF(AND(H33="ARRIVED",$O$1="show"),TODAY()-J33,"")</f>
        <v/>
      </c>
      <c r="P33" s="138" t="s">
        <v>169</v>
      </c>
      <c r="Q33" s="199" t="s">
        <v>230</v>
      </c>
      <c r="R33" s="15" t="s">
        <v>6</v>
      </c>
    </row>
    <row r="34" spans="1:18" ht="28.5">
      <c r="A34" s="166" t="s">
        <v>1</v>
      </c>
      <c r="B34" s="205" t="s">
        <v>216</v>
      </c>
      <c r="C34" s="228">
        <v>2.93</v>
      </c>
      <c r="D34" s="105" t="s">
        <v>3</v>
      </c>
      <c r="E34" s="167">
        <v>44242</v>
      </c>
      <c r="F34" s="115">
        <v>0.6875</v>
      </c>
      <c r="G34" s="168" t="s">
        <v>214</v>
      </c>
      <c r="H34" s="169" t="str" cm="1">
        <f t="array" ref="H34">_xlfn.IFS(J34="","WAIT",J34="Never Arrived","Never Arrived",J34&lt;&gt;0,"ARRIVED")</f>
        <v>WAIT</v>
      </c>
      <c r="I34" s="285">
        <f t="shared" ca="1" si="0"/>
        <v>41</v>
      </c>
      <c r="J34" s="291"/>
      <c r="K34" s="288">
        <f ca="1">IF(D34="aliexpress",IF(AND(E34+$T$16&lt;=TODAY(),H34="WAIT"),"A/N",E34+$T$16),IF(D34="bangood",IF(AND(E34+$T$14&lt;=TODAY(),H34="WAIT"),"A/N",E34+$T$14),"A/N STORE"))</f>
        <v>44309</v>
      </c>
      <c r="L34" s="172">
        <f t="shared" si="6"/>
        <v>32</v>
      </c>
      <c r="M34" s="274" t="str" cm="1">
        <f t="array" aca="1" ref="M34" ca="1">IF(AND($M$1="Hide",H34="ARRIVED"),"",IF(N34="","",HYPERLINK(INDIRECT(Q34)&amp;N34,"TRACK")))</f>
        <v>TRACK</v>
      </c>
      <c r="N34" s="280" t="s">
        <v>239</v>
      </c>
      <c r="O34" s="260" t="str">
        <f t="shared" ca="1" si="7"/>
        <v/>
      </c>
      <c r="P34" s="138" t="s">
        <v>169</v>
      </c>
      <c r="Q34" s="258" t="s">
        <v>202</v>
      </c>
      <c r="R34" s="15" t="s">
        <v>6</v>
      </c>
    </row>
    <row r="35" spans="1:18" ht="28.5">
      <c r="A35" s="166" t="s">
        <v>151</v>
      </c>
      <c r="B35" s="206" t="s">
        <v>215</v>
      </c>
      <c r="C35" s="228">
        <v>2.33</v>
      </c>
      <c r="D35" s="105" t="s">
        <v>3</v>
      </c>
      <c r="E35" s="192">
        <v>44242</v>
      </c>
      <c r="F35" s="115">
        <v>0.6875</v>
      </c>
      <c r="G35" s="168" t="s">
        <v>213</v>
      </c>
      <c r="H35" s="169" t="str" cm="1">
        <f t="array" ref="H35">_xlfn.IFS(J35="","WAIT",J35="Never Arrived","Never Arrived",J35&lt;&gt;0,"ARRIVED")</f>
        <v>WAIT</v>
      </c>
      <c r="I35" s="286"/>
      <c r="J35" s="293"/>
      <c r="K35" s="290"/>
      <c r="L35" s="172">
        <f t="shared" si="6"/>
        <v>33</v>
      </c>
      <c r="M35" s="276"/>
      <c r="N35" s="281"/>
      <c r="O35" s="261"/>
      <c r="P35" s="138" t="s">
        <v>169</v>
      </c>
      <c r="Q35" s="259"/>
      <c r="R35" s="15" t="s">
        <v>6</v>
      </c>
    </row>
    <row r="36" spans="1:18" ht="28.5">
      <c r="A36" s="166" t="s">
        <v>217</v>
      </c>
      <c r="B36" s="206" t="s">
        <v>218</v>
      </c>
      <c r="C36" s="228">
        <v>2.04</v>
      </c>
      <c r="D36" s="105" t="s">
        <v>3</v>
      </c>
      <c r="E36" s="167">
        <v>44242</v>
      </c>
      <c r="F36" s="115">
        <v>0.6875</v>
      </c>
      <c r="G36" s="168" t="s">
        <v>222</v>
      </c>
      <c r="H36" s="169" t="str" cm="1">
        <f t="array" ref="H36">_xlfn.IFS(J36="","WAIT",J36="Never Arrived","Never Arrived",J36&lt;&gt;0,"ARRIVED")</f>
        <v>WAIT</v>
      </c>
      <c r="I36" s="170">
        <f t="shared" ca="1" si="0"/>
        <v>41</v>
      </c>
      <c r="J36" s="167"/>
      <c r="K36" s="171">
        <f t="shared" ref="K36:K53" ca="1" si="8">IF(D36="aliexpress",IF(AND(E36+$T$16&lt;=TODAY(),H36="WAIT"),"A/N",E36+$T$16),IF(D36="bangood",IF(AND(E36+$T$14&lt;=TODAY(),H36="WAIT"),"A/N",E36+$T$14),"A/N STORE"))</f>
        <v>44309</v>
      </c>
      <c r="L36" s="172">
        <f t="shared" si="6"/>
        <v>34</v>
      </c>
      <c r="M36" s="116" t="str" cm="1">
        <f t="array" aca="1" ref="M36" ca="1">IF(AND($M$1="Hide",H36="ARRIVED"),"",IF(N36="","",HYPERLINK(INDIRECT(Q36)&amp;N36,"TRACK")))</f>
        <v>TRACK</v>
      </c>
      <c r="N36" s="187" t="s">
        <v>240</v>
      </c>
      <c r="O36" s="132" t="str">
        <f t="shared" ca="1" si="7"/>
        <v/>
      </c>
      <c r="P36" s="138" t="s">
        <v>169</v>
      </c>
      <c r="Q36" s="196" t="s">
        <v>202</v>
      </c>
      <c r="R36" s="15" t="s">
        <v>6</v>
      </c>
    </row>
    <row r="37" spans="1:18">
      <c r="A37" s="166" t="s">
        <v>219</v>
      </c>
      <c r="B37" s="206" t="s">
        <v>220</v>
      </c>
      <c r="C37" s="228">
        <v>1.27</v>
      </c>
      <c r="D37" s="105" t="s">
        <v>3</v>
      </c>
      <c r="E37" s="167">
        <v>44242</v>
      </c>
      <c r="F37" s="115">
        <v>0.9590277777777777</v>
      </c>
      <c r="G37" s="168" t="s">
        <v>221</v>
      </c>
      <c r="H37" s="169" t="str" cm="1">
        <f t="array" ref="H37">_xlfn.IFS(J37="","WAIT",J37="Never Arrived","Never Arrived",J37&lt;&gt;0,"ARRIVED")</f>
        <v>WAIT</v>
      </c>
      <c r="I37" s="170">
        <f t="shared" ca="1" si="0"/>
        <v>41</v>
      </c>
      <c r="J37" s="167"/>
      <c r="K37" s="171">
        <f t="shared" ca="1" si="8"/>
        <v>44309</v>
      </c>
      <c r="L37" s="172">
        <f t="shared" si="6"/>
        <v>35</v>
      </c>
      <c r="M37" s="116" t="str" cm="1">
        <f t="array" aca="1" ref="M37" ca="1">IF(AND($M$1="Hide",H37="ARRIVED"),"",IF(N37="","",HYPERLINK(INDIRECT(Q37)&amp;N37,"TRACK")))</f>
        <v>TRACK</v>
      </c>
      <c r="N37" s="187" t="s">
        <v>241</v>
      </c>
      <c r="O37" s="132" t="str">
        <f t="shared" ca="1" si="7"/>
        <v/>
      </c>
      <c r="P37" s="138" t="s">
        <v>169</v>
      </c>
      <c r="Q37" s="196" t="s">
        <v>202</v>
      </c>
      <c r="R37" s="15" t="s">
        <v>6</v>
      </c>
    </row>
    <row r="38" spans="1:18" ht="33.75" customHeight="1">
      <c r="A38" s="166" t="s">
        <v>13</v>
      </c>
      <c r="B38" s="205" t="s">
        <v>224</v>
      </c>
      <c r="C38" s="228">
        <v>1.98</v>
      </c>
      <c r="D38" s="105" t="s">
        <v>3</v>
      </c>
      <c r="E38" s="167">
        <v>44243</v>
      </c>
      <c r="F38" s="115">
        <v>1.0006944444444399</v>
      </c>
      <c r="G38" s="168" t="s">
        <v>223</v>
      </c>
      <c r="H38" s="169" t="str" cm="1">
        <f t="array" ref="H38">_xlfn.IFS(J38="","WAIT",J38="Never Arrived","Never Arrived",J38&lt;&gt;0,"ARRIVED")</f>
        <v>WAIT</v>
      </c>
      <c r="I38" s="170">
        <f t="shared" ca="1" si="0"/>
        <v>40</v>
      </c>
      <c r="J38" s="167"/>
      <c r="K38" s="171">
        <f t="shared" ca="1" si="8"/>
        <v>44310</v>
      </c>
      <c r="L38" s="172">
        <f t="shared" si="6"/>
        <v>36</v>
      </c>
      <c r="M38" s="116" t="str" cm="1">
        <f t="array" aca="1" ref="M38" ca="1">IF(AND($M$1="Hide",H38="ARRIVED"),"",IF(N38="","",HYPERLINK(INDIRECT(Q38)&amp;N38,"TRACK")))</f>
        <v>TRACK</v>
      </c>
      <c r="N38" s="187" t="s">
        <v>242</v>
      </c>
      <c r="O38" s="132" t="str">
        <f t="shared" ca="1" si="7"/>
        <v/>
      </c>
      <c r="P38" s="138" t="s">
        <v>169</v>
      </c>
      <c r="Q38" s="196" t="s">
        <v>202</v>
      </c>
      <c r="R38" s="15" t="s">
        <v>6</v>
      </c>
    </row>
    <row r="39" spans="1:18" ht="42.75">
      <c r="A39" s="166" t="s">
        <v>20</v>
      </c>
      <c r="B39" s="205" t="s">
        <v>227</v>
      </c>
      <c r="C39" s="229">
        <f>11.78</f>
        <v>11.78</v>
      </c>
      <c r="D39" s="106" t="s">
        <v>0</v>
      </c>
      <c r="E39" s="167">
        <v>44249</v>
      </c>
      <c r="F39" s="207">
        <v>8.4027777777777771E-2</v>
      </c>
      <c r="G39" s="168" t="s">
        <v>228</v>
      </c>
      <c r="H39" s="169" t="str" cm="1">
        <f t="array" ref="H39">_xlfn.IFS(J39="","WAIT",J39="Never Arrived","Never Arrived",J39&lt;&gt;0,"ARRIVED")</f>
        <v>WAIT</v>
      </c>
      <c r="I39" s="170">
        <f t="shared" ca="1" si="0"/>
        <v>34</v>
      </c>
      <c r="J39" s="167"/>
      <c r="K39" s="171" t="str">
        <f t="shared" ca="1" si="8"/>
        <v>A/N</v>
      </c>
      <c r="L39" s="172">
        <f t="shared" si="6"/>
        <v>37</v>
      </c>
      <c r="M39" s="116" t="str" cm="1">
        <f t="array" aca="1" ref="M39" ca="1">IF(AND($M$1="Hide",H39="ARRIVED"),"",IF(N39="","",HYPERLINK(INDIRECT(Q39)&amp;N39,"TRACK")))</f>
        <v/>
      </c>
      <c r="N39" s="187"/>
      <c r="O39" s="132" t="str">
        <f t="shared" ca="1" si="7"/>
        <v/>
      </c>
      <c r="P39" s="138" t="s">
        <v>169</v>
      </c>
      <c r="Q39" s="196" t="s">
        <v>202</v>
      </c>
      <c r="R39" s="15" t="s">
        <v>6</v>
      </c>
    </row>
    <row r="40" spans="1:18">
      <c r="A40" s="166" t="s">
        <v>151</v>
      </c>
      <c r="B40" s="166" t="s">
        <v>262</v>
      </c>
      <c r="C40" s="229">
        <v>7.6</v>
      </c>
      <c r="D40" s="105" t="s">
        <v>3</v>
      </c>
      <c r="E40" s="167">
        <v>44253</v>
      </c>
      <c r="F40" s="207">
        <v>0.14166666666666666</v>
      </c>
      <c r="G40" s="168" t="s">
        <v>232</v>
      </c>
      <c r="H40" s="169" t="str" cm="1">
        <f t="array" ref="H40">_xlfn.IFS(J40="","WAIT",J40="Never Arrived","Never Arrived",J40&lt;&gt;0,"ARRIVED")</f>
        <v>WAIT</v>
      </c>
      <c r="I40" s="170">
        <f t="shared" ca="1" si="0"/>
        <v>30</v>
      </c>
      <c r="J40" s="167"/>
      <c r="K40" s="171">
        <f t="shared" ca="1" si="8"/>
        <v>44320</v>
      </c>
      <c r="L40" s="172">
        <f t="shared" si="6"/>
        <v>38</v>
      </c>
      <c r="M40" s="116" t="str" cm="1">
        <f t="array" aca="1" ref="M40" ca="1">IF(AND($M$1="Hide",H40="ARRIVED"),"",IF(N40="","",HYPERLINK(INDIRECT(Q40)&amp;N40,"TRACK")))</f>
        <v>TRACK</v>
      </c>
      <c r="N40" s="187" t="s">
        <v>248</v>
      </c>
      <c r="O40" s="132" t="str">
        <f t="shared" ca="1" si="7"/>
        <v/>
      </c>
      <c r="P40" s="138" t="s">
        <v>170</v>
      </c>
      <c r="Q40" s="196" t="s">
        <v>202</v>
      </c>
      <c r="R40" s="15" t="s">
        <v>6</v>
      </c>
    </row>
    <row r="41" spans="1:18">
      <c r="A41" s="166" t="s">
        <v>217</v>
      </c>
      <c r="B41" s="212" t="s">
        <v>234</v>
      </c>
      <c r="C41" s="229">
        <f>6.51</f>
        <v>6.51</v>
      </c>
      <c r="D41" s="105" t="s">
        <v>3</v>
      </c>
      <c r="E41" s="167">
        <v>44253</v>
      </c>
      <c r="F41" s="207">
        <v>0.14166666666666666</v>
      </c>
      <c r="G41" s="168" t="s">
        <v>233</v>
      </c>
      <c r="H41" s="169" t="str" cm="1">
        <f t="array" ref="H41">_xlfn.IFS(J41="","WAIT",J41="Never Arrived","Never Arrived",J41&lt;&gt;0,"ARRIVED")</f>
        <v>WAIT</v>
      </c>
      <c r="I41" s="170">
        <f t="shared" ca="1" si="0"/>
        <v>30</v>
      </c>
      <c r="J41" s="167"/>
      <c r="K41" s="171">
        <f t="shared" ca="1" si="8"/>
        <v>44320</v>
      </c>
      <c r="L41" s="172">
        <f t="shared" si="6"/>
        <v>39</v>
      </c>
      <c r="M41" s="116" t="str" cm="1">
        <f t="array" aca="1" ref="M41" ca="1">IF(AND($M$1="Hide",H41="ARRIVED"),"",IF(N41="","",HYPERLINK(INDIRECT(Q41)&amp;N41,"TRACK")))</f>
        <v>TRACK</v>
      </c>
      <c r="N41" s="187" t="s">
        <v>310</v>
      </c>
      <c r="O41" s="132" t="str">
        <f t="shared" ca="1" si="7"/>
        <v/>
      </c>
      <c r="P41" s="138" t="s">
        <v>169</v>
      </c>
      <c r="Q41" s="199" t="s">
        <v>230</v>
      </c>
      <c r="R41" s="15" t="s">
        <v>6</v>
      </c>
    </row>
    <row r="42" spans="1:18">
      <c r="A42" s="166" t="s">
        <v>151</v>
      </c>
      <c r="B42" s="166" t="s">
        <v>235</v>
      </c>
      <c r="C42" s="229">
        <f>1.17</f>
        <v>1.17</v>
      </c>
      <c r="D42" s="105" t="s">
        <v>3</v>
      </c>
      <c r="E42" s="167">
        <v>44253</v>
      </c>
      <c r="F42" s="207">
        <v>0.14166666666666666</v>
      </c>
      <c r="G42" s="168" t="s">
        <v>238</v>
      </c>
      <c r="H42" s="169" t="str" cm="1">
        <f t="array" ref="H42">_xlfn.IFS(J42="","WAIT",J42="Never Arrived","Never Arrived",J42&lt;&gt;0,"ARRIVED")</f>
        <v>WAIT</v>
      </c>
      <c r="I42" s="170">
        <f t="shared" ca="1" si="0"/>
        <v>30</v>
      </c>
      <c r="J42" s="167"/>
      <c r="K42" s="171">
        <f t="shared" ca="1" si="8"/>
        <v>44320</v>
      </c>
      <c r="L42" s="172">
        <f t="shared" si="6"/>
        <v>40</v>
      </c>
      <c r="M42" s="116" t="str" cm="1">
        <f t="array" aca="1" ref="M42" ca="1">IF(AND($M$1="Hide",H42="ARRIVED"),"",IF(N42="","",HYPERLINK(INDIRECT(Q42)&amp;N42,"TRACK")))</f>
        <v>TRACK</v>
      </c>
      <c r="N42" s="187" t="s">
        <v>268</v>
      </c>
      <c r="O42" s="132" t="str">
        <f t="shared" ca="1" si="7"/>
        <v/>
      </c>
      <c r="P42" s="138" t="s">
        <v>169</v>
      </c>
      <c r="Q42" s="196" t="s">
        <v>202</v>
      </c>
      <c r="R42" s="15"/>
    </row>
    <row r="43" spans="1:18">
      <c r="A43" s="166" t="s">
        <v>151</v>
      </c>
      <c r="B43" s="166" t="s">
        <v>236</v>
      </c>
      <c r="C43" s="229">
        <f>1.5</f>
        <v>1.5</v>
      </c>
      <c r="D43" s="105" t="s">
        <v>3</v>
      </c>
      <c r="E43" s="167">
        <v>44253</v>
      </c>
      <c r="F43" s="207">
        <v>0.14166666666666666</v>
      </c>
      <c r="G43" s="168" t="s">
        <v>237</v>
      </c>
      <c r="H43" s="169" t="str" cm="1">
        <f t="array" ref="H43">_xlfn.IFS(J43="","WAIT",J43="Never Arrived","Never Arrived",J43&lt;&gt;0,"ARRIVED")</f>
        <v>WAIT</v>
      </c>
      <c r="I43" s="170">
        <f t="shared" ca="1" si="0"/>
        <v>30</v>
      </c>
      <c r="J43" s="167"/>
      <c r="K43" s="171">
        <f t="shared" ca="1" si="8"/>
        <v>44320</v>
      </c>
      <c r="L43" s="172">
        <f t="shared" si="6"/>
        <v>41</v>
      </c>
      <c r="M43" s="116" t="str" cm="1">
        <f t="array" aca="1" ref="M43" ca="1">IF(AND($M$1="Hide",H43="ARRIVED"),"",IF(N43="","",HYPERLINK(INDIRECT(Q43)&amp;N43,"TRACK")))</f>
        <v>TRACK</v>
      </c>
      <c r="N43" s="187" t="s">
        <v>249</v>
      </c>
      <c r="O43" s="132" t="str">
        <f t="shared" ca="1" si="7"/>
        <v/>
      </c>
      <c r="P43" s="138" t="s">
        <v>169</v>
      </c>
      <c r="Q43" s="196" t="s">
        <v>202</v>
      </c>
      <c r="R43" s="15"/>
    </row>
    <row r="44" spans="1:18">
      <c r="A44" s="173" t="s">
        <v>217</v>
      </c>
      <c r="B44" s="166" t="s">
        <v>246</v>
      </c>
      <c r="C44" s="229">
        <f>(3.33-0.79-0.84)/2+0.84</f>
        <v>1.69</v>
      </c>
      <c r="D44" s="105" t="s">
        <v>3</v>
      </c>
      <c r="E44" s="167">
        <v>44253</v>
      </c>
      <c r="F44" s="207">
        <v>0.16805555555555554</v>
      </c>
      <c r="G44" s="173" t="s">
        <v>245</v>
      </c>
      <c r="H44" s="169" t="str" cm="1">
        <f t="array" ref="H44">_xlfn.IFS(J44="","WAIT",J44="Never Arrived","Never Arrived",J44&lt;&gt;0,"ARRIVED")</f>
        <v>WAIT</v>
      </c>
      <c r="I44" s="170">
        <f t="shared" ca="1" si="0"/>
        <v>30</v>
      </c>
      <c r="J44" s="220"/>
      <c r="K44" s="171">
        <f t="shared" ca="1" si="8"/>
        <v>44320</v>
      </c>
      <c r="L44" s="172">
        <f t="shared" si="6"/>
        <v>42</v>
      </c>
      <c r="M44" s="274" t="str" cm="1">
        <f t="array" aca="1" ref="M44" ca="1">IF(AND($M$1="Hide",H44="ARRIVED"),"",IF(N44="","",HYPERLINK(INDIRECT(Q44)&amp;N44,"TRACK")))</f>
        <v>TRACK</v>
      </c>
      <c r="N44" s="280" t="s">
        <v>267</v>
      </c>
      <c r="O44" s="260" t="str">
        <f t="shared" ca="1" si="7"/>
        <v/>
      </c>
      <c r="P44" s="138" t="s">
        <v>169</v>
      </c>
      <c r="Q44" s="196" t="s">
        <v>202</v>
      </c>
      <c r="R44" s="15" t="s">
        <v>6</v>
      </c>
    </row>
    <row r="45" spans="1:18">
      <c r="A45" s="173" t="s">
        <v>243</v>
      </c>
      <c r="B45" s="166" t="s">
        <v>247</v>
      </c>
      <c r="C45" s="229">
        <f>(3.33-0.79-0.84)/2+0.79</f>
        <v>1.6400000000000001</v>
      </c>
      <c r="D45" s="105" t="s">
        <v>3</v>
      </c>
      <c r="E45" s="167">
        <v>44253</v>
      </c>
      <c r="F45" s="207">
        <v>0.16805555555555554</v>
      </c>
      <c r="G45" s="174" t="s">
        <v>244</v>
      </c>
      <c r="H45" s="169" t="str" cm="1">
        <f t="array" ref="H45">_xlfn.IFS(J45="","WAIT",J45="Never Arrived","Never Arrived",J45&lt;&gt;0,"ARRIVED")</f>
        <v>WAIT</v>
      </c>
      <c r="I45" s="170">
        <f t="shared" ca="1" si="0"/>
        <v>30</v>
      </c>
      <c r="J45" s="220"/>
      <c r="K45" s="171">
        <f t="shared" ca="1" si="8"/>
        <v>44320</v>
      </c>
      <c r="L45" s="172">
        <f t="shared" si="6"/>
        <v>43</v>
      </c>
      <c r="M45" s="276"/>
      <c r="N45" s="281"/>
      <c r="O45" s="261"/>
      <c r="P45" s="138" t="s">
        <v>169</v>
      </c>
      <c r="Q45" s="196" t="s">
        <v>202</v>
      </c>
      <c r="R45" s="15" t="s">
        <v>6</v>
      </c>
    </row>
    <row r="46" spans="1:18">
      <c r="A46" s="173" t="s">
        <v>151</v>
      </c>
      <c r="B46" s="166" t="s">
        <v>251</v>
      </c>
      <c r="C46" s="229">
        <v>1.57</v>
      </c>
      <c r="D46" s="105" t="s">
        <v>3</v>
      </c>
      <c r="E46" s="167">
        <v>44254</v>
      </c>
      <c r="F46" s="207">
        <v>0.73611111111111116</v>
      </c>
      <c r="G46" s="173" t="s">
        <v>250</v>
      </c>
      <c r="H46" s="169" t="str" cm="1">
        <f t="array" ref="H46">_xlfn.IFS(J46="","WAIT",J46="Never Arrived","Never Arrived",J46&lt;&gt;0,"ARRIVED")</f>
        <v>WAIT</v>
      </c>
      <c r="I46" s="170">
        <f t="shared" ca="1" si="0"/>
        <v>29</v>
      </c>
      <c r="J46" s="225"/>
      <c r="K46" s="171">
        <f t="shared" ca="1" si="8"/>
        <v>44321</v>
      </c>
      <c r="L46" s="172">
        <f t="shared" si="6"/>
        <v>44</v>
      </c>
      <c r="M46" s="116" t="str" cm="1">
        <f t="array" aca="1" ref="M46" ca="1">IF(AND($M$1="Hide",H46="ARRIVED"),"",IF(N46="","",HYPERLINK(INDIRECT(Q46)&amp;N46,"TRACK")))</f>
        <v>TRACK</v>
      </c>
      <c r="N46" s="232" t="s">
        <v>266</v>
      </c>
      <c r="O46" s="132" t="str">
        <f t="shared" ref="O46:O51" ca="1" si="9">IF(AND(H46="ARRIVED",$O$1="show"),TODAY()-J46,"")</f>
        <v/>
      </c>
      <c r="P46" s="138" t="s">
        <v>169</v>
      </c>
      <c r="Q46" s="196" t="s">
        <v>202</v>
      </c>
      <c r="R46" s="15" t="s">
        <v>6</v>
      </c>
    </row>
    <row r="47" spans="1:18">
      <c r="A47" s="166" t="s">
        <v>18</v>
      </c>
      <c r="B47" s="166" t="s">
        <v>252</v>
      </c>
      <c r="C47" s="227">
        <v>8.32</v>
      </c>
      <c r="D47" s="105" t="s">
        <v>3</v>
      </c>
      <c r="E47" s="167">
        <v>44254</v>
      </c>
      <c r="F47" s="207">
        <v>0.77777777777777801</v>
      </c>
      <c r="G47" s="174" t="s">
        <v>253</v>
      </c>
      <c r="H47" s="169" t="str" cm="1">
        <f t="array" ref="H47">_xlfn.IFS(J47="","WAIT",J47="Never Arrived","Never Arrived",J47&lt;&gt;0,"ARRIVED")</f>
        <v>WAIT</v>
      </c>
      <c r="I47" s="170">
        <f t="shared" ca="1" si="0"/>
        <v>29</v>
      </c>
      <c r="J47" s="225"/>
      <c r="K47" s="171">
        <f t="shared" ca="1" si="8"/>
        <v>44321</v>
      </c>
      <c r="L47" s="172">
        <f t="shared" si="6"/>
        <v>45</v>
      </c>
      <c r="M47" s="116" t="str" cm="1">
        <f t="array" aca="1" ref="M47" ca="1">IF(AND($M$1="Hide",H47="ARRIVED"),"",IF(N47="","",HYPERLINK(INDIRECT(Q47)&amp;N47,"TRACK")))</f>
        <v>TRACK</v>
      </c>
      <c r="N47" s="232" t="s">
        <v>264</v>
      </c>
      <c r="O47" s="132" t="str">
        <f t="shared" ca="1" si="9"/>
        <v/>
      </c>
      <c r="P47" s="138" t="s">
        <v>169</v>
      </c>
      <c r="Q47" s="196" t="s">
        <v>202</v>
      </c>
      <c r="R47" s="15" t="s">
        <v>6</v>
      </c>
    </row>
    <row r="48" spans="1:18">
      <c r="A48" s="166" t="s">
        <v>9</v>
      </c>
      <c r="B48" s="166" t="s">
        <v>254</v>
      </c>
      <c r="C48" s="227">
        <v>3.94</v>
      </c>
      <c r="D48" s="105" t="s">
        <v>3</v>
      </c>
      <c r="E48" s="167">
        <v>44255</v>
      </c>
      <c r="F48" s="207">
        <v>4.027777777777778E-2</v>
      </c>
      <c r="G48" s="174" t="s">
        <v>255</v>
      </c>
      <c r="H48" s="169" t="str" cm="1">
        <f t="array" ref="H48">_xlfn.IFS(J48="","WAIT",J48="Never Arrived","Never Arrived",J48&lt;&gt;0,"ARRIVED")</f>
        <v>WAIT</v>
      </c>
      <c r="I48" s="170">
        <f t="shared" ca="1" si="0"/>
        <v>28</v>
      </c>
      <c r="J48" s="225"/>
      <c r="K48" s="171">
        <f t="shared" ca="1" si="8"/>
        <v>44322</v>
      </c>
      <c r="L48" s="172">
        <f t="shared" si="6"/>
        <v>46</v>
      </c>
      <c r="M48" s="209" t="str" cm="1">
        <f t="array" aca="1" ref="M48" ca="1">IF(AND($M$1="Hide",H48="ARRIVED"),"",IF(N48="","",HYPERLINK(INDIRECT(Q48)&amp;N48,"TRACK")))</f>
        <v>TRACK</v>
      </c>
      <c r="N48" s="232" t="s">
        <v>265</v>
      </c>
      <c r="O48" s="132" t="str">
        <f t="shared" ca="1" si="9"/>
        <v/>
      </c>
      <c r="P48" s="138" t="s">
        <v>169</v>
      </c>
      <c r="Q48" s="196" t="s">
        <v>202</v>
      </c>
      <c r="R48" s="15" t="s">
        <v>6</v>
      </c>
    </row>
    <row r="49" spans="1:18">
      <c r="A49" s="166" t="s">
        <v>151</v>
      </c>
      <c r="B49" s="166" t="s">
        <v>261</v>
      </c>
      <c r="C49" s="228">
        <v>0.82</v>
      </c>
      <c r="D49" s="105" t="s">
        <v>3</v>
      </c>
      <c r="E49" s="167">
        <v>44255</v>
      </c>
      <c r="F49" s="207">
        <v>0.25555555555555559</v>
      </c>
      <c r="G49" s="166" t="s">
        <v>260</v>
      </c>
      <c r="H49" s="169" t="str" cm="1">
        <f t="array" ref="H49">_xlfn.IFS(J49="","WAIT",J49="Never Arrived","Never Arrived",J49&lt;&gt;0,"ARRIVED")</f>
        <v>WAIT</v>
      </c>
      <c r="I49" s="170">
        <f t="shared" ca="1" si="0"/>
        <v>28</v>
      </c>
      <c r="J49" s="225"/>
      <c r="K49" s="171">
        <f t="shared" ca="1" si="8"/>
        <v>44322</v>
      </c>
      <c r="L49" s="236">
        <f t="shared" si="6"/>
        <v>47</v>
      </c>
      <c r="M49" s="116" t="str" cm="1">
        <f t="array" aca="1" ref="M49" ca="1">IF(AND($M$1="Hide",H49="ARRIVED"),"",IF(N49="","",HYPERLINK(INDIRECT(Q49)&amp;N49,"TRACK")))</f>
        <v>TRACK</v>
      </c>
      <c r="N49" s="238" t="s">
        <v>263</v>
      </c>
      <c r="O49" s="132" t="str">
        <f t="shared" ca="1" si="9"/>
        <v/>
      </c>
      <c r="P49" s="138" t="s">
        <v>169</v>
      </c>
      <c r="Q49" s="196" t="s">
        <v>202</v>
      </c>
      <c r="R49" s="15" t="s">
        <v>6</v>
      </c>
    </row>
    <row r="50" spans="1:18">
      <c r="A50" s="166" t="s">
        <v>151</v>
      </c>
      <c r="B50" s="166" t="s">
        <v>270</v>
      </c>
      <c r="C50" s="226">
        <v>2.0099999999999998</v>
      </c>
      <c r="D50" s="105" t="s">
        <v>3</v>
      </c>
      <c r="E50" s="167">
        <v>44256</v>
      </c>
      <c r="F50" s="207">
        <v>0.4826388888888889</v>
      </c>
      <c r="G50" s="166" t="s">
        <v>271</v>
      </c>
      <c r="H50" s="169" t="str" cm="1">
        <f t="array" ref="H50">_xlfn.IFS(J50="","WAIT",J50="Never Arrived","Never Arrived",J50&lt;&gt;0,"ARRIVED")</f>
        <v>WAIT</v>
      </c>
      <c r="I50" s="170">
        <f t="shared" ca="1" si="0"/>
        <v>27</v>
      </c>
      <c r="J50" s="225"/>
      <c r="K50" s="171">
        <f t="shared" ca="1" si="8"/>
        <v>44323</v>
      </c>
      <c r="L50" s="236">
        <f t="shared" si="6"/>
        <v>48</v>
      </c>
      <c r="M50" s="116" t="str" cm="1">
        <f t="array" aca="1" ref="M50" ca="1">IF(AND($M$1="Hide",H50="ARRIVED"),"",IF(N50="","",HYPERLINK(INDIRECT(Q50)&amp;N50,"TRACK")))</f>
        <v>TRACK</v>
      </c>
      <c r="N50" s="238" t="s">
        <v>309</v>
      </c>
      <c r="O50" s="132" t="str">
        <f t="shared" ca="1" si="9"/>
        <v/>
      </c>
      <c r="P50" s="138" t="s">
        <v>169</v>
      </c>
      <c r="Q50" s="196" t="s">
        <v>202</v>
      </c>
      <c r="R50" s="15" t="s">
        <v>6</v>
      </c>
    </row>
    <row r="51" spans="1:18">
      <c r="A51" s="166" t="s">
        <v>27</v>
      </c>
      <c r="B51" s="166" t="s">
        <v>308</v>
      </c>
      <c r="C51" s="226">
        <v>3.17</v>
      </c>
      <c r="D51" s="105" t="s">
        <v>3</v>
      </c>
      <c r="E51" s="167">
        <v>44257</v>
      </c>
      <c r="F51" s="207">
        <v>0.51874999999999993</v>
      </c>
      <c r="G51" s="166" t="s">
        <v>269</v>
      </c>
      <c r="H51" s="169" t="str" cm="1">
        <f t="array" ref="H51">_xlfn.IFS(J51="","WAIT",J51="Never Arrived","Never Arrived",J51&lt;&gt;0,"ARRIVED")</f>
        <v>WAIT</v>
      </c>
      <c r="I51" s="170">
        <f t="shared" ca="1" si="0"/>
        <v>26</v>
      </c>
      <c r="J51" s="225"/>
      <c r="K51" s="171">
        <f t="shared" ca="1" si="8"/>
        <v>44324</v>
      </c>
      <c r="L51" s="237">
        <f t="shared" si="6"/>
        <v>49</v>
      </c>
      <c r="M51" s="116" t="str" cm="1">
        <f t="array" aca="1" ref="M51" ca="1">IF(AND($M$1="Hide",H51="ARRIVED"),"",IF(N51="","",HYPERLINK(INDIRECT(Q51)&amp;N51,"TRACK")))</f>
        <v>TRACK</v>
      </c>
      <c r="N51" s="238" t="s">
        <v>307</v>
      </c>
      <c r="O51" s="132" t="str">
        <f t="shared" ca="1" si="9"/>
        <v/>
      </c>
      <c r="P51" s="138" t="s">
        <v>169</v>
      </c>
      <c r="Q51" s="196" t="s">
        <v>202</v>
      </c>
      <c r="R51" s="15" t="s">
        <v>6</v>
      </c>
    </row>
    <row r="52" spans="1:18">
      <c r="A52" s="166" t="s">
        <v>151</v>
      </c>
      <c r="B52" s="166" t="s">
        <v>288</v>
      </c>
      <c r="C52" s="226">
        <v>2.08</v>
      </c>
      <c r="D52" s="105" t="s">
        <v>3</v>
      </c>
      <c r="E52" s="167">
        <v>44258</v>
      </c>
      <c r="F52" s="207">
        <v>0.96527777777777779</v>
      </c>
      <c r="G52" s="168" t="s">
        <v>289</v>
      </c>
      <c r="H52" s="169" t="str" cm="1">
        <f t="array" ref="H52">_xlfn.IFS(J52="","WAIT",J52="Never Arrived","Never Arrived",J52&lt;&gt;0,"ARRIVED")</f>
        <v>WAIT</v>
      </c>
      <c r="I52" s="170">
        <f t="shared" ca="1" si="0"/>
        <v>25</v>
      </c>
      <c r="J52" s="225"/>
      <c r="K52" s="171">
        <f t="shared" ca="1" si="8"/>
        <v>44325</v>
      </c>
      <c r="L52" s="172">
        <f t="shared" si="6"/>
        <v>50</v>
      </c>
      <c r="M52" s="116" t="str" cm="1">
        <f t="array" aca="1" ref="M52" ca="1">IF(AND($M$1="Hide",H52="ARRIVED"),"",IF(N52="","",HYPERLINK(INDIRECT(Q52)&amp;N52,"TRACK")))</f>
        <v>TRACK</v>
      </c>
      <c r="N52" s="238" t="s">
        <v>306</v>
      </c>
      <c r="O52" s="132" t="str">
        <f ca="1">IF(AND(H52="ARRIVED",$O$1="show"),TODAY()-J52,"")</f>
        <v/>
      </c>
      <c r="P52" s="138" t="s">
        <v>169</v>
      </c>
      <c r="Q52" s="196" t="s">
        <v>202</v>
      </c>
      <c r="R52" s="15" t="s">
        <v>6</v>
      </c>
    </row>
    <row r="53" spans="1:18">
      <c r="A53" s="166" t="s">
        <v>217</v>
      </c>
      <c r="B53" s="166" t="s">
        <v>286</v>
      </c>
      <c r="C53" s="226">
        <v>4.26</v>
      </c>
      <c r="D53" s="105" t="s">
        <v>3</v>
      </c>
      <c r="E53" s="167">
        <v>44260</v>
      </c>
      <c r="F53" s="207">
        <v>0.70416666666666661</v>
      </c>
      <c r="G53" s="166" t="s">
        <v>287</v>
      </c>
      <c r="H53" s="169" t="str" cm="1">
        <f t="array" ref="H53">_xlfn.IFS(J53="","WAIT",J53="Never Arrived","Never Arrived",J53&lt;&gt;0,"ARRIVED")</f>
        <v>WAIT</v>
      </c>
      <c r="I53" s="170">
        <f t="shared" ca="1" si="0"/>
        <v>23</v>
      </c>
      <c r="J53" s="225"/>
      <c r="K53" s="171">
        <f t="shared" ca="1" si="8"/>
        <v>44327</v>
      </c>
      <c r="L53" s="172">
        <f t="shared" si="6"/>
        <v>51</v>
      </c>
      <c r="M53" s="116" t="str" cm="1">
        <f t="array" aca="1" ref="M53" ca="1">IF(AND($M$1="Hide",H53="ARRIVED"),"",IF(N53="","",HYPERLINK(INDIRECT(Q53)&amp;N53,"TRACK")))</f>
        <v>TRACK</v>
      </c>
      <c r="N53" s="238" t="s">
        <v>305</v>
      </c>
      <c r="O53" s="132" t="str">
        <f ca="1">IF(AND(H53="ARRIVED",$O$1="show"),TODAY()-J53,"")</f>
        <v/>
      </c>
      <c r="P53" s="138" t="s">
        <v>169</v>
      </c>
      <c r="Q53" s="196" t="s">
        <v>202</v>
      </c>
      <c r="R53" s="15" t="s">
        <v>6</v>
      </c>
    </row>
    <row r="54" spans="1:18">
      <c r="A54" s="166" t="s">
        <v>13</v>
      </c>
      <c r="B54" s="166" t="s">
        <v>291</v>
      </c>
      <c r="C54" s="226">
        <v>5.01</v>
      </c>
      <c r="D54" s="242" t="s">
        <v>295</v>
      </c>
      <c r="E54" s="167">
        <v>44266</v>
      </c>
      <c r="F54" s="207">
        <v>0.91249999999999998</v>
      </c>
      <c r="G54" s="116" t="s">
        <v>296</v>
      </c>
      <c r="H54" s="169" t="str" cm="1">
        <f t="array" ref="H54">_xlfn.IFS(J54="","WAIT",J54="Never Arrived","Never Arrived",J54&lt;&gt;0,"ARRIVED")</f>
        <v>WAIT</v>
      </c>
      <c r="I54" s="170">
        <f t="shared" ca="1" si="0"/>
        <v>17</v>
      </c>
      <c r="J54" s="225"/>
      <c r="K54" s="288" t="str">
        <f ca="1">IF(D54="aliexpress",IF(AND(E54+$T$16&lt;=TODAY(),H54="WAIT"),"A/N",E54+$T$16),IF(D54="bangood",IF(AND(E54+$T$14&lt;=TODAY(),H54="WAIT"),"A/N",E54+$T$14),"A/N STORE"))</f>
        <v>A/N STORE</v>
      </c>
      <c r="L54" s="172">
        <f t="shared" ref="L54:L61" si="10">IF(C54="","",1+L53)</f>
        <v>52</v>
      </c>
      <c r="M54" s="274" t="str" cm="1">
        <f t="array" aca="1" ref="M54" ca="1">IF(AND($M$1="Hide",H54="ARRIVED"),"",IF(N54="","",HYPERLINK(INDIRECT(Q54)&amp;N54,"TRACK")))</f>
        <v>TRACK</v>
      </c>
      <c r="N54" s="267" t="s">
        <v>317</v>
      </c>
      <c r="O54" s="260" t="str">
        <f ca="1">IF(AND(H54="ARRIVED",$O$1="show"),TODAY()-J54,"")</f>
        <v/>
      </c>
      <c r="P54" s="138" t="s">
        <v>169</v>
      </c>
      <c r="Q54" s="295" t="s">
        <v>202</v>
      </c>
      <c r="R54" s="15" t="s">
        <v>6</v>
      </c>
    </row>
    <row r="55" spans="1:18">
      <c r="A55" s="166" t="s">
        <v>2</v>
      </c>
      <c r="B55" s="166" t="s">
        <v>292</v>
      </c>
      <c r="C55" s="226">
        <v>13.35</v>
      </c>
      <c r="D55" s="242" t="s">
        <v>295</v>
      </c>
      <c r="E55" s="167">
        <v>44266</v>
      </c>
      <c r="F55" s="207">
        <v>0.91249999999999998</v>
      </c>
      <c r="G55" s="116" t="s">
        <v>296</v>
      </c>
      <c r="H55" s="169" t="str" cm="1">
        <f t="array" ref="H55">_xlfn.IFS(J55="","WAIT",J55="Never Arrived","Never Arrived",J55&lt;&gt;0,"ARRIVED")</f>
        <v>WAIT</v>
      </c>
      <c r="I55" s="170">
        <f t="shared" ca="1" si="0"/>
        <v>17</v>
      </c>
      <c r="J55" s="225"/>
      <c r="K55" s="289"/>
      <c r="L55" s="172">
        <f t="shared" si="10"/>
        <v>53</v>
      </c>
      <c r="M55" s="275"/>
      <c r="N55" s="294"/>
      <c r="O55" s="262"/>
      <c r="P55" s="138" t="s">
        <v>169</v>
      </c>
      <c r="Q55" s="296"/>
      <c r="R55" s="15" t="s">
        <v>6</v>
      </c>
    </row>
    <row r="56" spans="1:18">
      <c r="A56" s="166" t="s">
        <v>20</v>
      </c>
      <c r="B56" s="166" t="s">
        <v>293</v>
      </c>
      <c r="C56" s="226">
        <v>4.17</v>
      </c>
      <c r="D56" s="242" t="s">
        <v>295</v>
      </c>
      <c r="E56" s="167">
        <v>44266</v>
      </c>
      <c r="F56" s="207">
        <v>0.91249999999999998</v>
      </c>
      <c r="G56" s="116" t="s">
        <v>296</v>
      </c>
      <c r="H56" s="169" t="str" cm="1">
        <f t="array" ref="H56">_xlfn.IFS(J56="","WAIT",J56="Never Arrived","Never Arrived",J56&lt;&gt;0,"ARRIVED")</f>
        <v>WAIT</v>
      </c>
      <c r="I56" s="170">
        <f t="shared" ca="1" si="0"/>
        <v>17</v>
      </c>
      <c r="J56" s="225"/>
      <c r="K56" s="289"/>
      <c r="L56" s="172">
        <f t="shared" si="10"/>
        <v>54</v>
      </c>
      <c r="M56" s="275"/>
      <c r="N56" s="294"/>
      <c r="O56" s="262"/>
      <c r="P56" s="138" t="s">
        <v>169</v>
      </c>
      <c r="Q56" s="296"/>
      <c r="R56" s="15" t="s">
        <v>6</v>
      </c>
    </row>
    <row r="57" spans="1:18">
      <c r="A57" s="166" t="s">
        <v>20</v>
      </c>
      <c r="B57" s="166" t="s">
        <v>294</v>
      </c>
      <c r="C57" s="226">
        <v>15.86</v>
      </c>
      <c r="D57" s="242" t="s">
        <v>295</v>
      </c>
      <c r="E57" s="167">
        <v>44266</v>
      </c>
      <c r="F57" s="207">
        <v>0.91249999999999998</v>
      </c>
      <c r="G57" s="116" t="s">
        <v>296</v>
      </c>
      <c r="H57" s="169" t="str" cm="1">
        <f t="array" ref="H57">_xlfn.IFS(J57="","WAIT",J57="Never Arrived","Never Arrived",J57&lt;&gt;0,"ARRIVED")</f>
        <v>WAIT</v>
      </c>
      <c r="I57" s="170">
        <f t="shared" ca="1" si="0"/>
        <v>17</v>
      </c>
      <c r="J57" s="225"/>
      <c r="K57" s="290"/>
      <c r="L57" s="172">
        <f t="shared" si="10"/>
        <v>55</v>
      </c>
      <c r="M57" s="276"/>
      <c r="N57" s="268"/>
      <c r="O57" s="261"/>
      <c r="P57" s="138" t="s">
        <v>169</v>
      </c>
      <c r="Q57" s="297"/>
      <c r="R57" s="15" t="s">
        <v>6</v>
      </c>
    </row>
    <row r="58" spans="1:18">
      <c r="A58" s="166" t="s">
        <v>27</v>
      </c>
      <c r="B58" s="166" t="s">
        <v>297</v>
      </c>
      <c r="C58" s="226">
        <v>3.7</v>
      </c>
      <c r="D58" s="105" t="s">
        <v>3</v>
      </c>
      <c r="E58" s="167">
        <v>44260</v>
      </c>
      <c r="F58" s="166"/>
      <c r="G58" s="166" t="s">
        <v>299</v>
      </c>
      <c r="H58" s="169" t="str" cm="1">
        <f t="array" ref="H58">_xlfn.IFS(J58="","WAIT",J58="Never Arrived","Never Arrived",J58&lt;&gt;0,"ARRIVED")</f>
        <v>WAIT</v>
      </c>
      <c r="I58" s="170">
        <f ca="1">IF(J58="Never Arrived",(TODAY()-E58),IF(IF(H58="WAIT",(TODAY()-E58),J58-E58)=0,"",IF(H58="WAIT",(TODAY()-E58),J58-E58)))</f>
        <v>23</v>
      </c>
      <c r="J58" s="225"/>
      <c r="K58" s="171">
        <f ca="1">IF(D58="aliexpress",IF(AND(E58+$T$16&lt;=TODAY(),H58="WAIT"),"A/N",E58+$T$16),IF(D58="bangood",IF(AND(E58+$T$14&lt;=TODAY(),H58="WAIT"),"A/N",E58+$T$14),"A/N STORE"))</f>
        <v>44327</v>
      </c>
      <c r="L58" s="172">
        <f t="shared" si="10"/>
        <v>56</v>
      </c>
      <c r="M58" s="116" t="str" cm="1">
        <f t="array" aca="1" ref="M58" ca="1">IF(AND($M$1="Hide",H58="ARRIVED"),"",IF(N58="","",HYPERLINK(INDIRECT(Q58)&amp;N58,"TRACK")))</f>
        <v>TRACK</v>
      </c>
      <c r="N58" s="232" t="s">
        <v>304</v>
      </c>
      <c r="O58" s="132" t="str">
        <f ca="1">IF(AND(H58="ARRIVED",$O$1="show"),TODAY()-J58,"")</f>
        <v/>
      </c>
      <c r="P58" s="138" t="s">
        <v>169</v>
      </c>
      <c r="Q58" s="196" t="s">
        <v>202</v>
      </c>
      <c r="R58" s="15" t="s">
        <v>6</v>
      </c>
    </row>
    <row r="59" spans="1:18">
      <c r="A59" s="166" t="s">
        <v>151</v>
      </c>
      <c r="B59" s="166" t="s">
        <v>235</v>
      </c>
      <c r="C59" s="226">
        <v>1.45</v>
      </c>
      <c r="D59" s="105" t="s">
        <v>3</v>
      </c>
      <c r="E59" s="167">
        <v>44269</v>
      </c>
      <c r="F59" s="166"/>
      <c r="G59" s="168" t="s">
        <v>298</v>
      </c>
      <c r="H59" s="169" t="str" cm="1">
        <f t="array" ref="H59">_xlfn.IFS(J59="","WAIT",J59="Never Arrived","Never Arrived",J59&lt;&gt;0,"ARRIVED")</f>
        <v>WAIT</v>
      </c>
      <c r="I59" s="170">
        <f ca="1">IF(J59="Never Arrived",(TODAY()-E59),IF(IF(H59="WAIT",(TODAY()-E59),J59-E59)=0,"",IF(H59="WAIT",(TODAY()-E59),J59-E59)))</f>
        <v>14</v>
      </c>
      <c r="J59" s="225"/>
      <c r="K59" s="171">
        <f ca="1">IF(D59="aliexpress",IF(AND(E59+$T$16&lt;=TODAY(),H59="WAIT"),"A/N",E59+$T$16),IF(D59="bangood",IF(AND(E59+$T$14&lt;=TODAY(),H59="WAIT"),"A/N",E59+$T$14),"A/N STORE"))</f>
        <v>44336</v>
      </c>
      <c r="L59" s="172">
        <f t="shared" si="10"/>
        <v>57</v>
      </c>
      <c r="M59" s="116" t="str" cm="1">
        <f t="array" aca="1" ref="M59" ca="1">IF(AND($M$1="Hide",H59="ARRIVED"),"",IF(N59="","",HYPERLINK(INDIRECT(Q59)&amp;N59,"TRACK")))</f>
        <v>TRACK</v>
      </c>
      <c r="N59" s="256" t="s">
        <v>320</v>
      </c>
      <c r="O59" s="132" t="str">
        <f ca="1">IF(AND(H59="ARRIVED",$O$1="show"),TODAY()-J59,"")</f>
        <v/>
      </c>
      <c r="P59" s="138" t="s">
        <v>169</v>
      </c>
      <c r="Q59" s="196" t="s">
        <v>202</v>
      </c>
      <c r="R59" s="15" t="s">
        <v>6</v>
      </c>
    </row>
    <row r="60" spans="1:18">
      <c r="A60" s="166" t="s">
        <v>300</v>
      </c>
      <c r="B60" s="166" t="s">
        <v>109</v>
      </c>
      <c r="C60" s="226">
        <v>13</v>
      </c>
      <c r="D60" s="105" t="s">
        <v>3</v>
      </c>
      <c r="E60" s="167">
        <v>44269</v>
      </c>
      <c r="F60" s="264">
        <v>0.87083333333333324</v>
      </c>
      <c r="G60" s="168" t="s">
        <v>302</v>
      </c>
      <c r="H60" s="169" t="str" cm="1">
        <f t="array" ref="H60">_xlfn.IFS(J60="","WAIT",J60="Never Arrived","Never Arrived",J60&lt;&gt;0,"ARRIVED")</f>
        <v>WAIT</v>
      </c>
      <c r="I60" s="170">
        <f ca="1">IF(J60="Never Arrived",(TODAY()-E60),IF(IF(H60="WAIT",(TODAY()-E60),J60-E60)=0,"",IF(H60="WAIT",(TODAY()-E60),J60-E60)))</f>
        <v>14</v>
      </c>
      <c r="J60" s="265"/>
      <c r="K60" s="263">
        <f ca="1">IF(D60="aliexpress",IF(AND(E60+$T$16&lt;=TODAY(),H60="WAIT"),"A/N",E60+$T$16),IF(D60="bangood",IF(AND(E60+$T$14&lt;=TODAY(),H60="WAIT"),"A/N",E60+$T$14),"A/N STORE"))</f>
        <v>44336</v>
      </c>
      <c r="L60" s="172">
        <f t="shared" si="10"/>
        <v>58</v>
      </c>
      <c r="M60" s="266" t="str" cm="1">
        <f t="array" aca="1" ref="M60" ca="1">IF(AND($M$1="Hide",H60="ARRIVED"),"",IF(N60="","",HYPERLINK(INDIRECT(Q60)&amp;N60,"TRACK")))</f>
        <v>TRACK</v>
      </c>
      <c r="N60" s="267" t="s">
        <v>319</v>
      </c>
      <c r="O60" s="132" t="str">
        <f ca="1">IF(AND(H60="ARRIVED",$O$1="show"),TODAY()-J60,"")</f>
        <v/>
      </c>
      <c r="P60" s="138" t="s">
        <v>169</v>
      </c>
      <c r="Q60" s="258" t="s">
        <v>202</v>
      </c>
      <c r="R60" s="15" t="s">
        <v>6</v>
      </c>
    </row>
    <row r="61" spans="1:18">
      <c r="A61" s="166" t="s">
        <v>301</v>
      </c>
      <c r="B61" s="166" t="s">
        <v>28</v>
      </c>
      <c r="C61" s="226">
        <v>7.49</v>
      </c>
      <c r="D61" s="105" t="s">
        <v>3</v>
      </c>
      <c r="E61" s="167">
        <v>44269</v>
      </c>
      <c r="F61" s="264"/>
      <c r="G61" s="168" t="s">
        <v>303</v>
      </c>
      <c r="H61" s="169" t="str" cm="1">
        <f t="array" ref="H61">_xlfn.IFS(J61="","WAIT",J61="Never Arrived","Never Arrived",J61&lt;&gt;0,"ARRIVED")</f>
        <v>WAIT</v>
      </c>
      <c r="I61" s="170">
        <f ca="1">IF(J61="Never Arrived",(TODAY()-E61),IF(IF(H61="WAIT",(TODAY()-E61),J61-E61)=0,"",IF(H61="WAIT",(TODAY()-E61),J61-E61)))</f>
        <v>14</v>
      </c>
      <c r="J61" s="265"/>
      <c r="K61" s="263"/>
      <c r="L61" s="172">
        <f t="shared" si="10"/>
        <v>59</v>
      </c>
      <c r="M61" s="266"/>
      <c r="N61" s="268"/>
      <c r="O61" s="132" t="str">
        <f ca="1">IF(AND(H61="ARRIVED",$O$1="show"),TODAY()-J61,"")</f>
        <v/>
      </c>
      <c r="P61" s="138" t="s">
        <v>169</v>
      </c>
      <c r="Q61" s="259"/>
      <c r="R61" s="15" t="s">
        <v>6</v>
      </c>
    </row>
    <row r="62" spans="1:18">
      <c r="A62" s="155"/>
      <c r="B62" s="155"/>
      <c r="C62" s="233"/>
      <c r="D62" s="155"/>
      <c r="E62" s="155"/>
      <c r="F62" s="155"/>
      <c r="G62" s="155"/>
      <c r="H62" s="155"/>
      <c r="I62" s="179"/>
      <c r="J62" s="203"/>
      <c r="K62" s="155"/>
      <c r="L62" s="235"/>
      <c r="M62" s="223" t="str" cm="1">
        <f t="array" aca="1" ref="M62" ca="1">IF(AND($M$1="Hide",H62="ARRIVED"),"",IF(N62="","",HYPERLINK(INDIRECT(Q62)&amp;N62,"TRACK")))</f>
        <v/>
      </c>
      <c r="N62" s="222"/>
      <c r="O62" s="224" t="str">
        <f t="shared" ref="O62:O108" ca="1" si="11">IF(AND(H62="ARRIVED",$O$1="show"),TODAY()-J62,"")</f>
        <v/>
      </c>
      <c r="R62" s="15" t="s">
        <v>6</v>
      </c>
    </row>
    <row r="63" spans="1:18">
      <c r="A63" s="155"/>
      <c r="B63" s="155"/>
      <c r="C63" s="233"/>
      <c r="D63" s="155"/>
      <c r="E63" s="155"/>
      <c r="F63" s="155"/>
      <c r="G63" s="155"/>
      <c r="H63" s="155"/>
      <c r="I63" s="179"/>
      <c r="J63" s="203"/>
      <c r="K63" s="155"/>
      <c r="L63" s="235" t="str">
        <f t="shared" ref="L63:L115" si="12">IF(C63="","",1+L62)</f>
        <v/>
      </c>
      <c r="M63" s="223" t="str" cm="1">
        <f t="array" aca="1" ref="M63" ca="1">IF(AND($M$1="Hide",H63="ARRIVED"),"",IF(N63="","",HYPERLINK(INDIRECT(Q63)&amp;N63,"TRACK")))</f>
        <v/>
      </c>
      <c r="N63" s="222"/>
      <c r="O63" s="224" t="str">
        <f t="shared" ca="1" si="11"/>
        <v/>
      </c>
      <c r="R63" s="15" t="s">
        <v>6</v>
      </c>
    </row>
    <row r="64" spans="1:18">
      <c r="A64" s="155"/>
      <c r="B64" s="155"/>
      <c r="C64" s="233"/>
      <c r="D64" s="155"/>
      <c r="E64" s="155"/>
      <c r="F64" s="155"/>
      <c r="G64" s="155"/>
      <c r="H64" s="155"/>
      <c r="I64" s="179"/>
      <c r="J64" s="203"/>
      <c r="K64" s="155"/>
      <c r="L64" s="235" t="str">
        <f t="shared" si="12"/>
        <v/>
      </c>
      <c r="M64" s="223" t="str" cm="1">
        <f t="array" aca="1" ref="M64" ca="1">IF(AND($M$1="Hide",H64="ARRIVED"),"",IF(N64="","",HYPERLINK(INDIRECT(Q64)&amp;N64,"TRACK")))</f>
        <v/>
      </c>
      <c r="N64" s="222"/>
      <c r="O64" s="224" t="str">
        <f t="shared" ca="1" si="11"/>
        <v/>
      </c>
      <c r="R64" s="15" t="s">
        <v>6</v>
      </c>
    </row>
    <row r="65" spans="1:18">
      <c r="A65" s="155"/>
      <c r="B65" s="155"/>
      <c r="C65" s="233"/>
      <c r="D65" s="155"/>
      <c r="E65" s="155"/>
      <c r="F65" s="155"/>
      <c r="G65" s="155"/>
      <c r="H65" s="155"/>
      <c r="I65" s="179"/>
      <c r="J65" s="203"/>
      <c r="K65" s="155"/>
      <c r="L65" s="235" t="str">
        <f t="shared" si="12"/>
        <v/>
      </c>
      <c r="M65" s="223" t="str" cm="1">
        <f t="array" aca="1" ref="M65" ca="1">IF(AND($M$1="Hide",H65="ARRIVED"),"",IF(N65="","",HYPERLINK(INDIRECT(Q65)&amp;N65,"TRACK")))</f>
        <v/>
      </c>
      <c r="N65" s="222"/>
      <c r="O65" s="224" t="str">
        <f t="shared" ca="1" si="11"/>
        <v/>
      </c>
      <c r="R65" s="15" t="s">
        <v>6</v>
      </c>
    </row>
    <row r="66" spans="1:18">
      <c r="A66" s="155"/>
      <c r="B66" s="155"/>
      <c r="C66" s="233"/>
      <c r="D66" s="155"/>
      <c r="E66" s="155"/>
      <c r="F66" s="155"/>
      <c r="G66" s="155"/>
      <c r="H66" s="155"/>
      <c r="I66" s="179"/>
      <c r="J66" s="203"/>
      <c r="K66" s="155"/>
      <c r="L66" s="235" t="str">
        <f t="shared" si="12"/>
        <v/>
      </c>
      <c r="M66" s="223" t="str" cm="1">
        <f t="array" aca="1" ref="M66" ca="1">IF(AND($M$1="Hide",H66="ARRIVED"),"",IF(N66="","",HYPERLINK(INDIRECT(Q66)&amp;N66,"TRACK")))</f>
        <v/>
      </c>
      <c r="N66" s="222"/>
      <c r="O66" s="224" t="str">
        <f t="shared" ca="1" si="11"/>
        <v/>
      </c>
      <c r="R66" s="15" t="s">
        <v>6</v>
      </c>
    </row>
    <row r="67" spans="1:18">
      <c r="A67" s="155"/>
      <c r="B67" s="155"/>
      <c r="C67" s="233"/>
      <c r="D67" s="155"/>
      <c r="E67" s="155"/>
      <c r="F67" s="155"/>
      <c r="G67" s="155"/>
      <c r="H67" s="155"/>
      <c r="I67" s="179"/>
      <c r="J67" s="203"/>
      <c r="K67" s="155"/>
      <c r="L67" s="235" t="str">
        <f t="shared" si="12"/>
        <v/>
      </c>
      <c r="M67" s="223" t="str" cm="1">
        <f t="array" aca="1" ref="M67" ca="1">IF(AND($M$1="Hide",H67="ARRIVED"),"",IF(N67="","",HYPERLINK(INDIRECT(Q67)&amp;N67,"TRACK")))</f>
        <v/>
      </c>
      <c r="N67" s="222"/>
      <c r="O67" s="224" t="str">
        <f t="shared" ca="1" si="11"/>
        <v/>
      </c>
      <c r="R67" s="15" t="s">
        <v>6</v>
      </c>
    </row>
    <row r="68" spans="1:18">
      <c r="A68" s="155"/>
      <c r="B68" s="155"/>
      <c r="C68" s="233"/>
      <c r="D68" s="155"/>
      <c r="E68" s="155"/>
      <c r="F68" s="155"/>
      <c r="G68" s="155"/>
      <c r="H68" s="155"/>
      <c r="I68" s="179"/>
      <c r="J68" s="203"/>
      <c r="K68" s="155"/>
      <c r="L68" s="235" t="str">
        <f t="shared" si="12"/>
        <v/>
      </c>
      <c r="M68" s="223" t="str" cm="1">
        <f t="array" aca="1" ref="M68" ca="1">IF(AND($M$1="Hide",H68="ARRIVED"),"",IF(N68="","",HYPERLINK(INDIRECT(Q68)&amp;N68,"TRACK")))</f>
        <v/>
      </c>
      <c r="N68" s="222"/>
      <c r="O68" s="224" t="str">
        <f t="shared" ca="1" si="11"/>
        <v/>
      </c>
      <c r="R68" s="15" t="s">
        <v>6</v>
      </c>
    </row>
    <row r="69" spans="1:18">
      <c r="A69" s="155"/>
      <c r="B69" s="155"/>
      <c r="C69" s="233"/>
      <c r="D69" s="155"/>
      <c r="E69" s="155"/>
      <c r="F69" s="155"/>
      <c r="G69" s="155"/>
      <c r="H69" s="155"/>
      <c r="I69" s="179"/>
      <c r="J69" s="203"/>
      <c r="K69" s="155"/>
      <c r="L69" s="235" t="str">
        <f t="shared" si="12"/>
        <v/>
      </c>
      <c r="M69" s="223" t="str" cm="1">
        <f t="array" aca="1" ref="M69" ca="1">IF(AND($M$1="Hide",H69="ARRIVED"),"",IF(N69="","",HYPERLINK(INDIRECT(Q69)&amp;N69,"TRACK")))</f>
        <v/>
      </c>
      <c r="N69" s="222"/>
      <c r="O69" s="224" t="str">
        <f t="shared" ca="1" si="11"/>
        <v/>
      </c>
      <c r="R69" s="15" t="s">
        <v>6</v>
      </c>
    </row>
    <row r="70" spans="1:18">
      <c r="A70" s="155"/>
      <c r="B70" s="155"/>
      <c r="C70" s="233"/>
      <c r="D70" s="155"/>
      <c r="E70" s="155"/>
      <c r="F70" s="155"/>
      <c r="G70" s="155"/>
      <c r="H70" s="155"/>
      <c r="I70" s="179"/>
      <c r="J70" s="203"/>
      <c r="K70" s="155"/>
      <c r="L70" s="235" t="str">
        <f t="shared" si="12"/>
        <v/>
      </c>
      <c r="M70" s="223" t="str" cm="1">
        <f t="array" aca="1" ref="M70" ca="1">IF(AND($M$1="Hide",H70="ARRIVED"),"",IF(N70="","",HYPERLINK(INDIRECT(Q70)&amp;N70,"TRACK")))</f>
        <v/>
      </c>
      <c r="N70" s="222"/>
      <c r="O70" s="224" t="str">
        <f t="shared" ca="1" si="11"/>
        <v/>
      </c>
      <c r="R70" s="15" t="s">
        <v>6</v>
      </c>
    </row>
    <row r="71" spans="1:18">
      <c r="A71" s="155"/>
      <c r="B71" s="155"/>
      <c r="C71" s="233"/>
      <c r="D71" s="155"/>
      <c r="E71" s="155"/>
      <c r="F71" s="155"/>
      <c r="G71" s="155"/>
      <c r="H71" s="155"/>
      <c r="I71" s="179"/>
      <c r="J71" s="203"/>
      <c r="K71" s="155"/>
      <c r="L71" s="235" t="str">
        <f t="shared" si="12"/>
        <v/>
      </c>
      <c r="M71" s="223" t="str" cm="1">
        <f t="array" aca="1" ref="M71" ca="1">IF(AND($M$1="Hide",H71="ARRIVED"),"",IF(N71="","",HYPERLINK(INDIRECT(Q71)&amp;N71,"TRACK")))</f>
        <v/>
      </c>
      <c r="N71" s="222"/>
      <c r="O71" s="224" t="str">
        <f t="shared" ca="1" si="11"/>
        <v/>
      </c>
      <c r="R71" s="15" t="s">
        <v>6</v>
      </c>
    </row>
    <row r="72" spans="1:18">
      <c r="A72" s="155"/>
      <c r="B72" s="155"/>
      <c r="C72" s="233"/>
      <c r="D72" s="155"/>
      <c r="E72" s="155"/>
      <c r="F72" s="155"/>
      <c r="G72" s="155"/>
      <c r="H72" s="155"/>
      <c r="I72" s="179"/>
      <c r="J72" s="203"/>
      <c r="K72" s="155"/>
      <c r="L72" s="235" t="str">
        <f t="shared" si="12"/>
        <v/>
      </c>
      <c r="M72" s="223" t="str" cm="1">
        <f t="array" aca="1" ref="M72" ca="1">IF(AND($M$1="Hide",H72="ARRIVED"),"",IF(N72="","",HYPERLINK(INDIRECT(Q72)&amp;N72,"TRACK")))</f>
        <v/>
      </c>
      <c r="N72" s="222"/>
      <c r="O72" s="224" t="str">
        <f t="shared" ca="1" si="11"/>
        <v/>
      </c>
      <c r="R72" s="15" t="s">
        <v>6</v>
      </c>
    </row>
    <row r="73" spans="1:18">
      <c r="A73" s="155"/>
      <c r="B73" s="155"/>
      <c r="C73" s="233"/>
      <c r="D73" s="155"/>
      <c r="E73" s="155"/>
      <c r="F73" s="155"/>
      <c r="G73" s="155"/>
      <c r="H73" s="155"/>
      <c r="I73" s="179"/>
      <c r="J73" s="203"/>
      <c r="K73" s="155"/>
      <c r="L73" s="235" t="str">
        <f t="shared" si="12"/>
        <v/>
      </c>
      <c r="M73" s="223" t="str" cm="1">
        <f t="array" aca="1" ref="M73" ca="1">IF(AND($M$1="Hide",H73="ARRIVED"),"",IF(N73="","",HYPERLINK(INDIRECT(Q73)&amp;N73,"TRACK")))</f>
        <v/>
      </c>
      <c r="N73" s="222"/>
      <c r="O73" s="224" t="str">
        <f t="shared" ca="1" si="11"/>
        <v/>
      </c>
      <c r="R73" s="15" t="s">
        <v>6</v>
      </c>
    </row>
    <row r="74" spans="1:18">
      <c r="A74" s="155"/>
      <c r="B74" s="155"/>
      <c r="C74" s="233"/>
      <c r="D74" s="155"/>
      <c r="E74" s="155"/>
      <c r="F74" s="155"/>
      <c r="G74" s="155"/>
      <c r="H74" s="155"/>
      <c r="I74" s="179"/>
      <c r="J74" s="203"/>
      <c r="K74" s="155"/>
      <c r="L74" s="235" t="str">
        <f t="shared" si="12"/>
        <v/>
      </c>
      <c r="M74" s="223" t="str" cm="1">
        <f t="array" aca="1" ref="M74" ca="1">IF(AND($M$1="Hide",H74="ARRIVED"),"",IF(N74="","",HYPERLINK(INDIRECT(Q74)&amp;N74,"TRACK")))</f>
        <v/>
      </c>
      <c r="N74" s="222"/>
      <c r="O74" s="224" t="str">
        <f t="shared" ca="1" si="11"/>
        <v/>
      </c>
      <c r="R74" s="15" t="s">
        <v>6</v>
      </c>
    </row>
    <row r="75" spans="1:18">
      <c r="A75" s="155"/>
      <c r="B75" s="155"/>
      <c r="C75" s="233"/>
      <c r="D75" s="155"/>
      <c r="E75" s="155"/>
      <c r="F75" s="155"/>
      <c r="G75" s="155"/>
      <c r="H75" s="155"/>
      <c r="I75" s="179"/>
      <c r="J75" s="203"/>
      <c r="K75" s="155"/>
      <c r="L75" s="235" t="str">
        <f t="shared" si="12"/>
        <v/>
      </c>
      <c r="M75" s="223" t="str" cm="1">
        <f t="array" aca="1" ref="M75" ca="1">IF(AND($M$1="Hide",H75="ARRIVED"),"",IF(N75="","",HYPERLINK(INDIRECT(Q75)&amp;N75,"TRACK")))</f>
        <v/>
      </c>
      <c r="N75" s="222"/>
      <c r="O75" s="224" t="str">
        <f t="shared" ca="1" si="11"/>
        <v/>
      </c>
      <c r="R75" s="15" t="s">
        <v>6</v>
      </c>
    </row>
    <row r="76" spans="1:18">
      <c r="A76" s="155"/>
      <c r="B76" s="155"/>
      <c r="C76" s="233"/>
      <c r="D76" s="155"/>
      <c r="E76" s="155"/>
      <c r="F76" s="155"/>
      <c r="G76" s="155"/>
      <c r="H76" s="155"/>
      <c r="I76" s="179"/>
      <c r="J76" s="203"/>
      <c r="K76" s="155"/>
      <c r="L76" s="235" t="str">
        <f t="shared" si="12"/>
        <v/>
      </c>
      <c r="M76" s="223" t="str" cm="1">
        <f t="array" aca="1" ref="M76" ca="1">IF(AND($M$1="Hide",H76="ARRIVED"),"",IF(N76="","",HYPERLINK(INDIRECT(Q76)&amp;N76,"TRACK")))</f>
        <v/>
      </c>
      <c r="N76" s="222"/>
      <c r="O76" s="224" t="str">
        <f t="shared" ca="1" si="11"/>
        <v/>
      </c>
      <c r="R76" s="15" t="s">
        <v>6</v>
      </c>
    </row>
    <row r="77" spans="1:18">
      <c r="A77" s="155"/>
      <c r="B77" s="155"/>
      <c r="C77" s="233"/>
      <c r="D77" s="155"/>
      <c r="E77" s="155"/>
      <c r="F77" s="155"/>
      <c r="G77" s="155"/>
      <c r="H77" s="155"/>
      <c r="I77" s="179"/>
      <c r="J77" s="203"/>
      <c r="K77" s="155"/>
      <c r="L77" s="235" t="str">
        <f t="shared" si="12"/>
        <v/>
      </c>
      <c r="M77" s="223" t="str" cm="1">
        <f t="array" aca="1" ref="M77" ca="1">IF(AND($M$1="Hide",H77="ARRIVED"),"",IF(N77="","",HYPERLINK(INDIRECT(Q77)&amp;N77,"TRACK")))</f>
        <v/>
      </c>
      <c r="N77" s="222"/>
      <c r="O77" s="224" t="str">
        <f t="shared" ca="1" si="11"/>
        <v/>
      </c>
      <c r="R77" s="15" t="s">
        <v>6</v>
      </c>
    </row>
    <row r="78" spans="1:18">
      <c r="A78" s="155"/>
      <c r="B78" s="155"/>
      <c r="C78" s="233"/>
      <c r="D78" s="155"/>
      <c r="E78" s="155"/>
      <c r="F78" s="155"/>
      <c r="G78" s="155"/>
      <c r="H78" s="155"/>
      <c r="I78" s="179"/>
      <c r="J78" s="203"/>
      <c r="K78" s="155"/>
      <c r="L78" s="235" t="str">
        <f t="shared" si="12"/>
        <v/>
      </c>
      <c r="M78" s="223" t="str" cm="1">
        <f t="array" aca="1" ref="M78" ca="1">IF(AND($M$1="Hide",H78="ARRIVED"),"",IF(N78="","",HYPERLINK(INDIRECT(Q78)&amp;N78,"TRACK")))</f>
        <v/>
      </c>
      <c r="N78" s="222"/>
      <c r="O78" s="224" t="str">
        <f t="shared" ca="1" si="11"/>
        <v/>
      </c>
      <c r="R78" s="15" t="s">
        <v>6</v>
      </c>
    </row>
    <row r="79" spans="1:18">
      <c r="A79" s="155"/>
      <c r="B79" s="155"/>
      <c r="C79" s="233"/>
      <c r="D79" s="155"/>
      <c r="E79" s="155"/>
      <c r="F79" s="155"/>
      <c r="G79" s="155"/>
      <c r="H79" s="155"/>
      <c r="I79" s="179"/>
      <c r="J79" s="203"/>
      <c r="K79" s="155"/>
      <c r="L79" s="235" t="str">
        <f t="shared" si="12"/>
        <v/>
      </c>
      <c r="M79" s="223" t="str" cm="1">
        <f t="array" aca="1" ref="M79" ca="1">IF(AND($M$1="Hide",H79="ARRIVED"),"",IF(N79="","",HYPERLINK(INDIRECT(Q79)&amp;N79,"TRACK")))</f>
        <v/>
      </c>
      <c r="N79" s="222"/>
      <c r="O79" s="224" t="str">
        <f t="shared" ca="1" si="11"/>
        <v/>
      </c>
      <c r="R79" s="15" t="s">
        <v>6</v>
      </c>
    </row>
    <row r="80" spans="1:18">
      <c r="A80" s="155"/>
      <c r="B80" s="155"/>
      <c r="C80" s="233"/>
      <c r="D80" s="155"/>
      <c r="E80" s="155"/>
      <c r="F80" s="155"/>
      <c r="G80" s="155"/>
      <c r="H80" s="155"/>
      <c r="I80" s="179"/>
      <c r="J80" s="203"/>
      <c r="K80" s="155"/>
      <c r="L80" s="235" t="str">
        <f t="shared" si="12"/>
        <v/>
      </c>
      <c r="M80" s="223" t="str" cm="1">
        <f t="array" aca="1" ref="M80" ca="1">IF(AND($M$1="Hide",H80="ARRIVED"),"",IF(N80="","",HYPERLINK(INDIRECT(Q80)&amp;N80,"TRACK")))</f>
        <v/>
      </c>
      <c r="N80" s="222"/>
      <c r="O80" s="224" t="str">
        <f t="shared" ca="1" si="11"/>
        <v/>
      </c>
      <c r="R80" s="15" t="s">
        <v>6</v>
      </c>
    </row>
    <row r="81" spans="1:18">
      <c r="A81" s="155"/>
      <c r="B81" s="155"/>
      <c r="C81" s="233"/>
      <c r="D81" s="155"/>
      <c r="E81" s="155"/>
      <c r="F81" s="155"/>
      <c r="G81" s="155"/>
      <c r="H81" s="155"/>
      <c r="I81" s="179"/>
      <c r="J81" s="203"/>
      <c r="K81" s="155"/>
      <c r="L81" s="235" t="str">
        <f t="shared" si="12"/>
        <v/>
      </c>
      <c r="M81" s="223" t="str" cm="1">
        <f t="array" aca="1" ref="M81" ca="1">IF(AND($M$1="Hide",H81="ARRIVED"),"",IF(N81="","",HYPERLINK(INDIRECT(Q81)&amp;N81,"TRACK")))</f>
        <v/>
      </c>
      <c r="N81" s="222"/>
      <c r="O81" s="224" t="str">
        <f t="shared" ca="1" si="11"/>
        <v/>
      </c>
      <c r="R81" s="15" t="s">
        <v>6</v>
      </c>
    </row>
    <row r="82" spans="1:18">
      <c r="A82" s="155"/>
      <c r="B82" s="155"/>
      <c r="C82" s="233"/>
      <c r="D82" s="155"/>
      <c r="E82" s="155"/>
      <c r="F82" s="155"/>
      <c r="G82" s="155"/>
      <c r="H82" s="155"/>
      <c r="I82" s="179"/>
      <c r="J82" s="203"/>
      <c r="K82" s="155"/>
      <c r="L82" s="235" t="str">
        <f t="shared" si="12"/>
        <v/>
      </c>
      <c r="M82" s="223" t="str" cm="1">
        <f t="array" aca="1" ref="M82" ca="1">IF(AND($M$1="Hide",H82="ARRIVED"),"",IF(N82="","",HYPERLINK(INDIRECT(Q82)&amp;N82,"TRACK")))</f>
        <v/>
      </c>
      <c r="N82" s="222"/>
      <c r="O82" s="224" t="str">
        <f t="shared" ca="1" si="11"/>
        <v/>
      </c>
      <c r="R82" s="15" t="s">
        <v>6</v>
      </c>
    </row>
    <row r="83" spans="1:18">
      <c r="A83" s="155"/>
      <c r="B83" s="155"/>
      <c r="C83" s="233"/>
      <c r="D83" s="155"/>
      <c r="E83" s="155"/>
      <c r="F83" s="155"/>
      <c r="G83" s="155"/>
      <c r="H83" s="155"/>
      <c r="I83" s="179"/>
      <c r="J83" s="203"/>
      <c r="K83" s="155"/>
      <c r="L83" s="235" t="str">
        <f t="shared" si="12"/>
        <v/>
      </c>
      <c r="M83" s="223" t="str" cm="1">
        <f t="array" aca="1" ref="M83" ca="1">IF(AND($M$1="Hide",H83="ARRIVED"),"",IF(N83="","",HYPERLINK(INDIRECT(Q83)&amp;N83,"TRACK")))</f>
        <v/>
      </c>
      <c r="N83" s="222"/>
      <c r="O83" s="224" t="str">
        <f t="shared" ca="1" si="11"/>
        <v/>
      </c>
      <c r="R83" s="15" t="s">
        <v>6</v>
      </c>
    </row>
    <row r="84" spans="1:18">
      <c r="A84" s="155"/>
      <c r="B84" s="155"/>
      <c r="C84" s="233"/>
      <c r="D84" s="155"/>
      <c r="E84" s="155"/>
      <c r="F84" s="155"/>
      <c r="G84" s="155"/>
      <c r="H84" s="155"/>
      <c r="I84" s="179"/>
      <c r="J84" s="203"/>
      <c r="K84" s="155"/>
      <c r="L84" s="235" t="str">
        <f t="shared" si="12"/>
        <v/>
      </c>
      <c r="M84" s="223" t="str" cm="1">
        <f t="array" aca="1" ref="M84" ca="1">IF(AND($M$1="Hide",H84="ARRIVED"),"",IF(N84="","",HYPERLINK(INDIRECT(Q84)&amp;N84,"TRACK")))</f>
        <v/>
      </c>
      <c r="N84" s="222"/>
      <c r="O84" s="224" t="str">
        <f t="shared" ca="1" si="11"/>
        <v/>
      </c>
      <c r="R84" s="15" t="s">
        <v>6</v>
      </c>
    </row>
    <row r="85" spans="1:18">
      <c r="A85" s="155"/>
      <c r="B85" s="155"/>
      <c r="C85" s="233"/>
      <c r="D85" s="155"/>
      <c r="E85" s="155"/>
      <c r="F85" s="155"/>
      <c r="G85" s="155"/>
      <c r="H85" s="155"/>
      <c r="I85" s="179"/>
      <c r="J85" s="203"/>
      <c r="K85" s="155"/>
      <c r="L85" s="235" t="str">
        <f t="shared" si="12"/>
        <v/>
      </c>
      <c r="M85" s="223" t="str" cm="1">
        <f t="array" aca="1" ref="M85" ca="1">IF(AND($M$1="Hide",H85="ARRIVED"),"",IF(N85="","",HYPERLINK(INDIRECT(Q85)&amp;N85,"TRACK")))</f>
        <v/>
      </c>
      <c r="N85" s="222"/>
      <c r="O85" s="224" t="str">
        <f t="shared" ca="1" si="11"/>
        <v/>
      </c>
      <c r="R85" s="15" t="s">
        <v>6</v>
      </c>
    </row>
    <row r="86" spans="1:18">
      <c r="A86" s="155"/>
      <c r="B86" s="155"/>
      <c r="C86" s="233"/>
      <c r="D86" s="155"/>
      <c r="E86" s="155"/>
      <c r="F86" s="155"/>
      <c r="G86" s="155"/>
      <c r="H86" s="155"/>
      <c r="I86" s="179"/>
      <c r="J86" s="203"/>
      <c r="K86" s="155"/>
      <c r="L86" s="235" t="str">
        <f t="shared" si="12"/>
        <v/>
      </c>
      <c r="M86" s="223" t="str" cm="1">
        <f t="array" aca="1" ref="M86" ca="1">IF(AND($M$1="Hide",H86="ARRIVED"),"",IF(N86="","",HYPERLINK(INDIRECT(Q86)&amp;N86,"TRACK")))</f>
        <v/>
      </c>
      <c r="N86" s="222"/>
      <c r="O86" s="224" t="str">
        <f t="shared" ca="1" si="11"/>
        <v/>
      </c>
      <c r="R86" s="15" t="s">
        <v>6</v>
      </c>
    </row>
    <row r="87" spans="1:18">
      <c r="A87" s="155"/>
      <c r="B87" s="155"/>
      <c r="C87" s="233"/>
      <c r="D87" s="155"/>
      <c r="E87" s="155"/>
      <c r="F87" s="155"/>
      <c r="G87" s="155"/>
      <c r="H87" s="155"/>
      <c r="I87" s="179"/>
      <c r="J87" s="203"/>
      <c r="K87" s="155"/>
      <c r="L87" s="235" t="str">
        <f t="shared" si="12"/>
        <v/>
      </c>
      <c r="M87" s="223" t="str" cm="1">
        <f t="array" aca="1" ref="M87" ca="1">IF(AND($M$1="Hide",H87="ARRIVED"),"",IF(N87="","",HYPERLINK(INDIRECT(Q87)&amp;N87,"TRACK")))</f>
        <v/>
      </c>
      <c r="N87" s="222"/>
      <c r="O87" s="224" t="str">
        <f t="shared" ca="1" si="11"/>
        <v/>
      </c>
      <c r="R87" s="15" t="s">
        <v>6</v>
      </c>
    </row>
    <row r="88" spans="1:18">
      <c r="A88" s="155"/>
      <c r="B88" s="155"/>
      <c r="C88" s="233"/>
      <c r="D88" s="155"/>
      <c r="E88" s="155"/>
      <c r="F88" s="155"/>
      <c r="G88" s="155"/>
      <c r="H88" s="155"/>
      <c r="I88" s="179"/>
      <c r="J88" s="203"/>
      <c r="K88" s="155"/>
      <c r="L88" s="235" t="str">
        <f t="shared" si="12"/>
        <v/>
      </c>
      <c r="M88" s="223" t="str" cm="1">
        <f t="array" aca="1" ref="M88" ca="1">IF(AND($M$1="Hide",H88="ARRIVED"),"",IF(N88="","",HYPERLINK(INDIRECT(Q88)&amp;N88,"TRACK")))</f>
        <v/>
      </c>
      <c r="N88" s="222"/>
      <c r="O88" s="224" t="str">
        <f t="shared" ca="1" si="11"/>
        <v/>
      </c>
      <c r="R88" s="15" t="s">
        <v>6</v>
      </c>
    </row>
    <row r="89" spans="1:18">
      <c r="A89" s="155"/>
      <c r="B89" s="155"/>
      <c r="C89" s="233"/>
      <c r="D89" s="155"/>
      <c r="E89" s="155"/>
      <c r="F89" s="155"/>
      <c r="G89" s="155"/>
      <c r="H89" s="155"/>
      <c r="I89" s="179"/>
      <c r="J89" s="203"/>
      <c r="K89" s="155"/>
      <c r="L89" s="235" t="str">
        <f t="shared" si="12"/>
        <v/>
      </c>
      <c r="M89" s="223" t="str" cm="1">
        <f t="array" aca="1" ref="M89" ca="1">IF(AND($M$1="Hide",H89="ARRIVED"),"",IF(N89="","",HYPERLINK(INDIRECT(Q89)&amp;N89,"TRACK")))</f>
        <v/>
      </c>
      <c r="N89" s="222"/>
      <c r="O89" s="224" t="str">
        <f t="shared" ca="1" si="11"/>
        <v/>
      </c>
      <c r="R89" s="15" t="s">
        <v>6</v>
      </c>
    </row>
    <row r="90" spans="1:18">
      <c r="A90" s="155"/>
      <c r="B90" s="155"/>
      <c r="C90" s="233"/>
      <c r="D90" s="155"/>
      <c r="E90" s="155"/>
      <c r="F90" s="155"/>
      <c r="G90" s="155"/>
      <c r="H90" s="155"/>
      <c r="I90" s="179"/>
      <c r="J90" s="203"/>
      <c r="K90" s="155"/>
      <c r="L90" s="235" t="str">
        <f t="shared" si="12"/>
        <v/>
      </c>
      <c r="M90" s="223" t="str" cm="1">
        <f t="array" aca="1" ref="M90" ca="1">IF(AND($M$1="Hide",H90="ARRIVED"),"",IF(N90="","",HYPERLINK(INDIRECT(Q90)&amp;N90,"TRACK")))</f>
        <v/>
      </c>
      <c r="N90" s="222"/>
      <c r="O90" s="224" t="str">
        <f t="shared" ca="1" si="11"/>
        <v/>
      </c>
      <c r="R90" s="15" t="s">
        <v>6</v>
      </c>
    </row>
    <row r="91" spans="1:18">
      <c r="A91" s="155"/>
      <c r="B91" s="155"/>
      <c r="C91" s="233"/>
      <c r="D91" s="155"/>
      <c r="E91" s="155"/>
      <c r="F91" s="155"/>
      <c r="G91" s="155"/>
      <c r="H91" s="155"/>
      <c r="I91" s="179"/>
      <c r="J91" s="203"/>
      <c r="K91" s="155"/>
      <c r="L91" s="235" t="str">
        <f t="shared" si="12"/>
        <v/>
      </c>
      <c r="M91" s="223" t="str" cm="1">
        <f t="array" aca="1" ref="M91" ca="1">IF(AND($M$1="Hide",H91="ARRIVED"),"",IF(N91="","",HYPERLINK(INDIRECT(Q91)&amp;N91,"TRACK")))</f>
        <v/>
      </c>
      <c r="N91" s="111"/>
      <c r="O91" s="224" t="str">
        <f t="shared" ca="1" si="11"/>
        <v/>
      </c>
      <c r="R91" s="15" t="s">
        <v>6</v>
      </c>
    </row>
    <row r="92" spans="1:18">
      <c r="A92" s="155"/>
      <c r="B92" s="155"/>
      <c r="C92" s="233"/>
      <c r="D92" s="155"/>
      <c r="E92" s="155"/>
      <c r="F92" s="155"/>
      <c r="G92" s="155"/>
      <c r="H92" s="155"/>
      <c r="I92" s="179"/>
      <c r="J92" s="203"/>
      <c r="K92" s="155"/>
      <c r="L92" s="235" t="str">
        <f t="shared" si="12"/>
        <v/>
      </c>
      <c r="M92" s="223" t="str" cm="1">
        <f t="array" aca="1" ref="M92" ca="1">IF(AND($M$1="Hide",H92="ARRIVED"),"",IF(N92="","",HYPERLINK(INDIRECT(Q92)&amp;N92,"TRACK")))</f>
        <v/>
      </c>
      <c r="N92" s="111"/>
      <c r="O92" s="224" t="str">
        <f t="shared" ca="1" si="11"/>
        <v/>
      </c>
      <c r="R92" s="15" t="s">
        <v>6</v>
      </c>
    </row>
    <row r="93" spans="1:18">
      <c r="A93" s="155"/>
      <c r="B93" s="155"/>
      <c r="C93" s="233"/>
      <c r="D93" s="155"/>
      <c r="E93" s="155"/>
      <c r="F93" s="155"/>
      <c r="G93" s="155"/>
      <c r="H93" s="155"/>
      <c r="I93" s="179"/>
      <c r="J93" s="203"/>
      <c r="K93" s="155"/>
      <c r="L93" s="235" t="str">
        <f t="shared" si="12"/>
        <v/>
      </c>
      <c r="M93" s="223" t="str" cm="1">
        <f t="array" aca="1" ref="M93" ca="1">IF(AND($M$1="Hide",H93="ARRIVED"),"",IF(N93="","",HYPERLINK(INDIRECT(Q93)&amp;N93,"TRACK")))</f>
        <v/>
      </c>
      <c r="N93" s="111"/>
      <c r="O93" s="224" t="str">
        <f t="shared" ca="1" si="11"/>
        <v/>
      </c>
      <c r="R93" s="15" t="s">
        <v>6</v>
      </c>
    </row>
    <row r="94" spans="1:18">
      <c r="A94" s="155"/>
      <c r="B94" s="155"/>
      <c r="C94" s="233"/>
      <c r="D94" s="155"/>
      <c r="E94" s="155"/>
      <c r="F94" s="155"/>
      <c r="G94" s="155"/>
      <c r="H94" s="155"/>
      <c r="I94" s="179"/>
      <c r="J94" s="203"/>
      <c r="K94" s="155"/>
      <c r="L94" s="235" t="str">
        <f t="shared" si="12"/>
        <v/>
      </c>
      <c r="M94" s="223" t="str" cm="1">
        <f t="array" aca="1" ref="M94" ca="1">IF(AND($M$1="Hide",H94="ARRIVED"),"",IF(N94="","",HYPERLINK(INDIRECT(Q94)&amp;N94,"TRACK")))</f>
        <v/>
      </c>
      <c r="N94" s="111"/>
      <c r="O94" s="224" t="str">
        <f t="shared" ca="1" si="11"/>
        <v/>
      </c>
      <c r="R94" s="15" t="s">
        <v>6</v>
      </c>
    </row>
    <row r="95" spans="1:18">
      <c r="A95" s="155"/>
      <c r="B95" s="155"/>
      <c r="C95" s="233"/>
      <c r="D95" s="155"/>
      <c r="E95" s="155"/>
      <c r="F95" s="155"/>
      <c r="G95" s="155"/>
      <c r="H95" s="155"/>
      <c r="I95" s="179"/>
      <c r="J95" s="203"/>
      <c r="K95" s="155"/>
      <c r="L95" s="235" t="str">
        <f t="shared" si="12"/>
        <v/>
      </c>
      <c r="M95" s="223" t="str" cm="1">
        <f t="array" aca="1" ref="M95" ca="1">IF(AND($M$1="Hide",H95="ARRIVED"),"",IF(N95="","",HYPERLINK(INDIRECT(Q95)&amp;N95,"TRACK")))</f>
        <v/>
      </c>
      <c r="N95" s="111"/>
      <c r="O95" s="224" t="str">
        <f t="shared" ca="1" si="11"/>
        <v/>
      </c>
      <c r="R95" s="15" t="s">
        <v>6</v>
      </c>
    </row>
    <row r="96" spans="1:18">
      <c r="A96" s="155"/>
      <c r="B96" s="155"/>
      <c r="C96" s="233"/>
      <c r="D96" s="155"/>
      <c r="E96" s="155"/>
      <c r="F96" s="155"/>
      <c r="G96" s="155"/>
      <c r="H96" s="155"/>
      <c r="I96" s="179"/>
      <c r="J96" s="203"/>
      <c r="K96" s="155"/>
      <c r="L96" s="235" t="str">
        <f t="shared" si="12"/>
        <v/>
      </c>
      <c r="M96" s="223" t="str" cm="1">
        <f t="array" aca="1" ref="M96" ca="1">IF(AND($M$1="Hide",H96="ARRIVED"),"",IF(N96="","",HYPERLINK(INDIRECT(Q96)&amp;N96,"TRACK")))</f>
        <v/>
      </c>
      <c r="N96" s="111"/>
      <c r="O96" s="224" t="str">
        <f t="shared" ca="1" si="11"/>
        <v/>
      </c>
      <c r="R96" s="15" t="s">
        <v>6</v>
      </c>
    </row>
    <row r="97" spans="1:18">
      <c r="A97" s="155"/>
      <c r="B97" s="155"/>
      <c r="C97" s="233"/>
      <c r="D97" s="155"/>
      <c r="E97" s="155"/>
      <c r="F97" s="155"/>
      <c r="G97" s="155"/>
      <c r="H97" s="155"/>
      <c r="I97" s="179"/>
      <c r="J97" s="203"/>
      <c r="K97" s="155"/>
      <c r="L97" s="235" t="str">
        <f t="shared" si="12"/>
        <v/>
      </c>
      <c r="M97" s="223" t="str" cm="1">
        <f t="array" aca="1" ref="M97" ca="1">IF(AND($M$1="Hide",H97="ARRIVED"),"",IF(N97="","",HYPERLINK(INDIRECT(Q97)&amp;N97,"TRACK")))</f>
        <v/>
      </c>
      <c r="N97" s="111"/>
      <c r="O97" s="224" t="str">
        <f t="shared" ca="1" si="11"/>
        <v/>
      </c>
      <c r="R97" s="15" t="s">
        <v>6</v>
      </c>
    </row>
    <row r="98" spans="1:18">
      <c r="A98" s="155"/>
      <c r="B98" s="155"/>
      <c r="C98" s="233"/>
      <c r="D98" s="155"/>
      <c r="E98" s="155"/>
      <c r="F98" s="155"/>
      <c r="G98" s="155"/>
      <c r="H98" s="155"/>
      <c r="I98" s="179"/>
      <c r="J98" s="203"/>
      <c r="K98" s="155"/>
      <c r="L98" s="235" t="str">
        <f t="shared" si="12"/>
        <v/>
      </c>
      <c r="M98" s="223" t="str" cm="1">
        <f t="array" aca="1" ref="M98" ca="1">IF(AND($M$1="Hide",H98="ARRIVED"),"",IF(N98="","",HYPERLINK(INDIRECT(Q98)&amp;N98,"TRACK")))</f>
        <v/>
      </c>
      <c r="N98" s="111"/>
      <c r="O98" s="224" t="str">
        <f t="shared" ca="1" si="11"/>
        <v/>
      </c>
      <c r="R98" s="15" t="s">
        <v>6</v>
      </c>
    </row>
    <row r="99" spans="1:18">
      <c r="A99" s="155"/>
      <c r="B99" s="155"/>
      <c r="C99" s="233"/>
      <c r="D99" s="155"/>
      <c r="E99" s="155"/>
      <c r="F99" s="155"/>
      <c r="G99" s="155"/>
      <c r="H99" s="155"/>
      <c r="I99" s="179"/>
      <c r="J99" s="203"/>
      <c r="K99" s="155"/>
      <c r="L99" s="235" t="str">
        <f t="shared" si="12"/>
        <v/>
      </c>
      <c r="M99" s="223" t="str" cm="1">
        <f t="array" aca="1" ref="M99" ca="1">IF(AND($M$1="Hide",H99="ARRIVED"),"",IF(N99="","",HYPERLINK(INDIRECT(Q99)&amp;N99,"TRACK")))</f>
        <v/>
      </c>
      <c r="N99" s="111"/>
      <c r="O99" s="224" t="str">
        <f t="shared" ca="1" si="11"/>
        <v/>
      </c>
      <c r="R99" s="15" t="s">
        <v>6</v>
      </c>
    </row>
    <row r="100" spans="1:18">
      <c r="A100" s="155"/>
      <c r="B100" s="155"/>
      <c r="C100" s="233"/>
      <c r="D100" s="155"/>
      <c r="E100" s="155"/>
      <c r="F100" s="155"/>
      <c r="G100" s="155"/>
      <c r="H100" s="155"/>
      <c r="I100" s="179"/>
      <c r="J100" s="203"/>
      <c r="K100" s="155"/>
      <c r="L100" s="235" t="str">
        <f t="shared" si="12"/>
        <v/>
      </c>
      <c r="M100" s="223" t="str" cm="1">
        <f t="array" aca="1" ref="M100" ca="1">IF(AND($M$1="Hide",H100="ARRIVED"),"",IF(N100="","",HYPERLINK(INDIRECT(Q100)&amp;N100,"TRACK")))</f>
        <v/>
      </c>
      <c r="N100" s="111"/>
      <c r="O100" s="224" t="str">
        <f t="shared" ca="1" si="11"/>
        <v/>
      </c>
      <c r="R100" s="15" t="s">
        <v>6</v>
      </c>
    </row>
    <row r="101" spans="1:18">
      <c r="A101" s="155"/>
      <c r="B101" s="155"/>
      <c r="C101" s="233"/>
      <c r="D101" s="155"/>
      <c r="E101" s="155"/>
      <c r="F101" s="155"/>
      <c r="G101" s="155"/>
      <c r="H101" s="155"/>
      <c r="I101" s="179"/>
      <c r="J101" s="203"/>
      <c r="K101" s="155"/>
      <c r="L101" s="235" t="str">
        <f t="shared" si="12"/>
        <v/>
      </c>
      <c r="M101" s="223" t="str" cm="1">
        <f t="array" aca="1" ref="M101" ca="1">IF(AND($M$1="Hide",H101="ARRIVED"),"",IF(N101="","",HYPERLINK(INDIRECT(Q101)&amp;N101,"TRACK")))</f>
        <v/>
      </c>
      <c r="N101" s="111"/>
      <c r="O101" s="224" t="str">
        <f t="shared" ca="1" si="11"/>
        <v/>
      </c>
      <c r="R101" s="15" t="s">
        <v>6</v>
      </c>
    </row>
    <row r="102" spans="1:18">
      <c r="A102" s="155"/>
      <c r="B102" s="155"/>
      <c r="C102" s="233"/>
      <c r="D102" s="155"/>
      <c r="E102" s="155"/>
      <c r="F102" s="155"/>
      <c r="G102" s="155"/>
      <c r="H102" s="155"/>
      <c r="I102" s="179"/>
      <c r="J102" s="203"/>
      <c r="K102" s="155"/>
      <c r="L102" s="235" t="str">
        <f t="shared" si="12"/>
        <v/>
      </c>
      <c r="M102" s="223" t="str" cm="1">
        <f t="array" aca="1" ref="M102" ca="1">IF(AND($M$1="Hide",H102="ARRIVED"),"",IF(N102="","",HYPERLINK(INDIRECT(Q102)&amp;N102,"TRACK")))</f>
        <v/>
      </c>
      <c r="N102" s="111"/>
      <c r="O102" s="224" t="str">
        <f t="shared" ca="1" si="11"/>
        <v/>
      </c>
      <c r="R102" s="15" t="s">
        <v>6</v>
      </c>
    </row>
    <row r="103" spans="1:18">
      <c r="A103" s="155"/>
      <c r="B103" s="155"/>
      <c r="C103" s="233"/>
      <c r="D103" s="155"/>
      <c r="E103" s="155"/>
      <c r="F103" s="155"/>
      <c r="G103" s="155"/>
      <c r="H103" s="155"/>
      <c r="I103" s="179"/>
      <c r="J103" s="203"/>
      <c r="K103" s="155"/>
      <c r="L103" s="235" t="str">
        <f t="shared" si="12"/>
        <v/>
      </c>
      <c r="M103" s="223" t="str" cm="1">
        <f t="array" aca="1" ref="M103" ca="1">IF(AND($M$1="Hide",H103="ARRIVED"),"",IF(N103="","",HYPERLINK(INDIRECT(Q103)&amp;N103,"TRACK")))</f>
        <v/>
      </c>
      <c r="N103" s="111"/>
      <c r="O103" s="224" t="str">
        <f t="shared" ca="1" si="11"/>
        <v/>
      </c>
      <c r="R103" s="15" t="s">
        <v>6</v>
      </c>
    </row>
    <row r="104" spans="1:18">
      <c r="A104" s="155"/>
      <c r="B104" s="155"/>
      <c r="C104" s="233"/>
      <c r="D104" s="155"/>
      <c r="E104" s="155"/>
      <c r="F104" s="155"/>
      <c r="G104" s="155"/>
      <c r="H104" s="155"/>
      <c r="I104" s="179"/>
      <c r="J104" s="203"/>
      <c r="K104" s="155"/>
      <c r="L104" s="235" t="str">
        <f t="shared" si="12"/>
        <v/>
      </c>
      <c r="M104" s="223" t="str" cm="1">
        <f t="array" aca="1" ref="M104" ca="1">IF(AND($M$1="Hide",H104="ARRIVED"),"",IF(N104="","",HYPERLINK(INDIRECT(Q104)&amp;N104,"TRACK")))</f>
        <v/>
      </c>
      <c r="N104" s="111"/>
      <c r="O104" s="224" t="str">
        <f t="shared" ca="1" si="11"/>
        <v/>
      </c>
      <c r="R104" s="15" t="s">
        <v>6</v>
      </c>
    </row>
    <row r="105" spans="1:18">
      <c r="A105" s="155"/>
      <c r="B105" s="155"/>
      <c r="C105" s="233"/>
      <c r="D105" s="155"/>
      <c r="E105" s="155"/>
      <c r="F105" s="155"/>
      <c r="G105" s="155"/>
      <c r="H105" s="155"/>
      <c r="I105" s="179"/>
      <c r="J105" s="203"/>
      <c r="K105" s="155"/>
      <c r="L105" s="235" t="str">
        <f t="shared" si="12"/>
        <v/>
      </c>
      <c r="M105" s="223" t="str" cm="1">
        <f t="array" aca="1" ref="M105" ca="1">IF(AND($M$1="Hide",H105="ARRIVED"),"",IF(N105="","",HYPERLINK(INDIRECT(Q105)&amp;N105,"TRACK")))</f>
        <v/>
      </c>
      <c r="N105" s="111"/>
      <c r="O105" s="224" t="str">
        <f t="shared" ca="1" si="11"/>
        <v/>
      </c>
      <c r="R105" s="15" t="s">
        <v>6</v>
      </c>
    </row>
    <row r="106" spans="1:18">
      <c r="A106" s="155"/>
      <c r="B106" s="155"/>
      <c r="C106" s="233"/>
      <c r="D106" s="155"/>
      <c r="E106" s="155"/>
      <c r="F106" s="155"/>
      <c r="G106" s="155"/>
      <c r="H106" s="155"/>
      <c r="I106" s="179"/>
      <c r="J106" s="203"/>
      <c r="K106" s="155"/>
      <c r="L106" s="235" t="str">
        <f t="shared" si="12"/>
        <v/>
      </c>
      <c r="M106" s="223" t="str" cm="1">
        <f t="array" aca="1" ref="M106" ca="1">IF(AND($M$1="Hide",H106="ARRIVED"),"",IF(N106="","",HYPERLINK(INDIRECT(Q106)&amp;N106,"TRACK")))</f>
        <v/>
      </c>
      <c r="N106" s="111"/>
      <c r="O106" s="224" t="str">
        <f t="shared" ca="1" si="11"/>
        <v/>
      </c>
      <c r="R106" s="15" t="s">
        <v>6</v>
      </c>
    </row>
    <row r="107" spans="1:18">
      <c r="A107" s="155"/>
      <c r="B107" s="155"/>
      <c r="C107" s="233"/>
      <c r="D107" s="155"/>
      <c r="E107" s="155"/>
      <c r="F107" s="155"/>
      <c r="G107" s="155"/>
      <c r="H107" s="155"/>
      <c r="I107" s="179"/>
      <c r="J107" s="203"/>
      <c r="K107" s="155"/>
      <c r="L107" s="235" t="str">
        <f t="shared" si="12"/>
        <v/>
      </c>
      <c r="M107" s="223" t="str" cm="1">
        <f t="array" aca="1" ref="M107" ca="1">IF(AND($M$1="Hide",H107="ARRIVED"),"",IF(N107="","",HYPERLINK(INDIRECT(Q107)&amp;N107,"TRACK")))</f>
        <v/>
      </c>
      <c r="N107" s="111"/>
      <c r="O107" s="224" t="str">
        <f t="shared" ca="1" si="11"/>
        <v/>
      </c>
    </row>
    <row r="108" spans="1:18">
      <c r="A108" s="155"/>
      <c r="B108" s="155"/>
      <c r="C108" s="233"/>
      <c r="D108" s="155"/>
      <c r="E108" s="155"/>
      <c r="F108" s="155"/>
      <c r="G108" s="155"/>
      <c r="H108" s="155"/>
      <c r="I108" s="179"/>
      <c r="J108" s="203"/>
      <c r="K108" s="155"/>
      <c r="L108" s="235" t="str">
        <f t="shared" si="12"/>
        <v/>
      </c>
      <c r="M108" s="223" t="str" cm="1">
        <f t="array" aca="1" ref="M108" ca="1">IF(AND($M$1="Hide",H108="ARRIVED"),"",IF(N108="","",HYPERLINK(INDIRECT(Q108)&amp;N108,"TRACK")))</f>
        <v/>
      </c>
      <c r="N108" s="111"/>
      <c r="O108" s="224" t="str">
        <f t="shared" ca="1" si="11"/>
        <v/>
      </c>
    </row>
    <row r="109" spans="1:18" ht="17.100000000000001" customHeight="1">
      <c r="C109" s="234"/>
      <c r="J109" s="204"/>
      <c r="L109" s="235" t="str">
        <f t="shared" si="12"/>
        <v/>
      </c>
      <c r="M109" s="223" t="str" cm="1">
        <f t="array" aca="1" ref="M109" ca="1">IF(AND($M$1="Hide",H109="ARRIVED"),"",IF(N109="","",HYPERLINK(INDIRECT(Q109)&amp;N109,"TRACK")))</f>
        <v/>
      </c>
      <c r="O109" s="224" t="str">
        <f t="shared" ref="O109:O138" ca="1" si="13">IF(AND(H109="ARRIVED",$O$1="show"),TODAY()-J109,"")</f>
        <v/>
      </c>
    </row>
    <row r="110" spans="1:18">
      <c r="C110" s="234"/>
      <c r="J110" s="204"/>
      <c r="L110" s="235" t="str">
        <f t="shared" si="12"/>
        <v/>
      </c>
      <c r="M110" s="223" t="str" cm="1">
        <f t="array" aca="1" ref="M110" ca="1">IF(AND($M$1="Hide",H110="ARRIVED"),"",IF(N110="","",HYPERLINK(INDIRECT(Q110)&amp;N110,"TRACK")))</f>
        <v/>
      </c>
      <c r="O110" s="224" t="str">
        <f t="shared" ca="1" si="13"/>
        <v/>
      </c>
    </row>
    <row r="111" spans="1:18">
      <c r="C111" s="234"/>
      <c r="J111" s="204"/>
      <c r="L111" s="235" t="str">
        <f t="shared" si="12"/>
        <v/>
      </c>
      <c r="M111" s="223" t="str" cm="1">
        <f t="array" aca="1" ref="M111" ca="1">IF(AND($M$1="Hide",H111="ARRIVED"),"",IF(N111="","",HYPERLINK(INDIRECT(Q111)&amp;N111,"TRACK")))</f>
        <v/>
      </c>
      <c r="O111" s="224" t="str">
        <f t="shared" ca="1" si="13"/>
        <v/>
      </c>
    </row>
    <row r="112" spans="1:18">
      <c r="C112" s="234"/>
      <c r="J112" s="204"/>
      <c r="L112" s="235" t="str">
        <f t="shared" si="12"/>
        <v/>
      </c>
      <c r="M112" s="223" t="str" cm="1">
        <f t="array" aca="1" ref="M112" ca="1">IF(AND($M$1="Hide",H112="ARRIVED"),"",IF(N112="","",HYPERLINK(INDIRECT(Q112)&amp;N112,"TRACK")))</f>
        <v/>
      </c>
      <c r="O112" s="224" t="str">
        <f t="shared" ca="1" si="13"/>
        <v/>
      </c>
    </row>
    <row r="113" spans="3:15">
      <c r="C113" s="234"/>
      <c r="J113" s="204"/>
      <c r="L113" s="235" t="str">
        <f t="shared" si="12"/>
        <v/>
      </c>
      <c r="M113" s="223" t="str" cm="1">
        <f t="array" aca="1" ref="M113" ca="1">IF(AND($M$1="Hide",H113="ARRIVED"),"",IF(N113="","",HYPERLINK(INDIRECT(Q113)&amp;N113,"TRACK")))</f>
        <v/>
      </c>
      <c r="O113" s="224" t="str">
        <f t="shared" ca="1" si="13"/>
        <v/>
      </c>
    </row>
    <row r="114" spans="3:15">
      <c r="C114" s="234"/>
      <c r="J114" s="204"/>
      <c r="L114" s="235" t="str">
        <f t="shared" si="12"/>
        <v/>
      </c>
      <c r="M114" s="223" t="str" cm="1">
        <f t="array" aca="1" ref="M114" ca="1">IF(AND($M$1="Hide",H114="ARRIVED"),"",IF(N114="","",HYPERLINK(INDIRECT(Q114)&amp;N114,"TRACK")))</f>
        <v/>
      </c>
      <c r="O114" s="224" t="str">
        <f t="shared" ca="1" si="13"/>
        <v/>
      </c>
    </row>
    <row r="115" spans="3:15">
      <c r="C115" s="234"/>
      <c r="J115" s="204"/>
      <c r="L115" s="235" t="str">
        <f t="shared" si="12"/>
        <v/>
      </c>
      <c r="M115" s="223" t="str" cm="1">
        <f t="array" aca="1" ref="M115" ca="1">IF(AND($M$1="Hide",H115="ARRIVED"),"",IF(N115="","",HYPERLINK(INDIRECT(Q115)&amp;N115,"TRACK")))</f>
        <v/>
      </c>
      <c r="O115" s="224" t="str">
        <f t="shared" ca="1" si="13"/>
        <v/>
      </c>
    </row>
    <row r="116" spans="3:15">
      <c r="C116" s="234"/>
      <c r="J116" s="204"/>
      <c r="L116" s="235" t="str">
        <f t="shared" ref="L116:L179" si="14">IF(C116="","",1+L115)</f>
        <v/>
      </c>
      <c r="M116" s="223" t="str" cm="1">
        <f t="array" aca="1" ref="M116" ca="1">IF(AND($M$1="Hide",H116="ARRIVED"),"",IF(N116="","",HYPERLINK(INDIRECT(Q116)&amp;N116,"TRACK")))</f>
        <v/>
      </c>
      <c r="O116" s="224" t="str">
        <f t="shared" ca="1" si="13"/>
        <v/>
      </c>
    </row>
    <row r="117" spans="3:15">
      <c r="C117" s="234"/>
      <c r="J117" s="204"/>
      <c r="L117" s="235" t="str">
        <f t="shared" si="14"/>
        <v/>
      </c>
      <c r="M117" s="223" t="str" cm="1">
        <f t="array" aca="1" ref="M117" ca="1">IF(AND($M$1="Hide",H117="ARRIVED"),"",IF(N117="","",HYPERLINK(INDIRECT(Q117)&amp;N117,"TRACK")))</f>
        <v/>
      </c>
      <c r="O117" s="224" t="str">
        <f t="shared" ca="1" si="13"/>
        <v/>
      </c>
    </row>
    <row r="118" spans="3:15">
      <c r="C118" s="234"/>
      <c r="J118" s="204"/>
      <c r="L118" s="235" t="str">
        <f t="shared" si="14"/>
        <v/>
      </c>
      <c r="M118" s="223" t="str" cm="1">
        <f t="array" aca="1" ref="M118" ca="1">IF(AND($M$1="Hide",H118="ARRIVED"),"",IF(N118="","",HYPERLINK(INDIRECT(Q118)&amp;N118,"TRACK")))</f>
        <v/>
      </c>
      <c r="O118" s="224" t="str">
        <f t="shared" ca="1" si="13"/>
        <v/>
      </c>
    </row>
    <row r="119" spans="3:15">
      <c r="C119" s="234"/>
      <c r="J119" s="204"/>
      <c r="L119" s="235" t="str">
        <f t="shared" si="14"/>
        <v/>
      </c>
      <c r="M119" s="223" t="str" cm="1">
        <f t="array" aca="1" ref="M119" ca="1">IF(AND($M$1="Hide",H119="ARRIVED"),"",IF(N119="","",HYPERLINK(INDIRECT(Q119)&amp;N119,"TRACK")))</f>
        <v/>
      </c>
      <c r="O119" s="224" t="str">
        <f t="shared" ca="1" si="13"/>
        <v/>
      </c>
    </row>
    <row r="120" spans="3:15">
      <c r="C120" s="234"/>
      <c r="J120" s="204"/>
      <c r="L120" s="235" t="str">
        <f t="shared" si="14"/>
        <v/>
      </c>
      <c r="M120" s="223" t="str" cm="1">
        <f t="array" aca="1" ref="M120" ca="1">IF(AND($M$1="Hide",H120="ARRIVED"),"",IF(N120="","",HYPERLINK(INDIRECT(Q120)&amp;N120,"TRACK")))</f>
        <v/>
      </c>
      <c r="O120" s="224" t="str">
        <f t="shared" ca="1" si="13"/>
        <v/>
      </c>
    </row>
    <row r="121" spans="3:15">
      <c r="C121" s="234"/>
      <c r="J121" s="204"/>
      <c r="L121" s="235" t="str">
        <f t="shared" si="14"/>
        <v/>
      </c>
      <c r="M121" s="223" t="str" cm="1">
        <f t="array" aca="1" ref="M121" ca="1">IF(AND($M$1="Hide",H121="ARRIVED"),"",IF(N121="","",HYPERLINK(INDIRECT(Q121)&amp;N121,"TRACK")))</f>
        <v/>
      </c>
      <c r="O121" s="224" t="str">
        <f t="shared" ca="1" si="13"/>
        <v/>
      </c>
    </row>
    <row r="122" spans="3:15">
      <c r="C122" s="234"/>
      <c r="J122" s="204"/>
      <c r="L122" s="235" t="str">
        <f t="shared" si="14"/>
        <v/>
      </c>
      <c r="M122" s="223" t="str" cm="1">
        <f t="array" aca="1" ref="M122" ca="1">IF(AND($M$1="Hide",H122="ARRIVED"),"",IF(N122="","",HYPERLINK(INDIRECT(Q122)&amp;N122,"TRACK")))</f>
        <v/>
      </c>
      <c r="O122" s="224" t="str">
        <f t="shared" ca="1" si="13"/>
        <v/>
      </c>
    </row>
    <row r="123" spans="3:15">
      <c r="C123" s="234"/>
      <c r="J123" s="204"/>
      <c r="L123" s="235" t="str">
        <f t="shared" si="14"/>
        <v/>
      </c>
      <c r="M123" s="223" t="str" cm="1">
        <f t="array" aca="1" ref="M123" ca="1">IF(AND($M$1="Hide",H123="ARRIVED"),"",IF(N123="","",HYPERLINK(INDIRECT(Q123)&amp;N123,"TRACK")))</f>
        <v/>
      </c>
      <c r="O123" s="224" t="str">
        <f t="shared" ca="1" si="13"/>
        <v/>
      </c>
    </row>
    <row r="124" spans="3:15">
      <c r="C124" s="234"/>
      <c r="J124" s="204"/>
      <c r="L124" s="235" t="str">
        <f t="shared" si="14"/>
        <v/>
      </c>
      <c r="M124" s="223" t="str" cm="1">
        <f t="array" aca="1" ref="M124" ca="1">IF(AND($M$1="Hide",H124="ARRIVED"),"",IF(N124="","",HYPERLINK(INDIRECT(Q124)&amp;N124,"TRACK")))</f>
        <v/>
      </c>
      <c r="O124" s="224" t="str">
        <f t="shared" ca="1" si="13"/>
        <v/>
      </c>
    </row>
    <row r="125" spans="3:15">
      <c r="C125" s="234"/>
      <c r="J125" s="204"/>
      <c r="L125" s="235" t="str">
        <f t="shared" si="14"/>
        <v/>
      </c>
      <c r="M125" s="223" t="str" cm="1">
        <f t="array" aca="1" ref="M125" ca="1">IF(AND($M$1="Hide",H125="ARRIVED"),"",IF(N125="","",HYPERLINK(INDIRECT(Q125)&amp;N125,"TRACK")))</f>
        <v/>
      </c>
      <c r="O125" s="224" t="str">
        <f t="shared" ca="1" si="13"/>
        <v/>
      </c>
    </row>
    <row r="126" spans="3:15">
      <c r="C126" s="234"/>
      <c r="J126" s="204"/>
      <c r="L126" s="235" t="str">
        <f t="shared" si="14"/>
        <v/>
      </c>
      <c r="M126" s="223" t="str" cm="1">
        <f t="array" aca="1" ref="M126" ca="1">IF(AND($M$1="Hide",H126="ARRIVED"),"",IF(N126="","",HYPERLINK(INDIRECT(Q126)&amp;N126,"TRACK")))</f>
        <v/>
      </c>
      <c r="O126" s="224" t="str">
        <f t="shared" ca="1" si="13"/>
        <v/>
      </c>
    </row>
    <row r="127" spans="3:15">
      <c r="C127" s="234"/>
      <c r="J127" s="204"/>
      <c r="L127" s="235" t="str">
        <f t="shared" si="14"/>
        <v/>
      </c>
      <c r="M127" s="223" t="str" cm="1">
        <f t="array" aca="1" ref="M127" ca="1">IF(AND($M$1="Hide",H127="ARRIVED"),"",IF(N127="","",HYPERLINK(INDIRECT(Q127)&amp;N127,"TRACK")))</f>
        <v/>
      </c>
      <c r="O127" s="224" t="str">
        <f t="shared" ca="1" si="13"/>
        <v/>
      </c>
    </row>
    <row r="128" spans="3:15">
      <c r="C128" s="234"/>
      <c r="J128" s="204"/>
      <c r="L128" s="235" t="str">
        <f t="shared" si="14"/>
        <v/>
      </c>
      <c r="M128" s="223" t="str" cm="1">
        <f t="array" aca="1" ref="M128" ca="1">IF(AND($M$1="Hide",H128="ARRIVED"),"",IF(N128="","",HYPERLINK(INDIRECT(Q128)&amp;N128,"TRACK")))</f>
        <v/>
      </c>
      <c r="O128" s="224" t="str">
        <f t="shared" ca="1" si="13"/>
        <v/>
      </c>
    </row>
    <row r="129" spans="3:15">
      <c r="C129" s="234"/>
      <c r="J129" s="204"/>
      <c r="L129" s="235" t="str">
        <f t="shared" si="14"/>
        <v/>
      </c>
      <c r="M129" s="223" t="str" cm="1">
        <f t="array" aca="1" ref="M129" ca="1">IF(AND($M$1="Hide",H129="ARRIVED"),"",IF(N129="","",HYPERLINK(INDIRECT(Q129)&amp;N129,"TRACK")))</f>
        <v/>
      </c>
      <c r="O129" s="224" t="str">
        <f t="shared" ca="1" si="13"/>
        <v/>
      </c>
    </row>
    <row r="130" spans="3:15">
      <c r="C130" s="234"/>
      <c r="J130" s="204"/>
      <c r="L130" s="235" t="str">
        <f t="shared" si="14"/>
        <v/>
      </c>
      <c r="M130" s="223" t="str" cm="1">
        <f t="array" aca="1" ref="M130" ca="1">IF(AND($M$1="Hide",H130="ARRIVED"),"",IF(N130="","",HYPERLINK(INDIRECT(Q130)&amp;N130,"TRACK")))</f>
        <v/>
      </c>
      <c r="O130" s="224" t="str">
        <f t="shared" ca="1" si="13"/>
        <v/>
      </c>
    </row>
    <row r="131" spans="3:15">
      <c r="C131" s="234"/>
      <c r="J131" s="204"/>
      <c r="L131" s="235" t="str">
        <f t="shared" si="14"/>
        <v/>
      </c>
      <c r="M131" s="223" t="str" cm="1">
        <f t="array" aca="1" ref="M131" ca="1">IF(AND($M$1="Hide",H131="ARRIVED"),"",IF(N131="","",HYPERLINK(INDIRECT(Q131)&amp;N131,"TRACK")))</f>
        <v/>
      </c>
      <c r="O131" s="224" t="str">
        <f t="shared" ca="1" si="13"/>
        <v/>
      </c>
    </row>
    <row r="132" spans="3:15">
      <c r="C132" s="234"/>
      <c r="J132" s="204"/>
      <c r="L132" s="235" t="str">
        <f t="shared" si="14"/>
        <v/>
      </c>
      <c r="M132" s="223" t="str" cm="1">
        <f t="array" aca="1" ref="M132" ca="1">IF(AND($M$1="Hide",H132="ARRIVED"),"",IF(N132="","",HYPERLINK(INDIRECT(Q132)&amp;N132,"TRACK")))</f>
        <v/>
      </c>
      <c r="O132" s="224" t="str">
        <f t="shared" ca="1" si="13"/>
        <v/>
      </c>
    </row>
    <row r="133" spans="3:15">
      <c r="C133" s="234"/>
      <c r="J133" s="204"/>
      <c r="L133" s="235" t="str">
        <f t="shared" si="14"/>
        <v/>
      </c>
      <c r="M133" s="223" t="str" cm="1">
        <f t="array" aca="1" ref="M133" ca="1">IF(AND($M$1="Hide",H133="ARRIVED"),"",IF(N133="","",HYPERLINK(INDIRECT(Q133)&amp;N133,"TRACK")))</f>
        <v/>
      </c>
      <c r="O133" s="224" t="str">
        <f t="shared" ca="1" si="13"/>
        <v/>
      </c>
    </row>
    <row r="134" spans="3:15">
      <c r="C134" s="234"/>
      <c r="J134" s="204"/>
      <c r="L134" s="235" t="str">
        <f t="shared" si="14"/>
        <v/>
      </c>
      <c r="M134" s="223" t="str" cm="1">
        <f t="array" aca="1" ref="M134" ca="1">IF(AND($M$1="Hide",H134="ARRIVED"),"",IF(N134="","",HYPERLINK(INDIRECT(Q134)&amp;N134,"TRACK")))</f>
        <v/>
      </c>
      <c r="O134" s="224" t="str">
        <f t="shared" ca="1" si="13"/>
        <v/>
      </c>
    </row>
    <row r="135" spans="3:15">
      <c r="C135" s="234"/>
      <c r="J135" s="204"/>
      <c r="L135" s="235" t="str">
        <f t="shared" si="14"/>
        <v/>
      </c>
      <c r="M135" s="223" t="str" cm="1">
        <f t="array" aca="1" ref="M135" ca="1">IF(AND($M$1="Hide",H135="ARRIVED"),"",IF(N135="","",HYPERLINK(INDIRECT(Q135)&amp;N135,"TRACK")))</f>
        <v/>
      </c>
      <c r="O135" s="224" t="str">
        <f t="shared" ca="1" si="13"/>
        <v/>
      </c>
    </row>
    <row r="136" spans="3:15">
      <c r="C136" s="234"/>
      <c r="J136" s="204"/>
      <c r="L136" s="235" t="str">
        <f t="shared" si="14"/>
        <v/>
      </c>
      <c r="M136" s="223" t="str" cm="1">
        <f t="array" aca="1" ref="M136" ca="1">IF(AND($M$1="Hide",H136="ARRIVED"),"",IF(N136="","",HYPERLINK(INDIRECT(Q136)&amp;N136,"TRACK")))</f>
        <v/>
      </c>
      <c r="O136" s="224" t="str">
        <f t="shared" ca="1" si="13"/>
        <v/>
      </c>
    </row>
    <row r="137" spans="3:15">
      <c r="C137" s="234"/>
      <c r="J137" s="204"/>
      <c r="L137" s="235" t="str">
        <f t="shared" si="14"/>
        <v/>
      </c>
      <c r="M137" s="223" t="str" cm="1">
        <f t="array" aca="1" ref="M137" ca="1">IF(AND($M$1="Hide",H137="ARRIVED"),"",IF(N137="","",HYPERLINK(INDIRECT(Q137)&amp;N137,"TRACK")))</f>
        <v/>
      </c>
      <c r="O137" s="224" t="str">
        <f t="shared" ca="1" si="13"/>
        <v/>
      </c>
    </row>
    <row r="138" spans="3:15">
      <c r="C138" s="234"/>
      <c r="J138" s="204"/>
      <c r="L138" s="235" t="str">
        <f t="shared" si="14"/>
        <v/>
      </c>
      <c r="M138" s="223" t="str" cm="1">
        <f t="array" aca="1" ref="M138" ca="1">IF(AND($M$1="Hide",H138="ARRIVED"),"",IF(N138="","",HYPERLINK(INDIRECT(Q138)&amp;N138,"TRACK")))</f>
        <v/>
      </c>
      <c r="O138" s="224" t="str">
        <f t="shared" ca="1" si="13"/>
        <v/>
      </c>
    </row>
    <row r="139" spans="3:15">
      <c r="C139" s="234"/>
      <c r="J139" s="204"/>
      <c r="L139" s="235" t="str">
        <f t="shared" si="14"/>
        <v/>
      </c>
      <c r="M139" s="223" t="str" cm="1">
        <f t="array" aca="1" ref="M139" ca="1">IF(AND($M$1="Hide",H139="ARRIVED"),"",IF(N139="","",HYPERLINK(INDIRECT(Q139)&amp;N139,"TRACK")))</f>
        <v/>
      </c>
      <c r="O139" s="62"/>
    </row>
    <row r="140" spans="3:15">
      <c r="C140" s="234"/>
      <c r="J140" s="204"/>
      <c r="L140" s="235" t="str">
        <f t="shared" si="14"/>
        <v/>
      </c>
      <c r="M140" s="223" t="str" cm="1">
        <f t="array" aca="1" ref="M140" ca="1">IF(AND($M$1="Hide",H140="ARRIVED"),"",IF(N140="","",HYPERLINK(INDIRECT(Q140)&amp;N140,"TRACK")))</f>
        <v/>
      </c>
      <c r="O140" s="62"/>
    </row>
    <row r="141" spans="3:15">
      <c r="C141" s="234"/>
      <c r="J141" s="204"/>
      <c r="L141" s="235" t="str">
        <f t="shared" si="14"/>
        <v/>
      </c>
      <c r="M141" s="223" t="str" cm="1">
        <f t="array" aca="1" ref="M141" ca="1">IF(AND($M$1="Hide",H141="ARRIVED"),"",IF(N141="","",HYPERLINK(INDIRECT(Q141)&amp;N141,"TRACK")))</f>
        <v/>
      </c>
      <c r="O141" s="62"/>
    </row>
    <row r="142" spans="3:15">
      <c r="C142" s="234"/>
      <c r="J142" s="204"/>
      <c r="L142" s="235" t="str">
        <f t="shared" si="14"/>
        <v/>
      </c>
      <c r="M142" s="223" t="str" cm="1">
        <f t="array" aca="1" ref="M142" ca="1">IF(AND($M$1="Hide",H142="ARRIVED"),"",IF(N142="","",HYPERLINK(INDIRECT(Q142)&amp;N142,"TRACK")))</f>
        <v/>
      </c>
      <c r="O142" s="62"/>
    </row>
    <row r="143" spans="3:15">
      <c r="C143" s="234"/>
      <c r="J143" s="204"/>
      <c r="L143" s="235" t="str">
        <f t="shared" si="14"/>
        <v/>
      </c>
      <c r="M143" s="223" t="str" cm="1">
        <f t="array" aca="1" ref="M143" ca="1">IF(AND($M$1="Hide",H143="ARRIVED"),"",IF(N143="","",HYPERLINK(INDIRECT(Q143)&amp;N143,"TRACK")))</f>
        <v/>
      </c>
      <c r="O143" s="62"/>
    </row>
    <row r="144" spans="3:15">
      <c r="C144" s="234"/>
      <c r="J144" s="204"/>
      <c r="L144" s="235" t="str">
        <f t="shared" si="14"/>
        <v/>
      </c>
      <c r="M144" s="223" t="str" cm="1">
        <f t="array" aca="1" ref="M144" ca="1">IF(AND($M$1="Hide",H144="ARRIVED"),"",IF(N144="","",HYPERLINK(INDIRECT(Q144)&amp;N144,"TRACK")))</f>
        <v/>
      </c>
      <c r="O144" s="62"/>
    </row>
    <row r="145" spans="3:15">
      <c r="C145" s="234"/>
      <c r="J145" s="204"/>
      <c r="L145" s="235" t="str">
        <f t="shared" si="14"/>
        <v/>
      </c>
      <c r="M145" s="223" t="str" cm="1">
        <f t="array" aca="1" ref="M145" ca="1">IF(AND($M$1="Hide",H145="ARRIVED"),"",IF(N145="","",HYPERLINK(INDIRECT(Q145)&amp;N145,"TRACK")))</f>
        <v/>
      </c>
      <c r="O145" s="62"/>
    </row>
    <row r="146" spans="3:15">
      <c r="C146" s="234"/>
      <c r="J146" s="204"/>
      <c r="L146" s="235" t="str">
        <f t="shared" si="14"/>
        <v/>
      </c>
      <c r="M146" s="223" t="str" cm="1">
        <f t="array" aca="1" ref="M146" ca="1">IF(AND($M$1="Hide",H146="ARRIVED"),"",IF(N146="","",HYPERLINK(INDIRECT(Q146)&amp;N146,"TRACK")))</f>
        <v/>
      </c>
      <c r="O146" s="62"/>
    </row>
    <row r="147" spans="3:15">
      <c r="C147" s="234"/>
      <c r="J147" s="204"/>
      <c r="L147" s="235" t="str">
        <f t="shared" si="14"/>
        <v/>
      </c>
      <c r="M147" s="223" t="str" cm="1">
        <f t="array" aca="1" ref="M147" ca="1">IF(AND($M$1="Hide",H147="ARRIVED"),"",IF(N147="","",HYPERLINK(INDIRECT(Q147)&amp;N147,"TRACK")))</f>
        <v/>
      </c>
      <c r="O147" s="62"/>
    </row>
    <row r="148" spans="3:15">
      <c r="C148" s="234"/>
      <c r="J148" s="204"/>
      <c r="L148" s="235" t="str">
        <f t="shared" si="14"/>
        <v/>
      </c>
      <c r="M148" s="223" t="str" cm="1">
        <f t="array" aca="1" ref="M148" ca="1">IF(AND($M$1="Hide",H148="ARRIVED"),"",IF(N148="","",HYPERLINK(INDIRECT(Q148)&amp;N148,"TRACK")))</f>
        <v/>
      </c>
      <c r="O148" s="62"/>
    </row>
    <row r="149" spans="3:15">
      <c r="C149" s="234"/>
      <c r="J149" s="204"/>
      <c r="L149" s="235" t="str">
        <f t="shared" si="14"/>
        <v/>
      </c>
      <c r="M149" s="223" t="str" cm="1">
        <f t="array" aca="1" ref="M149" ca="1">IF(AND($M$1="Hide",H149="ARRIVED"),"",IF(N149="","",HYPERLINK(INDIRECT(Q149)&amp;N149,"TRACK")))</f>
        <v/>
      </c>
      <c r="O149" s="62"/>
    </row>
    <row r="150" spans="3:15">
      <c r="C150" s="234"/>
      <c r="J150" s="204"/>
      <c r="L150" s="235" t="str">
        <f t="shared" si="14"/>
        <v/>
      </c>
      <c r="M150" s="223" t="str" cm="1">
        <f t="array" aca="1" ref="M150" ca="1">IF(AND($M$1="Hide",H150="ARRIVED"),"",IF(N150="","",HYPERLINK(INDIRECT(Q150)&amp;N150,"TRACK")))</f>
        <v/>
      </c>
      <c r="O150" s="62"/>
    </row>
    <row r="151" spans="3:15">
      <c r="C151" s="234"/>
      <c r="J151" s="204"/>
      <c r="L151" s="235" t="str">
        <f t="shared" si="14"/>
        <v/>
      </c>
      <c r="M151" s="223" t="str" cm="1">
        <f t="array" aca="1" ref="M151" ca="1">IF(AND($M$1="Hide",H151="ARRIVED"),"",IF(N151="","",HYPERLINK(INDIRECT(Q151)&amp;N151,"TRACK")))</f>
        <v/>
      </c>
      <c r="O151" s="62"/>
    </row>
    <row r="152" spans="3:15">
      <c r="C152" s="234"/>
      <c r="J152" s="204"/>
      <c r="L152" s="235" t="str">
        <f t="shared" si="14"/>
        <v/>
      </c>
      <c r="M152" s="223" t="str" cm="1">
        <f t="array" aca="1" ref="M152" ca="1">IF(AND($M$1="Hide",H152="ARRIVED"),"",IF(N152="","",HYPERLINK(INDIRECT(Q152)&amp;N152,"TRACK")))</f>
        <v/>
      </c>
      <c r="O152" s="62"/>
    </row>
    <row r="153" spans="3:15">
      <c r="C153" s="234"/>
      <c r="J153" s="204"/>
      <c r="L153" s="235" t="str">
        <f t="shared" si="14"/>
        <v/>
      </c>
      <c r="M153" s="223" t="str" cm="1">
        <f t="array" aca="1" ref="M153" ca="1">IF(AND($M$1="Hide",H153="ARRIVED"),"",IF(N153="","",HYPERLINK(INDIRECT(Q153)&amp;N153,"TRACK")))</f>
        <v/>
      </c>
      <c r="O153" s="62"/>
    </row>
    <row r="154" spans="3:15">
      <c r="C154" s="234"/>
      <c r="J154" s="204"/>
      <c r="L154" s="235" t="str">
        <f t="shared" si="14"/>
        <v/>
      </c>
      <c r="M154" s="223" t="str" cm="1">
        <f t="array" aca="1" ref="M154" ca="1">IF(AND($M$1="Hide",H154="ARRIVED"),"",IF(N154="","",HYPERLINK(INDIRECT(Q154)&amp;N154,"TRACK")))</f>
        <v/>
      </c>
      <c r="O154" s="62"/>
    </row>
    <row r="155" spans="3:15">
      <c r="C155" s="234"/>
      <c r="J155" s="204"/>
      <c r="L155" s="235" t="str">
        <f t="shared" si="14"/>
        <v/>
      </c>
      <c r="M155" s="223" t="str" cm="1">
        <f t="array" aca="1" ref="M155" ca="1">IF(AND($M$1="Hide",H155="ARRIVED"),"",IF(N155="","",HYPERLINK(INDIRECT(Q155)&amp;N155,"TRACK")))</f>
        <v/>
      </c>
      <c r="O155" s="62"/>
    </row>
    <row r="156" spans="3:15">
      <c r="C156" s="234"/>
      <c r="J156" s="204"/>
      <c r="L156" s="235" t="str">
        <f t="shared" si="14"/>
        <v/>
      </c>
      <c r="M156" s="223" t="str" cm="1">
        <f t="array" aca="1" ref="M156" ca="1">IF(AND($M$1="Hide",H156="ARRIVED"),"",IF(N156="","",HYPERLINK(INDIRECT(Q156)&amp;N156,"TRACK")))</f>
        <v/>
      </c>
      <c r="O156" s="62"/>
    </row>
    <row r="157" spans="3:15">
      <c r="C157" s="234"/>
      <c r="J157" s="204"/>
      <c r="L157" s="235" t="str">
        <f t="shared" si="14"/>
        <v/>
      </c>
      <c r="M157" s="223" t="str" cm="1">
        <f t="array" aca="1" ref="M157" ca="1">IF(AND($M$1="Hide",H157="ARRIVED"),"",IF(N157="","",HYPERLINK(INDIRECT(Q157)&amp;N157,"TRACK")))</f>
        <v/>
      </c>
      <c r="O157" s="62"/>
    </row>
    <row r="158" spans="3:15">
      <c r="C158" s="234"/>
      <c r="J158" s="204"/>
      <c r="L158" s="235" t="str">
        <f t="shared" si="14"/>
        <v/>
      </c>
      <c r="M158" s="223" t="str" cm="1">
        <f t="array" aca="1" ref="M158" ca="1">IF(AND($M$1="Hide",H158="ARRIVED"),"",IF(N158="","",HYPERLINK(INDIRECT(Q158)&amp;N158,"TRACK")))</f>
        <v/>
      </c>
      <c r="O158" s="62"/>
    </row>
    <row r="159" spans="3:15">
      <c r="C159" s="234"/>
      <c r="J159" s="204"/>
      <c r="L159" s="235" t="str">
        <f t="shared" si="14"/>
        <v/>
      </c>
      <c r="M159" s="223" t="str" cm="1">
        <f t="array" aca="1" ref="M159" ca="1">IF(AND($M$1="Hide",H159="ARRIVED"),"",IF(N159="","",HYPERLINK(INDIRECT(Q159)&amp;N159,"TRACK")))</f>
        <v/>
      </c>
      <c r="O159" s="62"/>
    </row>
    <row r="160" spans="3:15">
      <c r="C160" s="234"/>
      <c r="J160" s="204"/>
      <c r="L160" s="235" t="str">
        <f t="shared" si="14"/>
        <v/>
      </c>
      <c r="M160" s="223" t="str" cm="1">
        <f t="array" aca="1" ref="M160" ca="1">IF(AND($M$1="Hide",H160="ARRIVED"),"",IF(N160="","",HYPERLINK(INDIRECT(Q160)&amp;N160,"TRACK")))</f>
        <v/>
      </c>
      <c r="O160" s="62"/>
    </row>
    <row r="161" spans="3:15">
      <c r="C161" s="234"/>
      <c r="J161" s="204"/>
      <c r="L161" s="235" t="str">
        <f t="shared" si="14"/>
        <v/>
      </c>
      <c r="M161" s="223" t="str" cm="1">
        <f t="array" aca="1" ref="M161" ca="1">IF(AND($M$1="Hide",H161="ARRIVED"),"",IF(N161="","",HYPERLINK(INDIRECT(Q161)&amp;N161,"TRACK")))</f>
        <v/>
      </c>
      <c r="O161" s="62"/>
    </row>
    <row r="162" spans="3:15">
      <c r="C162" s="234"/>
      <c r="J162" s="204"/>
      <c r="L162" s="235" t="str">
        <f t="shared" si="14"/>
        <v/>
      </c>
      <c r="M162" s="223" t="str" cm="1">
        <f t="array" aca="1" ref="M162" ca="1">IF(AND($M$1="Hide",H162="ARRIVED"),"",IF(N162="","",HYPERLINK(INDIRECT(Q162)&amp;N162,"TRACK")))</f>
        <v/>
      </c>
      <c r="O162" s="62"/>
    </row>
    <row r="163" spans="3:15">
      <c r="C163" s="234"/>
      <c r="J163" s="204"/>
      <c r="L163" s="235" t="str">
        <f t="shared" si="14"/>
        <v/>
      </c>
      <c r="M163" s="223" t="str" cm="1">
        <f t="array" aca="1" ref="M163" ca="1">IF(AND($M$1="Hide",H163="ARRIVED"),"",IF(N163="","",HYPERLINK(INDIRECT(Q163)&amp;N163,"TRACK")))</f>
        <v/>
      </c>
      <c r="O163" s="62"/>
    </row>
    <row r="164" spans="3:15">
      <c r="C164" s="234"/>
      <c r="J164" s="204"/>
      <c r="L164" s="235" t="str">
        <f t="shared" si="14"/>
        <v/>
      </c>
      <c r="M164" s="223" t="str" cm="1">
        <f t="array" aca="1" ref="M164" ca="1">IF(AND($M$1="Hide",H164="ARRIVED"),"",IF(N164="","",HYPERLINK(INDIRECT(Q164)&amp;N164,"TRACK")))</f>
        <v/>
      </c>
      <c r="O164" s="62"/>
    </row>
    <row r="165" spans="3:15">
      <c r="C165" s="234"/>
      <c r="J165" s="204"/>
      <c r="L165" s="235" t="str">
        <f t="shared" si="14"/>
        <v/>
      </c>
      <c r="M165" s="223" t="str" cm="1">
        <f t="array" aca="1" ref="M165" ca="1">IF(AND($M$1="Hide",H165="ARRIVED"),"",IF(N165="","",HYPERLINK(INDIRECT(Q165)&amp;N165,"TRACK")))</f>
        <v/>
      </c>
      <c r="O165" s="62"/>
    </row>
    <row r="166" spans="3:15">
      <c r="C166" s="234"/>
      <c r="J166" s="204"/>
      <c r="L166" s="235" t="str">
        <f t="shared" si="14"/>
        <v/>
      </c>
      <c r="M166" s="223" t="str" cm="1">
        <f t="array" aca="1" ref="M166" ca="1">IF(AND($M$1="Hide",H166="ARRIVED"),"",IF(N166="","",HYPERLINK(INDIRECT(Q166)&amp;N166,"TRACK")))</f>
        <v/>
      </c>
      <c r="O166" s="62"/>
    </row>
    <row r="167" spans="3:15">
      <c r="C167" s="234"/>
      <c r="J167" s="204"/>
      <c r="L167" s="235" t="str">
        <f t="shared" si="14"/>
        <v/>
      </c>
      <c r="M167" s="223" t="str" cm="1">
        <f t="array" aca="1" ref="M167" ca="1">IF(AND($M$1="Hide",H167="ARRIVED"),"",IF(N167="","",HYPERLINK(INDIRECT(Q167)&amp;N167,"TRACK")))</f>
        <v/>
      </c>
      <c r="O167" s="62"/>
    </row>
    <row r="168" spans="3:15">
      <c r="C168" s="234"/>
      <c r="J168" s="204"/>
      <c r="L168" s="235" t="str">
        <f t="shared" si="14"/>
        <v/>
      </c>
      <c r="M168" s="223" t="str" cm="1">
        <f t="array" aca="1" ref="M168" ca="1">IF(AND($M$1="Hide",H168="ARRIVED"),"",IF(N168="","",HYPERLINK(INDIRECT(Q168)&amp;N168,"TRACK")))</f>
        <v/>
      </c>
      <c r="O168" s="62"/>
    </row>
    <row r="169" spans="3:15">
      <c r="C169" s="234"/>
      <c r="J169" s="204"/>
      <c r="L169" s="235" t="str">
        <f t="shared" si="14"/>
        <v/>
      </c>
      <c r="M169" s="223" t="str" cm="1">
        <f t="array" aca="1" ref="M169" ca="1">IF(AND($M$1="Hide",H169="ARRIVED"),"",IF(N169="","",HYPERLINK(INDIRECT(Q169)&amp;N169,"TRACK")))</f>
        <v/>
      </c>
      <c r="O169" s="62"/>
    </row>
    <row r="170" spans="3:15">
      <c r="C170" s="234"/>
      <c r="J170" s="204"/>
      <c r="L170" s="235" t="str">
        <f t="shared" si="14"/>
        <v/>
      </c>
      <c r="M170" s="223" t="str" cm="1">
        <f t="array" aca="1" ref="M170" ca="1">IF(AND($M$1="Hide",H170="ARRIVED"),"",IF(N170="","",HYPERLINK(INDIRECT(Q170)&amp;N170,"TRACK")))</f>
        <v/>
      </c>
      <c r="O170" s="62"/>
    </row>
    <row r="171" spans="3:15">
      <c r="C171" s="234"/>
      <c r="J171" s="204"/>
      <c r="L171" s="235" t="str">
        <f t="shared" si="14"/>
        <v/>
      </c>
      <c r="M171" s="223" t="str" cm="1">
        <f t="array" aca="1" ref="M171" ca="1">IF(AND($M$1="Hide",H171="ARRIVED"),"",IF(N171="","",HYPERLINK(INDIRECT(Q171)&amp;N171,"TRACK")))</f>
        <v/>
      </c>
      <c r="O171" s="62"/>
    </row>
    <row r="172" spans="3:15">
      <c r="C172" s="234"/>
      <c r="J172" s="204"/>
      <c r="L172" s="235" t="str">
        <f t="shared" si="14"/>
        <v/>
      </c>
      <c r="M172" s="223" t="str" cm="1">
        <f t="array" aca="1" ref="M172" ca="1">IF(AND($M$1="Hide",H172="ARRIVED"),"",IF(N172="","",HYPERLINK(INDIRECT(Q172)&amp;N172,"TRACK")))</f>
        <v/>
      </c>
      <c r="O172" s="62"/>
    </row>
    <row r="173" spans="3:15">
      <c r="C173" s="234"/>
      <c r="J173" s="204"/>
      <c r="L173" s="235" t="str">
        <f t="shared" si="14"/>
        <v/>
      </c>
      <c r="M173" s="223" t="str" cm="1">
        <f t="array" aca="1" ref="M173" ca="1">IF(AND($M$1="Hide",H173="ARRIVED"),"",IF(N173="","",HYPERLINK(INDIRECT(Q173)&amp;N173,"TRACK")))</f>
        <v/>
      </c>
      <c r="O173" s="62"/>
    </row>
    <row r="174" spans="3:15">
      <c r="C174" s="234"/>
      <c r="J174" s="204"/>
      <c r="L174" s="235" t="str">
        <f t="shared" si="14"/>
        <v/>
      </c>
      <c r="M174" s="223" t="str" cm="1">
        <f t="array" aca="1" ref="M174" ca="1">IF(AND($M$1="Hide",H174="ARRIVED"),"",IF(N174="","",HYPERLINK(INDIRECT(Q174)&amp;N174,"TRACK")))</f>
        <v/>
      </c>
      <c r="O174" s="62"/>
    </row>
    <row r="175" spans="3:15">
      <c r="C175" s="234"/>
      <c r="J175" s="204"/>
      <c r="L175" s="235" t="str">
        <f t="shared" si="14"/>
        <v/>
      </c>
      <c r="M175" s="223" t="str" cm="1">
        <f t="array" aca="1" ref="M175" ca="1">IF(AND($M$1="Hide",H175="ARRIVED"),"",IF(N175="","",HYPERLINK(INDIRECT(Q175)&amp;N175,"TRACK")))</f>
        <v/>
      </c>
      <c r="O175" s="62"/>
    </row>
    <row r="176" spans="3:15">
      <c r="C176" s="234"/>
      <c r="J176" s="204"/>
      <c r="L176" s="235" t="str">
        <f t="shared" si="14"/>
        <v/>
      </c>
      <c r="M176" s="223" t="str" cm="1">
        <f t="array" aca="1" ref="M176" ca="1">IF(AND($M$1="Hide",H176="ARRIVED"),"",IF(N176="","",HYPERLINK(INDIRECT(Q176)&amp;N176,"TRACK")))</f>
        <v/>
      </c>
      <c r="O176" s="62"/>
    </row>
    <row r="177" spans="3:15">
      <c r="C177" s="234"/>
      <c r="J177" s="204"/>
      <c r="L177" s="235" t="str">
        <f t="shared" si="14"/>
        <v/>
      </c>
      <c r="M177" s="223" t="str" cm="1">
        <f t="array" aca="1" ref="M177" ca="1">IF(AND($M$1="Hide",H177="ARRIVED"),"",IF(N177="","",HYPERLINK(INDIRECT(Q177)&amp;N177,"TRACK")))</f>
        <v/>
      </c>
      <c r="O177" s="62"/>
    </row>
    <row r="178" spans="3:15">
      <c r="C178" s="234"/>
      <c r="J178" s="204"/>
      <c r="L178" s="235" t="str">
        <f t="shared" si="14"/>
        <v/>
      </c>
      <c r="M178" s="223" t="str" cm="1">
        <f t="array" aca="1" ref="M178" ca="1">IF(AND($M$1="Hide",H178="ARRIVED"),"",IF(N178="","",HYPERLINK(INDIRECT(Q178)&amp;N178,"TRACK")))</f>
        <v/>
      </c>
      <c r="O178" s="62"/>
    </row>
    <row r="179" spans="3:15">
      <c r="C179" s="234"/>
      <c r="J179" s="204"/>
      <c r="L179" s="235" t="str">
        <f t="shared" si="14"/>
        <v/>
      </c>
      <c r="M179" s="223" t="str" cm="1">
        <f t="array" aca="1" ref="M179" ca="1">IF(AND($M$1="Hide",H179="ARRIVED"),"",IF(N179="","",HYPERLINK(INDIRECT(Q179)&amp;N179,"TRACK")))</f>
        <v/>
      </c>
      <c r="O179" s="62"/>
    </row>
    <row r="180" spans="3:15">
      <c r="C180" s="234"/>
      <c r="J180" s="204"/>
      <c r="L180" s="235" t="str">
        <f t="shared" ref="L180:L213" si="15">IF(C180="","",1+L179)</f>
        <v/>
      </c>
      <c r="M180" s="223" t="str" cm="1">
        <f t="array" aca="1" ref="M180" ca="1">IF(AND($M$1="Hide",H180="ARRIVED"),"",IF(N180="","",HYPERLINK(INDIRECT(Q180)&amp;N180,"TRACK")))</f>
        <v/>
      </c>
      <c r="O180" s="62"/>
    </row>
    <row r="181" spans="3:15">
      <c r="C181" s="234"/>
      <c r="J181" s="204"/>
      <c r="L181" s="235" t="str">
        <f t="shared" si="15"/>
        <v/>
      </c>
      <c r="M181" s="223" t="str" cm="1">
        <f t="array" aca="1" ref="M181" ca="1">IF(AND($M$1="Hide",H181="ARRIVED"),"",IF(N181="","",HYPERLINK(INDIRECT(Q181)&amp;N181,"TRACK")))</f>
        <v/>
      </c>
      <c r="O181" s="62"/>
    </row>
    <row r="182" spans="3:15">
      <c r="C182" s="234"/>
      <c r="J182" s="204"/>
      <c r="L182" s="235" t="str">
        <f t="shared" si="15"/>
        <v/>
      </c>
      <c r="M182" s="223" t="str" cm="1">
        <f t="array" aca="1" ref="M182" ca="1">IF(AND($M$1="Hide",H182="ARRIVED"),"",IF(N182="","",HYPERLINK(INDIRECT(Q182)&amp;N182,"TRACK")))</f>
        <v/>
      </c>
      <c r="O182" s="62"/>
    </row>
    <row r="183" spans="3:15">
      <c r="C183" s="234"/>
      <c r="J183" s="204"/>
      <c r="L183" s="235" t="str">
        <f t="shared" si="15"/>
        <v/>
      </c>
      <c r="M183" s="223" t="str" cm="1">
        <f t="array" aca="1" ref="M183" ca="1">IF(AND($M$1="Hide",H183="ARRIVED"),"",IF(N183="","",HYPERLINK(INDIRECT(Q183)&amp;N183,"TRACK")))</f>
        <v/>
      </c>
      <c r="O183" s="62"/>
    </row>
    <row r="184" spans="3:15">
      <c r="C184" s="234"/>
      <c r="J184" s="204"/>
      <c r="L184" s="235" t="str">
        <f t="shared" si="15"/>
        <v/>
      </c>
      <c r="M184" s="223" t="str" cm="1">
        <f t="array" aca="1" ref="M184" ca="1">IF(AND($M$1="Hide",H184="ARRIVED"),"",IF(N184="","",HYPERLINK(INDIRECT(Q184)&amp;N184,"TRACK")))</f>
        <v/>
      </c>
      <c r="O184" s="62"/>
    </row>
    <row r="185" spans="3:15">
      <c r="C185" s="234"/>
      <c r="J185" s="204"/>
      <c r="L185" s="235" t="str">
        <f t="shared" si="15"/>
        <v/>
      </c>
      <c r="M185" s="223" t="str" cm="1">
        <f t="array" aca="1" ref="M185" ca="1">IF(AND($M$1="Hide",H185="ARRIVED"),"",IF(N185="","",HYPERLINK(INDIRECT(Q185)&amp;N185,"TRACK")))</f>
        <v/>
      </c>
      <c r="O185" s="62"/>
    </row>
    <row r="186" spans="3:15">
      <c r="C186" s="234"/>
      <c r="J186" s="204"/>
      <c r="L186" s="235" t="str">
        <f t="shared" si="15"/>
        <v/>
      </c>
      <c r="M186" s="223" t="str" cm="1">
        <f t="array" aca="1" ref="M186" ca="1">IF(AND($M$1="Hide",H186="ARRIVED"),"",IF(N186="","",HYPERLINK(INDIRECT(Q186)&amp;N186,"TRACK")))</f>
        <v/>
      </c>
      <c r="O186" s="62"/>
    </row>
    <row r="187" spans="3:15">
      <c r="C187" s="234"/>
      <c r="J187" s="204"/>
      <c r="L187" s="235" t="str">
        <f t="shared" si="15"/>
        <v/>
      </c>
      <c r="M187" s="223" t="str" cm="1">
        <f t="array" aca="1" ref="M187" ca="1">IF(AND($M$1="Hide",H187="ARRIVED"),"",IF(N187="","",HYPERLINK(INDIRECT(Q187)&amp;N187,"TRACK")))</f>
        <v/>
      </c>
      <c r="O187" s="62"/>
    </row>
    <row r="188" spans="3:15">
      <c r="C188" s="234"/>
      <c r="J188" s="204"/>
      <c r="L188" s="235" t="str">
        <f t="shared" si="15"/>
        <v/>
      </c>
      <c r="M188" s="223" t="str" cm="1">
        <f t="array" aca="1" ref="M188" ca="1">IF(AND($M$1="Hide",H188="ARRIVED"),"",IF(N188="","",HYPERLINK(INDIRECT(Q188)&amp;N188,"TRACK")))</f>
        <v/>
      </c>
      <c r="O188" s="62"/>
    </row>
    <row r="189" spans="3:15">
      <c r="C189" s="234"/>
      <c r="J189" s="204"/>
      <c r="L189" s="235" t="str">
        <f t="shared" si="15"/>
        <v/>
      </c>
      <c r="M189" s="223" t="str" cm="1">
        <f t="array" aca="1" ref="M189" ca="1">IF(AND($M$1="Hide",H189="ARRIVED"),"",IF(N189="","",HYPERLINK(INDIRECT(Q189)&amp;N189,"TRACK")))</f>
        <v/>
      </c>
      <c r="O189" s="62"/>
    </row>
    <row r="190" spans="3:15">
      <c r="C190" s="234"/>
      <c r="J190" s="204"/>
      <c r="L190" s="235" t="str">
        <f t="shared" si="15"/>
        <v/>
      </c>
      <c r="M190" s="223" t="str" cm="1">
        <f t="array" aca="1" ref="M190" ca="1">IF(AND($M$1="Hide",H190="ARRIVED"),"",IF(N190="","",HYPERLINK(INDIRECT(Q190)&amp;N190,"TRACK")))</f>
        <v/>
      </c>
      <c r="O190" s="62"/>
    </row>
    <row r="191" spans="3:15">
      <c r="C191" s="234"/>
      <c r="J191" s="204"/>
      <c r="L191" s="235" t="str">
        <f t="shared" si="15"/>
        <v/>
      </c>
      <c r="M191" s="223" t="str" cm="1">
        <f t="array" aca="1" ref="M191" ca="1">IF(AND($M$1="Hide",H191="ARRIVED"),"",IF(N191="","",HYPERLINK(INDIRECT(Q191)&amp;N191,"TRACK")))</f>
        <v/>
      </c>
    </row>
    <row r="192" spans="3:15">
      <c r="C192" s="234"/>
      <c r="J192" s="204"/>
      <c r="L192" s="235" t="str">
        <f t="shared" si="15"/>
        <v/>
      </c>
      <c r="M192" s="223" t="str" cm="1">
        <f t="array" aca="1" ref="M192" ca="1">IF(AND($M$1="Hide",H192="ARRIVED"),"",IF(N192="","",HYPERLINK(INDIRECT(Q192)&amp;N192,"TRACK")))</f>
        <v/>
      </c>
    </row>
    <row r="193" spans="3:13">
      <c r="C193" s="234"/>
      <c r="J193" s="204"/>
      <c r="L193" s="235" t="str">
        <f t="shared" si="15"/>
        <v/>
      </c>
      <c r="M193" s="223" t="str" cm="1">
        <f t="array" aca="1" ref="M193" ca="1">IF(AND($M$1="Hide",H193="ARRIVED"),"",IF(N193="","",HYPERLINK(INDIRECT(Q193)&amp;N193,"TRACK")))</f>
        <v/>
      </c>
    </row>
    <row r="194" spans="3:13">
      <c r="C194" s="234"/>
      <c r="J194" s="204"/>
      <c r="L194" s="235" t="str">
        <f t="shared" si="15"/>
        <v/>
      </c>
      <c r="M194" s="223" t="str" cm="1">
        <f t="array" aca="1" ref="M194" ca="1">IF(AND($M$1="Hide",H194="ARRIVED"),"",IF(N194="","",HYPERLINK(INDIRECT(Q194)&amp;N194,"TRACK")))</f>
        <v/>
      </c>
    </row>
    <row r="195" spans="3:13">
      <c r="C195" s="234"/>
      <c r="J195" s="204"/>
      <c r="L195" s="235" t="str">
        <f t="shared" si="15"/>
        <v/>
      </c>
      <c r="M195" s="223" t="str" cm="1">
        <f t="array" aca="1" ref="M195" ca="1">IF(AND($M$1="Hide",H195="ARRIVED"),"",IF(N195="","",HYPERLINK(INDIRECT(Q195)&amp;N195,"TRACK")))</f>
        <v/>
      </c>
    </row>
    <row r="196" spans="3:13">
      <c r="C196" s="234"/>
      <c r="J196" s="204"/>
      <c r="L196" s="235" t="str">
        <f t="shared" si="15"/>
        <v/>
      </c>
      <c r="M196" s="223" t="str" cm="1">
        <f t="array" aca="1" ref="M196" ca="1">IF(AND($M$1="Hide",H196="ARRIVED"),"",IF(N196="","",HYPERLINK(INDIRECT(Q196)&amp;N196,"TRACK")))</f>
        <v/>
      </c>
    </row>
    <row r="197" spans="3:13">
      <c r="C197" s="234"/>
      <c r="J197" s="204"/>
      <c r="L197" s="235" t="str">
        <f t="shared" si="15"/>
        <v/>
      </c>
      <c r="M197" s="223" t="str" cm="1">
        <f t="array" aca="1" ref="M197" ca="1">IF(AND($M$1="Hide",H197="ARRIVED"),"",IF(N197="","",HYPERLINK(INDIRECT(Q197)&amp;N197,"TRACK")))</f>
        <v/>
      </c>
    </row>
    <row r="198" spans="3:13">
      <c r="C198" s="234"/>
      <c r="J198" s="204"/>
      <c r="L198" s="235" t="str">
        <f t="shared" si="15"/>
        <v/>
      </c>
      <c r="M198" s="223" t="str" cm="1">
        <f t="array" aca="1" ref="M198" ca="1">IF(AND($M$1="Hide",H198="ARRIVED"),"",IF(N198="","",HYPERLINK(INDIRECT(Q198)&amp;N198,"TRACK")))</f>
        <v/>
      </c>
    </row>
    <row r="199" spans="3:13">
      <c r="C199" s="234"/>
      <c r="J199" s="204"/>
      <c r="L199" s="235" t="str">
        <f t="shared" si="15"/>
        <v/>
      </c>
      <c r="M199" s="223" t="str" cm="1">
        <f t="array" aca="1" ref="M199" ca="1">IF(AND($M$1="Hide",H199="ARRIVED"),"",IF(N199="","",HYPERLINK(INDIRECT(Q199)&amp;N199,"TRACK")))</f>
        <v/>
      </c>
    </row>
    <row r="200" spans="3:13">
      <c r="C200" s="234"/>
      <c r="J200" s="204"/>
      <c r="L200" s="235" t="str">
        <f t="shared" si="15"/>
        <v/>
      </c>
      <c r="M200" s="223" t="str" cm="1">
        <f t="array" aca="1" ref="M200" ca="1">IF(AND($M$1="Hide",H200="ARRIVED"),"",IF(N200="","",HYPERLINK(INDIRECT(Q200)&amp;N200,"TRACK")))</f>
        <v/>
      </c>
    </row>
    <row r="201" spans="3:13">
      <c r="C201" s="234"/>
      <c r="J201" s="204"/>
      <c r="L201" s="235" t="str">
        <f t="shared" si="15"/>
        <v/>
      </c>
      <c r="M201" s="223" t="str" cm="1">
        <f t="array" aca="1" ref="M201" ca="1">IF(AND($M$1="Hide",H201="ARRIVED"),"",IF(N201="","",HYPERLINK(INDIRECT(Q201)&amp;N201,"TRACK")))</f>
        <v/>
      </c>
    </row>
    <row r="202" spans="3:13">
      <c r="C202" s="234"/>
      <c r="J202" s="204"/>
      <c r="L202" s="235" t="str">
        <f t="shared" si="15"/>
        <v/>
      </c>
      <c r="M202" s="223" t="str" cm="1">
        <f t="array" aca="1" ref="M202" ca="1">IF(AND($M$1="Hide",H202="ARRIVED"),"",IF(N202="","",HYPERLINK(INDIRECT(Q202)&amp;N202,"TRACK")))</f>
        <v/>
      </c>
    </row>
    <row r="203" spans="3:13">
      <c r="C203" s="234"/>
      <c r="J203" s="204"/>
      <c r="L203" s="235" t="str">
        <f t="shared" si="15"/>
        <v/>
      </c>
      <c r="M203" s="223" t="str" cm="1">
        <f t="array" aca="1" ref="M203" ca="1">IF(AND($M$1="Hide",H203="ARRIVED"),"",IF(N203="","",HYPERLINK(INDIRECT(Q203)&amp;N203,"TRACK")))</f>
        <v/>
      </c>
    </row>
    <row r="204" spans="3:13">
      <c r="C204" s="234"/>
      <c r="J204" s="204"/>
      <c r="L204" s="235" t="str">
        <f t="shared" si="15"/>
        <v/>
      </c>
      <c r="M204" s="223" t="str" cm="1">
        <f t="array" aca="1" ref="M204" ca="1">IF(AND($M$1="Hide",H204="ARRIVED"),"",IF(N204="","",HYPERLINK(INDIRECT(Q204)&amp;N204,"TRACK")))</f>
        <v/>
      </c>
    </row>
    <row r="205" spans="3:13">
      <c r="C205" s="234"/>
      <c r="J205" s="204"/>
      <c r="L205" s="235" t="str">
        <f t="shared" si="15"/>
        <v/>
      </c>
      <c r="M205" s="223" t="str" cm="1">
        <f t="array" aca="1" ref="M205" ca="1">IF(AND($M$1="Hide",H205="ARRIVED"),"",IF(N205="","",HYPERLINK(INDIRECT(Q205)&amp;N205,"TRACK")))</f>
        <v/>
      </c>
    </row>
    <row r="206" spans="3:13">
      <c r="C206" s="234"/>
      <c r="J206" s="204"/>
      <c r="L206" s="235" t="str">
        <f t="shared" si="15"/>
        <v/>
      </c>
      <c r="M206" s="223" t="str" cm="1">
        <f t="array" aca="1" ref="M206" ca="1">IF(AND($M$1="Hide",H206="ARRIVED"),"",IF(N206="","",HYPERLINK(INDIRECT(Q206)&amp;N206,"TRACK")))</f>
        <v/>
      </c>
    </row>
    <row r="207" spans="3:13">
      <c r="C207" s="234"/>
      <c r="J207" s="204"/>
      <c r="L207" s="235" t="str">
        <f t="shared" si="15"/>
        <v/>
      </c>
      <c r="M207" s="223" t="str" cm="1">
        <f t="array" aca="1" ref="M207" ca="1">IF(AND($M$1="Hide",H207="ARRIVED"),"",IF(N207="","",HYPERLINK(INDIRECT(Q207)&amp;N207,"TRACK")))</f>
        <v/>
      </c>
    </row>
    <row r="208" spans="3:13">
      <c r="C208" s="234"/>
      <c r="J208" s="204"/>
      <c r="L208" s="235" t="str">
        <f t="shared" si="15"/>
        <v/>
      </c>
      <c r="M208" s="223" t="str" cm="1">
        <f t="array" aca="1" ref="M208" ca="1">IF(AND($M$1="Hide",H208="ARRIVED"),"",IF(N208="","",HYPERLINK(INDIRECT(Q208)&amp;N208,"TRACK")))</f>
        <v/>
      </c>
    </row>
    <row r="209" spans="3:13">
      <c r="C209" s="234"/>
      <c r="J209" s="204"/>
      <c r="L209" s="235" t="str">
        <f t="shared" si="15"/>
        <v/>
      </c>
      <c r="M209" s="223" t="str" cm="1">
        <f t="array" aca="1" ref="M209" ca="1">IF(AND($M$1="Hide",H209="ARRIVED"),"",IF(N209="","",HYPERLINK(INDIRECT(Q209)&amp;N209,"TRACK")))</f>
        <v/>
      </c>
    </row>
    <row r="210" spans="3:13">
      <c r="C210" s="234"/>
      <c r="J210" s="204"/>
      <c r="L210" s="235" t="str">
        <f t="shared" si="15"/>
        <v/>
      </c>
      <c r="M210" s="223" t="str" cm="1">
        <f t="array" aca="1" ref="M210" ca="1">IF(AND($M$1="Hide",H210="ARRIVED"),"",IF(N210="","",HYPERLINK(INDIRECT(Q210)&amp;N210,"TRACK")))</f>
        <v/>
      </c>
    </row>
    <row r="211" spans="3:13">
      <c r="C211" s="234"/>
      <c r="J211" s="204"/>
      <c r="L211" s="235" t="str">
        <f t="shared" si="15"/>
        <v/>
      </c>
      <c r="M211" s="223" t="str" cm="1">
        <f t="array" aca="1" ref="M211" ca="1">IF(AND($M$1="Hide",H211="ARRIVED"),"",IF(N211="","",HYPERLINK(INDIRECT(Q211)&amp;N211,"TRACK")))</f>
        <v/>
      </c>
    </row>
    <row r="212" spans="3:13">
      <c r="J212" s="204"/>
      <c r="L212" s="235" t="str">
        <f t="shared" si="15"/>
        <v/>
      </c>
      <c r="M212" s="223" t="str" cm="1">
        <f t="array" aca="1" ref="M212" ca="1">IF(AND($M$1="Hide",H212="ARRIVED"),"",IF(N212="","",HYPERLINK(INDIRECT(Q212)&amp;N212,"TRACK")))</f>
        <v/>
      </c>
    </row>
    <row r="213" spans="3:13">
      <c r="J213" s="204"/>
      <c r="L213" s="235" t="str">
        <f t="shared" si="15"/>
        <v/>
      </c>
      <c r="M213" s="223" t="str" cm="1">
        <f t="array" aca="1" ref="M213" ca="1">IF(AND($M$1="Hide",H213="ARRIVED"),"",IF(N213="","",HYPERLINK(INDIRECT(Q213)&amp;N213,"TRACK")))</f>
        <v/>
      </c>
    </row>
    <row r="214" spans="3:13">
      <c r="J214" s="204"/>
      <c r="M214" s="223" t="str" cm="1">
        <f t="array" aca="1" ref="M214" ca="1">IF(AND($M$1="Hide",H214="ARRIVED"),"",IF(N214="","",HYPERLINK(INDIRECT(Q214)&amp;N214,"TRACK")))</f>
        <v/>
      </c>
    </row>
    <row r="215" spans="3:13">
      <c r="J215" s="204"/>
      <c r="M215" s="223" t="str" cm="1">
        <f t="array" aca="1" ref="M215" ca="1">IF(AND($M$1="Hide",H215="ARRIVED"),"",IF(N215="","",HYPERLINK(INDIRECT(Q215)&amp;N215,"TRACK")))</f>
        <v/>
      </c>
    </row>
    <row r="216" spans="3:13">
      <c r="J216" s="204"/>
      <c r="M216" s="223" t="str" cm="1">
        <f t="array" aca="1" ref="M216" ca="1">IF(AND($M$1="Hide",H216="ARRIVED"),"",IF(N216="","",HYPERLINK(INDIRECT(Q216)&amp;N216,"TRACK")))</f>
        <v/>
      </c>
    </row>
    <row r="217" spans="3:13">
      <c r="J217" s="204"/>
      <c r="M217" s="223" t="str" cm="1">
        <f t="array" aca="1" ref="M217" ca="1">IF(AND($M$1="Hide",H217="ARRIVED"),"",IF(N217="","",HYPERLINK(INDIRECT(Q217)&amp;N217,"TRACK")))</f>
        <v/>
      </c>
    </row>
    <row r="218" spans="3:13">
      <c r="J218" s="204"/>
    </row>
    <row r="219" spans="3:13">
      <c r="J219" s="204"/>
    </row>
    <row r="220" spans="3:13">
      <c r="J220" s="204"/>
    </row>
    <row r="221" spans="3:13">
      <c r="J221" s="204"/>
    </row>
    <row r="222" spans="3:13">
      <c r="J222" s="204"/>
    </row>
    <row r="223" spans="3:13">
      <c r="J223" s="204"/>
    </row>
    <row r="224" spans="3:13">
      <c r="J224" s="204"/>
    </row>
    <row r="225" spans="10:10">
      <c r="J225" s="204"/>
    </row>
    <row r="226" spans="10:10">
      <c r="J226" s="204"/>
    </row>
    <row r="227" spans="10:10">
      <c r="J227" s="204"/>
    </row>
    <row r="228" spans="10:10">
      <c r="J228" s="204"/>
    </row>
    <row r="229" spans="10:10">
      <c r="J229" s="204"/>
    </row>
    <row r="230" spans="10:10">
      <c r="J230" s="204"/>
    </row>
    <row r="231" spans="10:10">
      <c r="J231" s="204"/>
    </row>
    <row r="232" spans="10:10">
      <c r="J232" s="204"/>
    </row>
    <row r="233" spans="10:10">
      <c r="J233" s="204"/>
    </row>
    <row r="234" spans="10:10">
      <c r="J234" s="204"/>
    </row>
    <row r="235" spans="10:10">
      <c r="J235" s="204"/>
    </row>
    <row r="236" spans="10:10">
      <c r="J236" s="204"/>
    </row>
    <row r="237" spans="10:10">
      <c r="J237" s="204"/>
    </row>
    <row r="238" spans="10:10">
      <c r="J238" s="204"/>
    </row>
    <row r="239" spans="10:10">
      <c r="J239" s="204"/>
    </row>
    <row r="240" spans="10:10">
      <c r="J240" s="204"/>
    </row>
    <row r="241" spans="10:10">
      <c r="J241" s="204"/>
    </row>
    <row r="242" spans="10:10">
      <c r="J242" s="204"/>
    </row>
    <row r="243" spans="10:10">
      <c r="J243" s="204"/>
    </row>
    <row r="244" spans="10:10">
      <c r="J244" s="204"/>
    </row>
    <row r="245" spans="10:10">
      <c r="J245" s="204"/>
    </row>
    <row r="246" spans="10:10">
      <c r="J246" s="204"/>
    </row>
    <row r="247" spans="10:10">
      <c r="J247" s="204"/>
    </row>
    <row r="248" spans="10:10">
      <c r="J248" s="204"/>
    </row>
    <row r="249" spans="10:10">
      <c r="J249" s="204"/>
    </row>
    <row r="250" spans="10:10">
      <c r="J250" s="204"/>
    </row>
    <row r="251" spans="10:10">
      <c r="J251" s="204"/>
    </row>
    <row r="252" spans="10:10">
      <c r="J252" s="204"/>
    </row>
    <row r="253" spans="10:10">
      <c r="J253" s="204"/>
    </row>
    <row r="254" spans="10:10">
      <c r="J254" s="204"/>
    </row>
    <row r="255" spans="10:10">
      <c r="J255" s="204"/>
    </row>
    <row r="256" spans="10:10">
      <c r="J256" s="204"/>
    </row>
    <row r="257" spans="10:10">
      <c r="J257" s="204"/>
    </row>
    <row r="258" spans="10:10">
      <c r="J258" s="204"/>
    </row>
    <row r="259" spans="10:10">
      <c r="J259" s="204"/>
    </row>
    <row r="260" spans="10:10">
      <c r="J260" s="204"/>
    </row>
    <row r="261" spans="10:10">
      <c r="J261" s="204"/>
    </row>
    <row r="262" spans="10:10">
      <c r="J262" s="204"/>
    </row>
    <row r="263" spans="10:10">
      <c r="J263" s="204"/>
    </row>
    <row r="264" spans="10:10">
      <c r="J264" s="204"/>
    </row>
    <row r="265" spans="10:10">
      <c r="J265" s="204"/>
    </row>
    <row r="266" spans="10:10">
      <c r="J266" s="204"/>
    </row>
    <row r="267" spans="10:10">
      <c r="J267" s="204"/>
    </row>
    <row r="268" spans="10:10">
      <c r="J268" s="204"/>
    </row>
    <row r="269" spans="10:10">
      <c r="J269" s="204"/>
    </row>
    <row r="270" spans="10:10">
      <c r="J270" s="204"/>
    </row>
    <row r="271" spans="10:10">
      <c r="J271" s="204"/>
    </row>
    <row r="272" spans="10:10">
      <c r="J272" s="204"/>
    </row>
    <row r="273" spans="10:10">
      <c r="J273" s="204"/>
    </row>
    <row r="274" spans="10:10">
      <c r="J274" s="204"/>
    </row>
    <row r="275" spans="10:10">
      <c r="J275" s="204"/>
    </row>
    <row r="276" spans="10:10">
      <c r="J276" s="204"/>
    </row>
    <row r="277" spans="10:10">
      <c r="J277" s="204"/>
    </row>
    <row r="278" spans="10:10">
      <c r="J278" s="204"/>
    </row>
    <row r="279" spans="10:10">
      <c r="J279" s="204"/>
    </row>
    <row r="280" spans="10:10">
      <c r="J280" s="204"/>
    </row>
    <row r="281" spans="10:10">
      <c r="J281" s="204"/>
    </row>
    <row r="282" spans="10:10">
      <c r="J282" s="204"/>
    </row>
    <row r="283" spans="10:10">
      <c r="J283" s="204"/>
    </row>
    <row r="284" spans="10:10">
      <c r="J284" s="204"/>
    </row>
    <row r="285" spans="10:10">
      <c r="J285" s="204"/>
    </row>
    <row r="286" spans="10:10">
      <c r="J286" s="204"/>
    </row>
    <row r="287" spans="10:10">
      <c r="J287" s="204"/>
    </row>
    <row r="288" spans="10:10">
      <c r="J288" s="204"/>
    </row>
    <row r="289" spans="10:10">
      <c r="J289" s="204"/>
    </row>
    <row r="290" spans="10:10">
      <c r="J290" s="204"/>
    </row>
    <row r="291" spans="10:10">
      <c r="J291" s="204"/>
    </row>
    <row r="292" spans="10:10">
      <c r="J292" s="204"/>
    </row>
    <row r="293" spans="10:10">
      <c r="J293" s="204"/>
    </row>
    <row r="294" spans="10:10">
      <c r="J294" s="204"/>
    </row>
    <row r="295" spans="10:10">
      <c r="J295" s="204"/>
    </row>
    <row r="296" spans="10:10">
      <c r="J296" s="204"/>
    </row>
    <row r="297" spans="10:10">
      <c r="J297" s="204"/>
    </row>
    <row r="298" spans="10:10">
      <c r="J298" s="204"/>
    </row>
    <row r="299" spans="10:10">
      <c r="J299" s="204"/>
    </row>
    <row r="300" spans="10:10">
      <c r="J300" s="204"/>
    </row>
    <row r="301" spans="10:10">
      <c r="J301" s="204"/>
    </row>
    <row r="302" spans="10:10">
      <c r="J302" s="204"/>
    </row>
    <row r="303" spans="10:10">
      <c r="J303" s="204"/>
    </row>
    <row r="304" spans="10:10">
      <c r="J304" s="204"/>
    </row>
    <row r="305" spans="10:10">
      <c r="J305" s="204"/>
    </row>
    <row r="306" spans="10:10">
      <c r="J306" s="204"/>
    </row>
    <row r="307" spans="10:10">
      <c r="J307" s="204"/>
    </row>
    <row r="308" spans="10:10">
      <c r="J308" s="204"/>
    </row>
    <row r="309" spans="10:10">
      <c r="J309" s="204"/>
    </row>
    <row r="310" spans="10:10">
      <c r="J310" s="204"/>
    </row>
    <row r="311" spans="10:10">
      <c r="J311" s="204"/>
    </row>
    <row r="312" spans="10:10">
      <c r="J312" s="204"/>
    </row>
    <row r="313" spans="10:10">
      <c r="J313" s="204"/>
    </row>
    <row r="314" spans="10:10">
      <c r="J314" s="204"/>
    </row>
    <row r="315" spans="10:10">
      <c r="J315" s="204"/>
    </row>
    <row r="316" spans="10:10">
      <c r="J316" s="204"/>
    </row>
    <row r="317" spans="10:10">
      <c r="J317" s="204"/>
    </row>
    <row r="318" spans="10:10">
      <c r="J318" s="204"/>
    </row>
    <row r="319" spans="10:10">
      <c r="J319" s="204"/>
    </row>
    <row r="320" spans="10:10">
      <c r="J320" s="204"/>
    </row>
    <row r="321" spans="10:10">
      <c r="J321" s="204"/>
    </row>
    <row r="322" spans="10:10">
      <c r="J322" s="204"/>
    </row>
    <row r="323" spans="10:10">
      <c r="J323" s="204"/>
    </row>
    <row r="324" spans="10:10">
      <c r="J324" s="204"/>
    </row>
    <row r="325" spans="10:10">
      <c r="J325" s="204"/>
    </row>
    <row r="326" spans="10:10">
      <c r="J326" s="204"/>
    </row>
    <row r="327" spans="10:10">
      <c r="J327" s="204"/>
    </row>
    <row r="328" spans="10:10">
      <c r="J328" s="204"/>
    </row>
    <row r="329" spans="10:10">
      <c r="J329" s="204"/>
    </row>
    <row r="330" spans="10:10">
      <c r="J330" s="204"/>
    </row>
    <row r="331" spans="10:10">
      <c r="J331" s="204"/>
    </row>
    <row r="332" spans="10:10">
      <c r="J332" s="204"/>
    </row>
    <row r="333" spans="10:10">
      <c r="J333" s="204"/>
    </row>
    <row r="334" spans="10:10">
      <c r="J334" s="204"/>
    </row>
    <row r="335" spans="10:10">
      <c r="J335" s="204"/>
    </row>
    <row r="336" spans="10:10">
      <c r="J336" s="204"/>
    </row>
    <row r="337" spans="10:10">
      <c r="J337" s="204"/>
    </row>
    <row r="338" spans="10:10">
      <c r="J338" s="204"/>
    </row>
    <row r="339" spans="10:10">
      <c r="J339" s="204"/>
    </row>
    <row r="340" spans="10:10">
      <c r="J340" s="204"/>
    </row>
    <row r="341" spans="10:10">
      <c r="J341" s="204"/>
    </row>
    <row r="342" spans="10:10">
      <c r="J342" s="204"/>
    </row>
    <row r="343" spans="10:10">
      <c r="J343" s="204"/>
    </row>
    <row r="344" spans="10:10">
      <c r="J344" s="204"/>
    </row>
    <row r="345" spans="10:10">
      <c r="J345" s="204"/>
    </row>
    <row r="346" spans="10:10">
      <c r="J346" s="204"/>
    </row>
    <row r="347" spans="10:10">
      <c r="J347" s="204"/>
    </row>
    <row r="348" spans="10:10">
      <c r="J348" s="204"/>
    </row>
    <row r="349" spans="10:10">
      <c r="J349" s="204"/>
    </row>
    <row r="350" spans="10:10">
      <c r="J350" s="204"/>
    </row>
    <row r="351" spans="10:10">
      <c r="J351" s="204"/>
    </row>
    <row r="352" spans="10:10">
      <c r="J352" s="204"/>
    </row>
    <row r="353" spans="10:10">
      <c r="J353" s="204"/>
    </row>
    <row r="354" spans="10:10">
      <c r="J354" s="204"/>
    </row>
    <row r="355" spans="10:10">
      <c r="J355" s="204"/>
    </row>
    <row r="356" spans="10:10">
      <c r="J356" s="204"/>
    </row>
    <row r="357" spans="10:10">
      <c r="J357" s="204"/>
    </row>
    <row r="358" spans="10:10">
      <c r="J358" s="204"/>
    </row>
    <row r="359" spans="10:10">
      <c r="J359" s="204"/>
    </row>
    <row r="360" spans="10:10">
      <c r="J360" s="204"/>
    </row>
    <row r="361" spans="10:10">
      <c r="J361" s="204"/>
    </row>
    <row r="362" spans="10:10">
      <c r="J362" s="204"/>
    </row>
    <row r="363" spans="10:10">
      <c r="J363" s="204"/>
    </row>
    <row r="364" spans="10:10">
      <c r="J364" s="204"/>
    </row>
    <row r="365" spans="10:10">
      <c r="J365" s="204"/>
    </row>
    <row r="366" spans="10:10">
      <c r="J366" s="204"/>
    </row>
    <row r="367" spans="10:10">
      <c r="J367" s="204"/>
    </row>
    <row r="368" spans="10:10">
      <c r="J368" s="204"/>
    </row>
    <row r="369" spans="10:10">
      <c r="J369" s="204"/>
    </row>
    <row r="370" spans="10:10">
      <c r="J370" s="204"/>
    </row>
    <row r="371" spans="10:10">
      <c r="J371" s="204"/>
    </row>
    <row r="372" spans="10:10">
      <c r="J372" s="204"/>
    </row>
    <row r="373" spans="10:10">
      <c r="J373" s="204"/>
    </row>
    <row r="374" spans="10:10">
      <c r="J374" s="204"/>
    </row>
    <row r="375" spans="10:10">
      <c r="J375" s="204"/>
    </row>
    <row r="376" spans="10:10">
      <c r="J376" s="204"/>
    </row>
    <row r="377" spans="10:10">
      <c r="J377" s="204"/>
    </row>
    <row r="378" spans="10:10">
      <c r="J378" s="204"/>
    </row>
    <row r="379" spans="10:10">
      <c r="J379" s="204"/>
    </row>
    <row r="380" spans="10:10">
      <c r="J380" s="204"/>
    </row>
    <row r="381" spans="10:10">
      <c r="J381" s="204"/>
    </row>
    <row r="382" spans="10:10">
      <c r="J382" s="204"/>
    </row>
    <row r="383" spans="10:10">
      <c r="J383" s="204"/>
    </row>
    <row r="384" spans="10:10">
      <c r="J384" s="204"/>
    </row>
    <row r="385" spans="10:10">
      <c r="J385" s="204"/>
    </row>
    <row r="386" spans="10:10">
      <c r="J386" s="204"/>
    </row>
    <row r="387" spans="10:10">
      <c r="J387" s="204"/>
    </row>
    <row r="388" spans="10:10">
      <c r="J388" s="204"/>
    </row>
    <row r="389" spans="10:10">
      <c r="J389" s="204"/>
    </row>
    <row r="390" spans="10:10">
      <c r="J390" s="204"/>
    </row>
    <row r="391" spans="10:10">
      <c r="J391" s="204"/>
    </row>
    <row r="392" spans="10:10">
      <c r="J392" s="204"/>
    </row>
    <row r="393" spans="10:10">
      <c r="J393" s="204"/>
    </row>
    <row r="394" spans="10:10">
      <c r="J394" s="204"/>
    </row>
    <row r="395" spans="10:10">
      <c r="J395" s="204"/>
    </row>
    <row r="396" spans="10:10">
      <c r="J396" s="204"/>
    </row>
    <row r="397" spans="10:10">
      <c r="J397" s="204"/>
    </row>
    <row r="398" spans="10:10">
      <c r="J398" s="204"/>
    </row>
    <row r="399" spans="10:10">
      <c r="J399" s="204"/>
    </row>
    <row r="400" spans="10:10">
      <c r="J400" s="204"/>
    </row>
    <row r="401" spans="10:10">
      <c r="J401" s="204"/>
    </row>
    <row r="402" spans="10:10">
      <c r="J402" s="204"/>
    </row>
    <row r="403" spans="10:10">
      <c r="J403" s="204"/>
    </row>
    <row r="404" spans="10:10">
      <c r="J404" s="204"/>
    </row>
    <row r="405" spans="10:10">
      <c r="J405" s="204"/>
    </row>
    <row r="406" spans="10:10">
      <c r="J406" s="204"/>
    </row>
    <row r="407" spans="10:10">
      <c r="J407" s="204"/>
    </row>
    <row r="408" spans="10:10">
      <c r="J408" s="204"/>
    </row>
    <row r="409" spans="10:10">
      <c r="J409" s="204"/>
    </row>
    <row r="410" spans="10:10">
      <c r="J410" s="204"/>
    </row>
    <row r="411" spans="10:10">
      <c r="J411" s="204"/>
    </row>
    <row r="412" spans="10:10">
      <c r="J412" s="204"/>
    </row>
    <row r="413" spans="10:10">
      <c r="J413" s="204"/>
    </row>
    <row r="414" spans="10:10">
      <c r="J414" s="204"/>
    </row>
    <row r="415" spans="10:10">
      <c r="J415" s="204"/>
    </row>
    <row r="416" spans="10:10">
      <c r="J416" s="204"/>
    </row>
    <row r="417" spans="10:10">
      <c r="J417" s="204"/>
    </row>
    <row r="418" spans="10:10">
      <c r="J418" s="204"/>
    </row>
    <row r="419" spans="10:10">
      <c r="J419" s="204"/>
    </row>
    <row r="420" spans="10:10">
      <c r="J420" s="204"/>
    </row>
    <row r="421" spans="10:10">
      <c r="J421" s="204"/>
    </row>
    <row r="422" spans="10:10">
      <c r="J422" s="204"/>
    </row>
    <row r="423" spans="10:10">
      <c r="J423" s="204"/>
    </row>
    <row r="424" spans="10:10">
      <c r="J424" s="204"/>
    </row>
    <row r="425" spans="10:10">
      <c r="J425" s="204"/>
    </row>
    <row r="426" spans="10:10">
      <c r="J426" s="204"/>
    </row>
    <row r="427" spans="10:10">
      <c r="J427" s="204"/>
    </row>
    <row r="428" spans="10:10">
      <c r="J428" s="204"/>
    </row>
    <row r="429" spans="10:10">
      <c r="J429" s="204"/>
    </row>
    <row r="430" spans="10:10">
      <c r="J430" s="204"/>
    </row>
    <row r="431" spans="10:10">
      <c r="J431" s="204"/>
    </row>
    <row r="432" spans="10:10">
      <c r="J432" s="204"/>
    </row>
    <row r="433" spans="10:10">
      <c r="J433" s="204"/>
    </row>
    <row r="434" spans="10:10">
      <c r="J434" s="204"/>
    </row>
    <row r="435" spans="10:10">
      <c r="J435" s="204"/>
    </row>
    <row r="436" spans="10:10">
      <c r="J436" s="204"/>
    </row>
    <row r="437" spans="10:10">
      <c r="J437" s="204"/>
    </row>
    <row r="438" spans="10:10">
      <c r="J438" s="204"/>
    </row>
    <row r="439" spans="10:10">
      <c r="J439" s="204"/>
    </row>
    <row r="440" spans="10:10">
      <c r="J440" s="204"/>
    </row>
    <row r="441" spans="10:10">
      <c r="J441" s="204"/>
    </row>
    <row r="442" spans="10:10">
      <c r="J442" s="204"/>
    </row>
    <row r="443" spans="10:10">
      <c r="J443" s="204"/>
    </row>
    <row r="444" spans="10:10">
      <c r="J444" s="204"/>
    </row>
    <row r="445" spans="10:10">
      <c r="J445" s="204"/>
    </row>
    <row r="446" spans="10:10">
      <c r="J446" s="204"/>
    </row>
    <row r="447" spans="10:10">
      <c r="J447" s="204"/>
    </row>
    <row r="448" spans="10:10">
      <c r="J448" s="204"/>
    </row>
    <row r="449" spans="10:10">
      <c r="J449" s="204"/>
    </row>
    <row r="450" spans="10:10">
      <c r="J450" s="204"/>
    </row>
    <row r="451" spans="10:10">
      <c r="J451" s="204"/>
    </row>
  </sheetData>
  <sheetProtection formatCells="0" formatColumns="0" formatRows="0" insertColumns="0" insertRows="0" insertHyperlinks="0" deleteColumns="0" deleteRows="0" selectLockedCells="1" sort="0" autoFilter="0" pivotTables="0"/>
  <mergeCells count="37">
    <mergeCell ref="M54:M57"/>
    <mergeCell ref="N54:N57"/>
    <mergeCell ref="Q54:Q57"/>
    <mergeCell ref="K54:K57"/>
    <mergeCell ref="I34:I35"/>
    <mergeCell ref="K34:K35"/>
    <mergeCell ref="J34:J35"/>
    <mergeCell ref="F21:F23"/>
    <mergeCell ref="F16:F17"/>
    <mergeCell ref="I16:I17"/>
    <mergeCell ref="I21:I23"/>
    <mergeCell ref="K21:K23"/>
    <mergeCell ref="J21:J23"/>
    <mergeCell ref="J16:J17"/>
    <mergeCell ref="K16:K17"/>
    <mergeCell ref="V6:W6"/>
    <mergeCell ref="Q21:Q23"/>
    <mergeCell ref="M21:M23"/>
    <mergeCell ref="N21:N23"/>
    <mergeCell ref="N44:N45"/>
    <mergeCell ref="M44:M45"/>
    <mergeCell ref="N16:N17"/>
    <mergeCell ref="M16:M17"/>
    <mergeCell ref="M34:M35"/>
    <mergeCell ref="N34:N35"/>
    <mergeCell ref="Q34:Q35"/>
    <mergeCell ref="K60:K61"/>
    <mergeCell ref="F60:F61"/>
    <mergeCell ref="J60:J61"/>
    <mergeCell ref="M60:M61"/>
    <mergeCell ref="N60:N61"/>
    <mergeCell ref="Q60:Q61"/>
    <mergeCell ref="O16:O17"/>
    <mergeCell ref="O21:O23"/>
    <mergeCell ref="O34:O35"/>
    <mergeCell ref="O54:O57"/>
    <mergeCell ref="O44:O45"/>
  </mergeCells>
  <phoneticPr fontId="4" type="noConversion"/>
  <conditionalFormatting sqref="T9">
    <cfRule type="dataBar" priority="20">
      <dataBar>
        <cfvo type="num" val="0"/>
        <cfvo type="num" val="1"/>
        <color rgb="FFFF555A"/>
      </dataBar>
      <extLst>
        <ext xmlns:x14="http://schemas.microsoft.com/office/spreadsheetml/2009/9/main" uri="{B025F937-C7B1-47D3-B67F-A62EFF666E3E}">
          <x14:id>{CF3D014B-B668-7044-9FD1-026FB22E7FD0}</x14:id>
        </ext>
      </extLst>
    </cfRule>
  </conditionalFormatting>
  <conditionalFormatting sqref="P3:P52">
    <cfRule type="containsText" dxfId="32" priority="11" operator="containsText" text="NO">
      <formula>NOT(ISERROR(SEARCH("NO",P3)))</formula>
    </cfRule>
    <cfRule type="containsText" dxfId="31" priority="12" operator="containsText" text="YES">
      <formula>NOT(ISERROR(SEARCH("YES",P3)))</formula>
    </cfRule>
  </conditionalFormatting>
  <conditionalFormatting sqref="M36:M44 M24:M34 M3:M16 M18:M21 M46:M52 M62:M217">
    <cfRule type="containsText" dxfId="30" priority="10" operator="containsText" text="TRACK">
      <formula>NOT(ISERROR(SEARCH("TRACK",M3)))</formula>
    </cfRule>
  </conditionalFormatting>
  <conditionalFormatting sqref="G58 H3:H100">
    <cfRule type="containsText" dxfId="29" priority="1" operator="containsText" text="Never Arrived">
      <formula>NOT(ISERROR(SEARCH("Never Arrived",G3)))</formula>
    </cfRule>
    <cfRule type="containsText" dxfId="28" priority="25" operator="containsText" text="ARRIVED">
      <formula>NOT(ISERROR(SEARCH("ARRIVED",G3)))</formula>
    </cfRule>
    <cfRule type="containsText" dxfId="27" priority="28" operator="containsText" text="WAIT">
      <formula>NOT(ISERROR(SEARCH("WAIT",G3)))</formula>
    </cfRule>
  </conditionalFormatting>
  <conditionalFormatting sqref="I5:I16 I18:I21 I24:I34 I36:I200">
    <cfRule type="cellIs" dxfId="26" priority="21" operator="greaterThan">
      <formula>90</formula>
    </cfRule>
  </conditionalFormatting>
  <conditionalFormatting sqref="J5:J16 J18:J20">
    <cfRule type="expression" dxfId="25" priority="57">
      <formula>IF(AND($I$4&gt;90,I6="WAIT"),TRUE,FALSE)</formula>
    </cfRule>
  </conditionalFormatting>
  <conditionalFormatting sqref="S3">
    <cfRule type="expression" dxfId="24" priority="61">
      <formula>AND($S$3&gt;2,$H$4="WAIT")</formula>
    </cfRule>
  </conditionalFormatting>
  <conditionalFormatting sqref="I3:I201">
    <cfRule type="expression" dxfId="23" priority="17">
      <formula>$H3="ARRIVED"</formula>
    </cfRule>
  </conditionalFormatting>
  <conditionalFormatting sqref="I3:I100">
    <cfRule type="cellIs" dxfId="22" priority="39" operator="between">
      <formula>90</formula>
      <formula>1</formula>
    </cfRule>
  </conditionalFormatting>
  <conditionalFormatting sqref="P53:P61">
    <cfRule type="containsText" dxfId="21" priority="3" operator="containsText" text="NO">
      <formula>NOT(ISERROR(SEARCH("NO",P53)))</formula>
    </cfRule>
    <cfRule type="containsText" dxfId="20" priority="4" operator="containsText" text="YES">
      <formula>NOT(ISERROR(SEARCH("YES",P53)))</formula>
    </cfRule>
  </conditionalFormatting>
  <conditionalFormatting sqref="M53:M54 M58:M60">
    <cfRule type="containsText" dxfId="19" priority="2" operator="containsText" text="TRACK">
      <formula>NOT(ISERROR(SEARCH("TRACK",M53)))</formula>
    </cfRule>
  </conditionalFormatting>
  <hyperlinks>
    <hyperlink ref="G9" r:id="rId1" xr:uid="{56F0858E-8365-4B43-A4F8-D693D19DDDE8}"/>
    <hyperlink ref="G17" r:id="rId2" xr:uid="{4CF7920A-E9E8-5B41-8E08-01F54D4EB2BD}"/>
    <hyperlink ref="G16" r:id="rId3" xr:uid="{D287490B-C862-3F4B-A8A3-728511A9E1D2}"/>
    <hyperlink ref="G15" r:id="rId4" display="https://www.aliexpress.com/item/4000389230884.html?spm=a2g0o.productlist.0.0.70bb4eedrRfpaH&amp;algo_pvid=19296c4b-e709-44ef-bd7a-d16ad105010a&amp;algo_expid=19296c4b-e709-44ef-bd7a-d16ad105010a-2&amp;btsid=0bb0622e16074131145558835ea01e&amp;ws_ab_test=searchweb0_0,searchweb201602_,searchweb201603_ " xr:uid="{D98375F1-95DC-A04E-9F63-32EF0012C3A7}"/>
    <hyperlink ref="G13" r:id="rId5" xr:uid="{213A5A9D-87F8-BB46-8932-62E1689264ED}"/>
    <hyperlink ref="G11" r:id="rId6" xr:uid="{1AE824C0-A16E-0B4B-982B-32C47E3E94EE}"/>
    <hyperlink ref="G10" r:id="rId7" xr:uid="{DFEB8B05-71A5-084A-AEF3-066DD9D8AECE}"/>
    <hyperlink ref="G8" r:id="rId8" xr:uid="{5902C8D2-4537-8742-A907-73622271A6D5}"/>
    <hyperlink ref="G6" r:id="rId9" xr:uid="{C8C1D6BB-E738-7F4B-89B6-B23A41FC5EB5}"/>
    <hyperlink ref="G5" r:id="rId10" xr:uid="{68E76123-8EB4-6847-A5C5-C02BB7A7B2E9}"/>
    <hyperlink ref="G4" r:id="rId11" xr:uid="{E9504062-63BF-4249-B3E6-951EB58A9DA5}"/>
    <hyperlink ref="G14" r:id="rId12" xr:uid="{E9EB351B-7D07-E24F-B20D-1315228E68BE}"/>
    <hyperlink ref="G12" r:id="rId13" display="https://www.aliexpress.com/item/32766184679.html?spm=a2g0o.productlist.0.0.169e5f9d3sm9O2&amp;algo_pvid=f985e751-2efd-428e-916a-f92da83d8238&amp;algo_expid=f985e751-2efd-428e-916a-f92da83d8238-0&amp;btsid=0bb0624616072843730448858e1976&amp;ws_ab_test=searchweb0_0,searchweb201602_,searchweb201603_ " xr:uid="{7830FBED-3C14-0441-B56E-3C5A03532301}"/>
    <hyperlink ref="G18" r:id="rId14" xr:uid="{231A44B6-DA05-744E-AFDA-FBD9E0AA317D}"/>
    <hyperlink ref="G7" r:id="rId15" xr:uid="{78ED91B7-4BDE-124E-A00F-5B89913C3723}"/>
    <hyperlink ref="G19" r:id="rId16" xr:uid="{ED1EB333-A563-B24A-9183-5C662EFD9F7D}"/>
    <hyperlink ref="G20" r:id="rId17" xr:uid="{A18381B8-ABEF-F84E-B548-DE3B13A362DE}"/>
    <hyperlink ref="G21" r:id="rId18" xr:uid="{49B8FC9C-F5F8-CD4A-AE00-9DB842E3A989}"/>
    <hyperlink ref="G22" r:id="rId19" xr:uid="{990DFF75-C654-A747-99DF-60233CC072C6}"/>
    <hyperlink ref="G23" r:id="rId20" xr:uid="{8EE039B3-191A-5D41-954F-2E9041A27A4C}"/>
    <hyperlink ref="G24" r:id="rId21" xr:uid="{952664D8-1AFD-6042-8B73-D1177597D260}"/>
    <hyperlink ref="G26" r:id="rId22" xr:uid="{659D0893-2719-7E43-9404-A6D8A12F064B}"/>
    <hyperlink ref="G27" r:id="rId23" xr:uid="{E85ED174-5A10-C148-B6DD-ED1006BD7120}"/>
    <hyperlink ref="G25" r:id="rId24" xr:uid="{2A04E4FB-6BC1-004D-ACE6-302B0375E948}"/>
    <hyperlink ref="G28" r:id="rId25" xr:uid="{9D851844-59BC-124B-8657-22A4EB082584}"/>
    <hyperlink ref="G29" r:id="rId26" xr:uid="{828D1AC5-4015-CC43-92EF-F72EED716F2B}"/>
    <hyperlink ref="G30" r:id="rId27" xr:uid="{8AA9458E-FC9A-4049-AFA3-AFFFAC8C8659}"/>
    <hyperlink ref="G32" r:id="rId28" xr:uid="{B9AD99E0-F7F7-A24C-AED7-50076D5D0AE3}"/>
    <hyperlink ref="G33" r:id="rId29" xr:uid="{B3EB872B-F0CB-4149-B1FC-A0B2626046B6}"/>
    <hyperlink ref="G35" r:id="rId30" display="https://www.aliexpress.com/item/4000176913597.html?spm=a2g0o.detail.1000060.2.24273f15lKXiQE&amp;gps-id=pcDetailBottomMoreThisSeller&amp;scm=1007.13339.169870.0&amp;scm_id=1007.13339.169870.0&amp;scm-url=1007.13339.169870.0&amp;pvid=2f80d80a-d9b6-402c-afed-708a1019e64b&amp;_t=gps-id:pcDetailBottomMoreThisSeller,scm-url:1007.13339.169870.0,pvid:2f80d80a-d9b6-402c-afed-708a1019e64b,tpp_buckets:668%230%23131923%2358_668%23888%233325%238_668%232846%238110%231995_668%232717%237563%23592_668%231000022185%231000066058%230_668%233468%2315612%23344 " xr:uid="{B446F56B-F4AF-4031-9BE7-42B7C3111EEC}"/>
    <hyperlink ref="G34" r:id="rId31" display="https://www.aliexpress.com/item/4000233682608.html?spm=a2g0o.productlist.0.0.3d81482alA3T9G&amp;algo_pvid=23dd9d38-db07-45cb-a318-2c8eec846f94&amp;algo_expid=23dd9d38-db07-45cb-a318-2c8eec846f94-8&amp;btsid=0bb0623f16133989525625050e0e39&amp;ws_ab_test=searchweb0_0,searchweb201602_,searchweb201603_" xr:uid="{CB50408A-E378-4692-B490-E88804EDC097}"/>
    <hyperlink ref="G38" r:id="rId32" display="https://www.aliexpress.com/item/4000407114781.html?spm=a2g0o.productlist.0.0.48f53087IbKiI1&amp;algo_pvid=dc42cf36-e68d-4dec-8339-a920d152d9c4&amp;algo_expid=dc42cf36-e68d-4dec-8339-a920d152d9c4-1&amp;btsid=0b0a556516135040583727362ef8bc&amp;ws_ab_test=searchweb0_0,searchweb201602_,searchweb201603_" xr:uid="{B57B994F-DB43-4E70-AD1E-0E8189930258}"/>
    <hyperlink ref="W13" r:id="rId33" xr:uid="{816E3903-04BE-4EDB-8B11-C223E86F1997}"/>
    <hyperlink ref="G43" r:id="rId34" xr:uid="{DDC2D11F-45CA-47D6-B987-618449C813CF}"/>
    <hyperlink ref="G45" r:id="rId35" xr:uid="{472833EC-A4DA-488C-8792-8806B1844D95}"/>
    <hyperlink ref="G39" r:id="rId36" xr:uid="{EED74780-64CA-4D1D-A6D7-199710B036D2}"/>
    <hyperlink ref="G40" r:id="rId37" xr:uid="{7696B455-FEC4-42B2-BA83-832FD0C7E8F5}"/>
    <hyperlink ref="G42" r:id="rId38" xr:uid="{87D88B75-B306-4D95-8359-84CE30852F5D}"/>
    <hyperlink ref="G47" r:id="rId39" xr:uid="{78A638B5-E271-4C30-9F68-5BC902C22BCB}"/>
    <hyperlink ref="G41" r:id="rId40" xr:uid="{630851ED-7215-4C5D-B1A0-B9291E65DC95}"/>
    <hyperlink ref="G48" r:id="rId41" xr:uid="{C7D70115-422A-417D-A7B5-AC8C5C28234C}"/>
    <hyperlink ref="G52" r:id="rId42" xr:uid="{ACFEF2B0-7D6C-4009-A476-7FBA3760851C}"/>
    <hyperlink ref="G59" r:id="rId43" xr:uid="{194C0179-6B0F-499B-BB27-8EFF713BA45A}"/>
    <hyperlink ref="G60" r:id="rId44" xr:uid="{7E3B6279-C5D3-48F6-A997-EAF1F3042DD0}"/>
    <hyperlink ref="G61" r:id="rId45" xr:uid="{426D4076-7DC0-4CDE-B983-3C5EB9C0D0A7}"/>
    <hyperlink ref="W14" r:id="rId46" xr:uid="{AACBAEEA-E022-4DD8-94A7-3D9A4013325A}"/>
  </hyperlinks>
  <pageMargins left="0.7" right="0.7" top="0.75" bottom="0.75" header="0.3" footer="0.3"/>
  <pageSetup orientation="portrait" horizontalDpi="0" verticalDpi="0" r:id="rId47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F3D014B-B668-7044-9FD1-026FB22E7FD0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T9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77C5-4A92-4892-84C8-094766202288}">
  <dimension ref="A1:E21"/>
  <sheetViews>
    <sheetView workbookViewId="0"/>
  </sheetViews>
  <sheetFormatPr defaultRowHeight="15.75"/>
  <cols>
    <col min="1" max="1" width="34.25" customWidth="1"/>
    <col min="2" max="2" width="14.875" customWidth="1"/>
    <col min="3" max="3" width="10.75" customWidth="1"/>
  </cols>
  <sheetData>
    <row r="1" spans="1:5">
      <c r="A1" s="7" t="s">
        <v>273</v>
      </c>
      <c r="B1" s="7" t="s">
        <v>274</v>
      </c>
      <c r="C1" s="7" t="s">
        <v>276</v>
      </c>
    </row>
    <row r="2" spans="1:5">
      <c r="A2" t="s">
        <v>26</v>
      </c>
      <c r="B2" t="s">
        <v>275</v>
      </c>
      <c r="C2" s="7" t="s">
        <v>9</v>
      </c>
    </row>
    <row r="3" spans="1:5">
      <c r="A3" t="s">
        <v>272</v>
      </c>
      <c r="B3" t="s">
        <v>275</v>
      </c>
      <c r="C3" s="7" t="s">
        <v>27</v>
      </c>
    </row>
    <row r="4" spans="1:5">
      <c r="A4" t="s">
        <v>270</v>
      </c>
      <c r="B4" t="s">
        <v>275</v>
      </c>
      <c r="C4" s="7" t="s">
        <v>27</v>
      </c>
    </row>
    <row r="5" spans="1:5">
      <c r="A5" t="s">
        <v>254</v>
      </c>
      <c r="B5" t="s">
        <v>275</v>
      </c>
      <c r="C5" s="7" t="s">
        <v>13</v>
      </c>
    </row>
    <row r="6" spans="1:5">
      <c r="A6" t="s">
        <v>216</v>
      </c>
      <c r="B6" t="s">
        <v>275</v>
      </c>
      <c r="C6" s="7" t="s">
        <v>27</v>
      </c>
    </row>
    <row r="7" spans="1:5">
      <c r="A7" t="s">
        <v>277</v>
      </c>
      <c r="B7" t="s">
        <v>275</v>
      </c>
      <c r="C7" s="7" t="s">
        <v>27</v>
      </c>
    </row>
    <row r="8" spans="1:5">
      <c r="C8" s="7"/>
    </row>
    <row r="9" spans="1:5">
      <c r="C9" s="7"/>
    </row>
    <row r="10" spans="1:5">
      <c r="C10" s="7"/>
    </row>
    <row r="11" spans="1:5">
      <c r="C11" s="7"/>
      <c r="E11" s="239"/>
    </row>
    <row r="12" spans="1:5">
      <c r="C12" s="7"/>
    </row>
    <row r="13" spans="1:5">
      <c r="C13" s="7"/>
    </row>
    <row r="14" spans="1:5">
      <c r="C14" s="7"/>
    </row>
    <row r="15" spans="1:5">
      <c r="C15" s="7"/>
    </row>
    <row r="16" spans="1:5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  <row r="21" spans="3:3">
      <c r="C2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6DF0-70E3-0B42-B499-5D9FB131FBE6}">
  <sheetPr codeName="Sheet2"/>
  <dimension ref="B1:AI86"/>
  <sheetViews>
    <sheetView zoomScale="85" zoomScaleNormal="85" workbookViewId="0">
      <selection activeCell="D20" sqref="D20"/>
    </sheetView>
  </sheetViews>
  <sheetFormatPr defaultColWidth="11" defaultRowHeight="15.75"/>
  <cols>
    <col min="2" max="2" width="17" customWidth="1"/>
    <col min="3" max="3" width="16.625" customWidth="1"/>
    <col min="5" max="5" width="11.375" bestFit="1" customWidth="1"/>
    <col min="7" max="7" width="10" customWidth="1"/>
    <col min="9" max="9" width="10.5" customWidth="1"/>
    <col min="12" max="12" width="16.125" customWidth="1"/>
    <col min="14" max="14" width="9.5" customWidth="1"/>
  </cols>
  <sheetData>
    <row r="1" spans="2:35">
      <c r="G1" s="8" t="s">
        <v>80</v>
      </c>
      <c r="H1" s="30" t="s">
        <v>68</v>
      </c>
      <c r="I1" s="78" t="s">
        <v>138</v>
      </c>
      <c r="J1" s="79" t="s">
        <v>25</v>
      </c>
      <c r="N1" s="20">
        <v>44074</v>
      </c>
      <c r="O1" s="20">
        <v>44075</v>
      </c>
      <c r="P1" s="20">
        <v>44105</v>
      </c>
      <c r="Q1" s="20">
        <v>44136</v>
      </c>
      <c r="R1" s="20">
        <v>44169</v>
      </c>
      <c r="S1" s="20">
        <v>44197</v>
      </c>
      <c r="T1" s="20">
        <v>44228</v>
      </c>
      <c r="U1" s="20">
        <v>44256</v>
      </c>
      <c r="V1" s="20">
        <v>44287</v>
      </c>
      <c r="W1" s="20">
        <v>44317</v>
      </c>
      <c r="X1" s="20">
        <v>44348</v>
      </c>
      <c r="Y1" s="20">
        <v>44378</v>
      </c>
      <c r="Z1" s="20">
        <v>44409</v>
      </c>
      <c r="AA1" s="20">
        <v>44440</v>
      </c>
      <c r="AB1" s="20">
        <v>44470</v>
      </c>
    </row>
    <row r="2" spans="2:35">
      <c r="F2" s="23">
        <v>44409</v>
      </c>
      <c r="G2" s="12">
        <f>IF(C8=TRUE,SUM(N$2:N$74),"****")</f>
        <v>4.72</v>
      </c>
      <c r="H2" s="12">
        <v>0</v>
      </c>
      <c r="I2" s="37">
        <f>G2-H2</f>
        <v>4.72</v>
      </c>
      <c r="J2" s="9">
        <f>COUNT(N:N)-1</f>
        <v>1</v>
      </c>
      <c r="K2" s="31"/>
      <c r="M2" s="19">
        <f>IF(Paid!E4="","",Paid!E3)</f>
        <v>44067</v>
      </c>
      <c r="N2" s="1">
        <f>IF( IF(EOMONTH($N$1,0)=EOMONTH(M2,0),Paid!C3,0)=0, "", IF(EOMONTH($N$1,0)=EOMONTH(M2,0),Paid!C3,0))</f>
        <v>4.72</v>
      </c>
      <c r="O2" s="1" t="str">
        <f>IF( IF(EOMONTH($O$1,0)=EOMONTH(M2,0),Paid!C3,0)=0, "", IF(EOMONTH($O$1,0)=EOMONTH(M2,0),Paid!C3,0))</f>
        <v/>
      </c>
      <c r="P2" s="1" t="str">
        <f>IF( ISNUMBER(SEARCH($P$1,$M$2))*Paid!C3=0,"",ISNUMBER(SEARCH($P$1,$M$2))*Paid!C3)</f>
        <v/>
      </c>
      <c r="Q2" s="1" t="str">
        <f>IF( IF(EOMONTH($Q$1,0)=EOMONTH(M2,0),Paid!C3,0)=0, "", IF(EOMONTH($Q$1,0)=EOMONTH(M2,0),Paid!C3,0))</f>
        <v/>
      </c>
      <c r="R2" s="1" t="str">
        <f>IF( IF(MONTH($R$1)=MONTH(M2),Paid!C3,0)=0, "", IF(MONTH($R$1)=MONTH(M2),Paid!C3,0))</f>
        <v/>
      </c>
      <c r="S2" s="1" t="str">
        <f>IF( IF(MONTH($S$1)=MONTH($M2),Paid!C3,0)=0, "", IF(MONTH($S$1)=MONTH($M2),Paid!C3,0))</f>
        <v/>
      </c>
      <c r="T2" s="1" t="str">
        <f>IF($M2="","",IF( IF(MONTH($T$1)=MONTH($M2),Paid!C3,0)=0,"", IF(MONTH($T$1)=MONTH($M2),Paid!C3,0)))</f>
        <v/>
      </c>
      <c r="U2" s="1" t="str">
        <f>IF($M2="","",IF( IF(MONTH($U$1)=MONTH($M2),Paid!$C3,0)=0,"", IF(MONTH($U$1)=MONTH($M2),Paid!$C3,0)))</f>
        <v/>
      </c>
      <c r="V2" s="1" t="str">
        <f>IF($M2="","",IF( IF(MONTH(V$1)=MONTH($M2),Paid!E31,0)=0,"", IF(MONTH(V$1)=MONTH($M2),Paid!$C4,0)))</f>
        <v/>
      </c>
      <c r="W2" s="1" t="str">
        <f>IF($M2="","",IF( IF(MONTH(W$1)=MONTH($M2),Paid!F31,0)=0,"", IF(MONTH(W$1)=MONTH($M2),Paid!$C4,0)))</f>
        <v/>
      </c>
      <c r="X2" s="1" t="str">
        <f>IF($M2="","",IF( IF(MONTH(X$1)=MONTH($M2),Paid!G31,0)=0,"", IF(MONTH(X$1)=MONTH($M2),Paid!$C4,0)))</f>
        <v/>
      </c>
      <c r="Y2" s="1" t="str">
        <f>IF($M2="","",IF( IF(MONTH(Y$1)=MONTH($M2),Paid!H31,0)=0,"", IF(MONTH(Y$1)=MONTH($M2),Paid!$C4,0)))</f>
        <v/>
      </c>
      <c r="Z2" s="1"/>
      <c r="AA2" s="1"/>
      <c r="AB2" s="1" t="str">
        <f>IF($M2="","",IF( IF(MONTH(AB$1)=MONTH($M2),Paid!K31,0)=0,"", IF(MONTH(AB$1)=MONTH($M2),Paid!$C4,0)))</f>
        <v/>
      </c>
      <c r="AC2" s="1"/>
      <c r="AD2" s="1"/>
      <c r="AE2" s="1"/>
      <c r="AF2" s="1"/>
      <c r="AG2" s="1"/>
      <c r="AH2" s="1"/>
      <c r="AI2" s="1"/>
    </row>
    <row r="3" spans="2:35">
      <c r="F3" s="23">
        <v>44075</v>
      </c>
      <c r="G3" s="12">
        <f>IF(C8=TRUE,SUM(O$2:O$74),"****")</f>
        <v>1.94</v>
      </c>
      <c r="H3" s="12">
        <v>0</v>
      </c>
      <c r="I3" s="37">
        <f t="shared" ref="I3:I15" si="0">G3-H3</f>
        <v>1.94</v>
      </c>
      <c r="J3" s="9">
        <f>COUNT(O$2:O$200)</f>
        <v>1</v>
      </c>
      <c r="M3" s="19">
        <f>IF(Paid!E5="","",Paid!E4)</f>
        <v>44087</v>
      </c>
      <c r="O3" s="1">
        <f>IF( IF(EOMONTH($O$1,0)=EOMONTH(M3,0),Paid!C4,0)=0, "", IF(EOMONTH($O$1,0)=EOMONTH(M3,0),Paid!C4,0))</f>
        <v>1.94</v>
      </c>
      <c r="P3" s="1" t="str">
        <f>IF( ISNUMBER(SEARCH($P$1,$M$2))*Paid!C5=0,"",ISNUMBER(SEARCH($P$1,$M$2))*Paid!C5)</f>
        <v/>
      </c>
      <c r="Q3" s="1" t="str">
        <f>IF( IF(EOMONTH($Q$1,0)=EOMONTH(M3,0),Paid!C4,0)=0, "", IF(EOMONTH($Q$1,0)=EOMONTH(M3,0),Paid!C4,0))</f>
        <v/>
      </c>
      <c r="R3" s="1" t="str">
        <f>IF( IF(MONTH($R$1)=MONTH(M3),Paid!C4,0)=0, "", IF(MONTH($R$1)=MONTH(M3),Paid!C4,0))</f>
        <v/>
      </c>
      <c r="S3" s="1" t="str">
        <f>IF( IF(MONTH($S$1)=MONTH($M3),Paid!C4,0)=0, "", IF(MONTH($S$1)=MONTH($M3),Paid!C4,0))</f>
        <v/>
      </c>
      <c r="T3" s="1" t="str">
        <f>IF($M3="","",IF( IF(MONTH($T$1)=MONTH($M3),Paid!C4,0)=0,"", IF(MONTH($T$1)=MONTH($M3),Paid!C4,0)))</f>
        <v/>
      </c>
      <c r="U3" s="1" t="str">
        <f>IF($M3="","",IF( IF(MONTH($U$1)=MONTH($M3),Paid!$C4,0)=0,"", IF(MONTH($U$1)=MONTH($M3),Paid!$C4,0)))</f>
        <v/>
      </c>
      <c r="V3" s="1" t="str">
        <f>IF($M3="","",IF( IF(MONTH(V$1)=MONTH($M3),Paid!E32,0)=0,"", IF(MONTH(V$1)=MONTH($M3),Paid!$C5,0)))</f>
        <v/>
      </c>
      <c r="W3" s="1" t="str">
        <f>IF($M3="","",IF( IF(MONTH(W$1)=MONTH($M3),Paid!F32,0)=0,"", IF(MONTH(W$1)=MONTH($M3),Paid!$C5,0)))</f>
        <v/>
      </c>
      <c r="X3" s="1" t="str">
        <f>IF($M3="","",IF( IF(MONTH(X$1)=MONTH($M3),Paid!G32,0)=0,"", IF(MONTH(X$1)=MONTH($M3),Paid!$C5,0)))</f>
        <v/>
      </c>
      <c r="Y3" s="1" t="str">
        <f>IF($M3="","",IF( IF(MONTH(Y$1)=MONTH($M3),Paid!H32,0)=0,"", IF(MONTH(Y$1)=MONTH($M3),Paid!$C5,0)))</f>
        <v/>
      </c>
      <c r="Z3" s="1"/>
      <c r="AA3" s="1"/>
      <c r="AB3" s="1" t="str">
        <f>IF($M3="","",IF( IF(MONTH(AB$1)=MONTH($M3),Paid!K32,0)=0,"", IF(MONTH(AB$1)=MONTH($M3),Paid!$C5,0)))</f>
        <v/>
      </c>
      <c r="AC3" s="1"/>
      <c r="AD3" s="1"/>
      <c r="AE3" s="1"/>
      <c r="AF3" s="1"/>
      <c r="AG3" s="1"/>
      <c r="AH3" s="1"/>
      <c r="AI3" s="1"/>
    </row>
    <row r="4" spans="2:35">
      <c r="F4" s="23">
        <v>44105</v>
      </c>
      <c r="G4" s="12">
        <f>IF(C8=TRUE,SUM(P$2:P$74),"****")</f>
        <v>0</v>
      </c>
      <c r="H4" s="12">
        <v>0</v>
      </c>
      <c r="I4" s="37">
        <f t="shared" si="0"/>
        <v>0</v>
      </c>
      <c r="J4" s="9">
        <f>COUNT(P:P)-1</f>
        <v>0</v>
      </c>
      <c r="M4" s="19">
        <f>IF(Paid!E6="","",Paid!E5)</f>
        <v>44136</v>
      </c>
      <c r="O4" s="1" t="str">
        <f>IF( IF(EOMONTH($O$1,0)=EOMONTH(M4,0),Paid!C5,0)=0, "", IF(EOMONTH($O$1,0)=EOMONTH(M4,0),Paid!C5,0))</f>
        <v/>
      </c>
      <c r="P4" s="1" t="str">
        <f>IF( ISNUMBER(SEARCH($P$1,$M$2))*Paid!C6=0,"",ISNUMBER(SEARCH($P$1,$M$2))*Paid!C6)</f>
        <v/>
      </c>
      <c r="Q4" s="1">
        <f>IF( IF(EOMONTH($Q$1,0)=EOMONTH(M4,0),Paid!C5,0)=0, "", IF(EOMONTH($Q$1,0)=EOMONTH(M4,0),Paid!C5,0))</f>
        <v>54.1</v>
      </c>
      <c r="R4" s="1" t="str">
        <f>IF( IF(MONTH($R$1)=MONTH(M4),Paid!C5,0)=0, "", IF(MONTH($R$1)=MONTH(M4),Paid!C5,0))</f>
        <v/>
      </c>
      <c r="S4" s="1" t="str">
        <f>IF( IF(MONTH($S$1)=MONTH($M4),Paid!C5,0)=0, "", IF(MONTH($S$1)=MONTH($M4),Paid!C5,0))</f>
        <v/>
      </c>
      <c r="T4" s="1" t="str">
        <f>IF($M4="","",IF( IF(MONTH($T$1)=MONTH($M4),Paid!C5,0)=0,"", IF(MONTH($T$1)=MONTH($M4),Paid!C5,0)))</f>
        <v/>
      </c>
      <c r="U4" s="1" t="str">
        <f>IF($M4="","",IF( IF(MONTH($U$1)=MONTH($M4),Paid!$C5,0)=0,"", IF(MONTH($U$1)=MONTH($M4),Paid!$C5,0)))</f>
        <v/>
      </c>
      <c r="V4" s="1" t="str">
        <f>IF($M4="","",IF( IF(MONTH(V$1)=MONTH($M4),Paid!E33,0)=0,"", IF(MONTH(V$1)=MONTH($M4),Paid!$C6,0)))</f>
        <v/>
      </c>
      <c r="W4" s="1" t="str">
        <f>IF($M4="","",IF( IF(MONTH(W$1)=MONTH($M4),Paid!F33,0)=0,"", IF(MONTH(W$1)=MONTH($M4),Paid!$C6,0)))</f>
        <v/>
      </c>
      <c r="X4" s="1" t="str">
        <f>IF($M4="","",IF( IF(MONTH(X$1)=MONTH($M4),Paid!G33,0)=0,"", IF(MONTH(X$1)=MONTH($M4),Paid!$C6,0)))</f>
        <v/>
      </c>
      <c r="Y4" s="1" t="str">
        <f>IF($M4="","",IF( IF(MONTH(Y$1)=MONTH($M4),Paid!H33,0)=0,"", IF(MONTH(Y$1)=MONTH($M4),Paid!$C6,0)))</f>
        <v/>
      </c>
      <c r="Z4" s="1" t="str">
        <f>IF($M4="","",IF( IF(MONTH(Z$1)=MONTH($M4),Paid!I33,0)=0,"", IF(MONTH(Z$1)=MONTH($M4),Paid!$C6,0)))</f>
        <v/>
      </c>
      <c r="AA4" s="1" t="str">
        <f>IF($M4="","",IF( IF(MONTH(AA$1)=MONTH($M4),Paid!J33,0)=0,"", IF(MONTH(AA$1)=MONTH($M4),Paid!$C6,0)))</f>
        <v/>
      </c>
      <c r="AB4" s="1" t="str">
        <f>IF($M4="","",IF( IF(MONTH(AB$1)=MONTH($M4),Paid!K33,0)=0,"", IF(MONTH(AB$1)=MONTH($M4),Paid!$C6,0)))</f>
        <v/>
      </c>
      <c r="AC4" s="1"/>
      <c r="AD4" s="1"/>
      <c r="AE4" s="1"/>
      <c r="AF4" s="1"/>
      <c r="AG4" s="1"/>
      <c r="AH4" s="1"/>
      <c r="AI4" s="1"/>
    </row>
    <row r="5" spans="2:35" ht="16.5" thickBot="1">
      <c r="F5" s="23">
        <v>44136</v>
      </c>
      <c r="G5" s="12">
        <f>IF(C8=TRUE,SUM(Q$2:Q$74),"****")</f>
        <v>160.23000000000002</v>
      </c>
      <c r="H5" s="12">
        <v>0</v>
      </c>
      <c r="I5" s="37">
        <f t="shared" si="0"/>
        <v>160.23000000000002</v>
      </c>
      <c r="J5" s="9">
        <f>COUNT(Q:Q)-1</f>
        <v>3</v>
      </c>
      <c r="M5" s="19">
        <f>IF(Paid!E7="","",Paid!E6)</f>
        <v>44143</v>
      </c>
      <c r="O5" s="1" t="str">
        <f>IF( IF(EOMONTH($O$1,0)=EOMONTH(M5,0),Paid!C6,0)=0, "", IF(EOMONTH($O$1,0)=EOMONTH(M5,0),Paid!C6,0))</f>
        <v/>
      </c>
      <c r="P5" s="1" t="str">
        <f>IF( ISNUMBER(SEARCH($P$1,$M$2))*Paid!C7=0,"",ISNUMBER(SEARCH($P$1,$M$2))*Paid!C7)</f>
        <v/>
      </c>
      <c r="Q5" s="1">
        <f>IF( IF(EOMONTH($Q$1,0)=EOMONTH(M5,0),Paid!C6,0)=0, "", IF(EOMONTH($Q$1,0)=EOMONTH(M5,0),Paid!C6,0))</f>
        <v>15.39</v>
      </c>
      <c r="R5" s="1" t="str">
        <f>IF( IF(MONTH($R$1)=MONTH(M5),Paid!C6,0)=0, "", IF(MONTH($R$1)=MONTH(M5),Paid!C6,0))</f>
        <v/>
      </c>
      <c r="S5" s="1" t="str">
        <f>IF( IF(MONTH($S$1)=MONTH($M5),Paid!C6,0)=0, "", IF(MONTH($S$1)=MONTH($M5),Paid!C6,0))</f>
        <v/>
      </c>
      <c r="T5" s="1" t="str">
        <f>IF($M5="","",IF( IF(MONTH($T$1)=MONTH($M5),Paid!C6,0)=0,"", IF(MONTH($T$1)=MONTH($M5),Paid!C6,0)))</f>
        <v/>
      </c>
      <c r="U5" s="1" t="str">
        <f>IF($M5="","",IF( IF(MONTH($U$1)=MONTH($M5),Paid!$C6,0)=0,"", IF(MONTH($U$1)=MONTH($M5),Paid!$C6,0)))</f>
        <v/>
      </c>
      <c r="V5" s="1" t="str">
        <f>IF($M5="","",IF( IF(MONTH(V$1)=MONTH($M5),Paid!E34,0)=0,"", IF(MONTH(V$1)=MONTH($M5),Paid!$C7,0)))</f>
        <v/>
      </c>
      <c r="W5" s="1" t="str">
        <f>IF($M5="","",IF( IF(MONTH(W$1)=MONTH($M5),Paid!F34,0)=0,"", IF(MONTH(W$1)=MONTH($M5),Paid!$C7,0)))</f>
        <v/>
      </c>
      <c r="X5" s="1" t="str">
        <f>IF($M5="","",IF( IF(MONTH(X$1)=MONTH($M5),Paid!G34,0)=0,"", IF(MONTH(X$1)=MONTH($M5),Paid!$C7,0)))</f>
        <v/>
      </c>
      <c r="Y5" s="1" t="str">
        <f>IF($M5="","",IF( IF(MONTH(Y$1)=MONTH($M5),Paid!H34,0)=0,"", IF(MONTH(Y$1)=MONTH($M5),Paid!$C7,0)))</f>
        <v/>
      </c>
      <c r="Z5" s="1" t="str">
        <f>IF($M5="","",IF( IF(MONTH(Z$1)=MONTH($M5),Paid!I34,0)=0,"", IF(MONTH(Z$1)=MONTH($M5),Paid!$C7,0)))</f>
        <v/>
      </c>
      <c r="AA5" s="1" t="str">
        <f>IF($M5="","",IF( IF(MONTH(AA$1)=MONTH($M5),Paid!J34,0)=0,"", IF(MONTH(AA$1)=MONTH($M5),Paid!$C7,0)))</f>
        <v/>
      </c>
      <c r="AB5" s="1" t="str">
        <f>IF($M5="","",IF( IF(MONTH(AB$1)=MONTH($M5),Paid!K34,0)=0,"", IF(MONTH(AB$1)=MONTH($M5),Paid!$C7,0)))</f>
        <v/>
      </c>
      <c r="AC5" s="1"/>
      <c r="AD5" s="1"/>
      <c r="AE5" s="1"/>
      <c r="AF5" s="1"/>
      <c r="AG5" s="1"/>
      <c r="AH5" s="1"/>
      <c r="AI5" s="1"/>
    </row>
    <row r="6" spans="2:35" ht="15.95" customHeight="1">
      <c r="B6" s="86" t="s">
        <v>69</v>
      </c>
      <c r="C6" s="151">
        <f>IF(C8=TRUE,(SUM(Paid!C:C)-SUM(H2:H100)),"*******")</f>
        <v>586.70000000000039</v>
      </c>
      <c r="F6" s="23">
        <v>44166</v>
      </c>
      <c r="G6" s="12">
        <f>IF(C8=TRUE,SUM(R$2:R$74),"****")</f>
        <v>130.63999999999999</v>
      </c>
      <c r="I6" s="37">
        <f>G6-H7</f>
        <v>49.659999999999982</v>
      </c>
      <c r="J6" s="9">
        <f>COUNT(R$2:R$100)</f>
        <v>10</v>
      </c>
      <c r="M6" s="19">
        <f>IF(Paid!E8="","",Paid!E7)</f>
        <v>44142</v>
      </c>
      <c r="O6" s="1" t="str">
        <f>IF( IF(EOMONTH($O$1,0)=EOMONTH(M6,0),Paid!C7,0)=0, "", IF(EOMONTH($O$1,0)=EOMONTH(M6,0),Paid!C7,0))</f>
        <v/>
      </c>
      <c r="P6" s="1" t="str">
        <f>IF( ISNUMBER(SEARCH($P$1,$M$2))*Paid!C8=0,"",ISNUMBER(SEARCH($P$1,$M$2))*Paid!C8)</f>
        <v/>
      </c>
      <c r="Q6" s="1">
        <f>IF( IF(EOMONTH($Q$1,0)=EOMONTH(M6,0),Paid!C7,0)=0, "", IF(EOMONTH($Q$1,0)=EOMONTH(M6,0),Paid!C7,0))</f>
        <v>90.74</v>
      </c>
      <c r="R6" s="1" t="str">
        <f>IF( IF(MONTH($R$1)=MONTH(M6),Paid!C7,0)=0, "", IF(MONTH($R$1)=MONTH(M6),Paid!C7,0))</f>
        <v/>
      </c>
      <c r="S6" s="1" t="str">
        <f>IF( IF(MONTH($S$1)=MONTH($M6),Paid!C7,0)=0, "", IF(MONTH($S$1)=MONTH($M6),Paid!C7,0))</f>
        <v/>
      </c>
      <c r="T6" s="1" t="str">
        <f>IF($M6="","",IF( IF(MONTH($T$1)=MONTH($M6),Paid!C7,0)=0,"", IF(MONTH($T$1)=MONTH($M6),Paid!C7,0)))</f>
        <v/>
      </c>
      <c r="U6" s="1" t="str">
        <f>IF($M6="","",IF( IF(MONTH($U$1)=MONTH($M6),Paid!$C7,0)=0,"", IF(MONTH($U$1)=MONTH($M6),Paid!$C7,0)))</f>
        <v/>
      </c>
      <c r="V6" s="1" t="str">
        <f>IF($M6="","",IF( IF(MONTH(V$1)=MONTH($M6),Paid!E35,0)=0,"", IF(MONTH(V$1)=MONTH($M6),Paid!$C8,0)))</f>
        <v/>
      </c>
      <c r="W6" s="1" t="str">
        <f>IF($M6="","",IF( IF(MONTH(W$1)=MONTH($M6),Paid!F35,0)=0,"", IF(MONTH(W$1)=MONTH($M6),Paid!$C8,0)))</f>
        <v/>
      </c>
      <c r="X6" s="1" t="str">
        <f>IF($M6="","",IF( IF(MONTH(X$1)=MONTH($M6),Paid!G35,0)=0,"", IF(MONTH(X$1)=MONTH($M6),Paid!$C8,0)))</f>
        <v/>
      </c>
      <c r="Y6" s="1" t="str">
        <f>IF($M6="","",IF( IF(MONTH(Y$1)=MONTH($M6),Paid!H35,0)=0,"", IF(MONTH(Y$1)=MONTH($M6),Paid!$C8,0)))</f>
        <v/>
      </c>
      <c r="Z6" s="1" t="str">
        <f>IF($M6="","",IF( IF(MONTH(Z$1)=MONTH($M6),Paid!I35,0)=0,"", IF(MONTH(Z$1)=MONTH($M6),Paid!$C8,0)))</f>
        <v/>
      </c>
      <c r="AA6" s="1" t="str">
        <f>IF($M6="","",IF( IF(MONTH(AA$1)=MONTH($M6),Paid!J35,0)=0,"", IF(MONTH(AA$1)=MONTH($M6),Paid!$C8,0)))</f>
        <v/>
      </c>
      <c r="AB6" s="1" t="str">
        <f>IF($M6="","",IF( IF(MONTH(AB$1)=MONTH($M6),Paid!K35,0)=0,"", IF(MONTH(AB$1)=MONTH($M6),Paid!$C8,0)))</f>
        <v/>
      </c>
      <c r="AC6" s="1"/>
      <c r="AD6" s="1"/>
      <c r="AE6" s="1"/>
      <c r="AF6" s="1"/>
      <c r="AG6" s="1"/>
      <c r="AH6" s="1"/>
      <c r="AI6" s="1"/>
    </row>
    <row r="7" spans="2:35" ht="15.95" customHeight="1" thickBot="1">
      <c r="B7" s="87" t="s">
        <v>74</v>
      </c>
      <c r="C7" s="88">
        <f>IF(C6="*******","please enable me",C6/C23)</f>
        <v>0.79419956812437331</v>
      </c>
      <c r="F7" s="23">
        <v>44197</v>
      </c>
      <c r="G7" s="12">
        <f>IF(C8=TRUE,SUM(S$2:S$74),"****")</f>
        <v>301.2</v>
      </c>
      <c r="H7" s="12">
        <f>Refund!K3</f>
        <v>80.98</v>
      </c>
      <c r="I7" s="37">
        <f>G7-H7</f>
        <v>220.21999999999997</v>
      </c>
      <c r="J7" s="9">
        <f>COUNT(S:S)-1</f>
        <v>15</v>
      </c>
      <c r="M7" s="19">
        <f>IF(Paid!E9="","",Paid!E8)</f>
        <v>44169</v>
      </c>
      <c r="O7" s="1" t="str">
        <f>IF( IF(EOMONTH($O$1,0)=EOMONTH(M7,0),Paid!C8,0)=0, "", IF(EOMONTH($O$1,0)=EOMONTH(M7,0),Paid!C8,0))</f>
        <v/>
      </c>
      <c r="P7" s="1" t="str">
        <f>IF( ISNUMBER(SEARCH($P$1,$M$2))*Paid!C9=0,"",ISNUMBER(SEARCH($P$1,$M$2))*Paid!C9)</f>
        <v/>
      </c>
      <c r="Q7" s="1" t="str">
        <f>IF( IF(EOMONTH($Q$1,0)=EOMONTH(M7,0),Paid!C8,0)=0, "", IF(EOMONTH($Q$1,0)=EOMONTH(M7,0),Paid!C8,0))</f>
        <v/>
      </c>
      <c r="R7" s="1">
        <f>IF( IF(MONTH($R$1)=MONTH(M7),Paid!C8,0)=0, "", IF(MONTH($R$1)=MONTH(M7),Paid!C8,0))</f>
        <v>54.9</v>
      </c>
      <c r="S7" s="1" t="str">
        <f>IF( IF(MONTH($S$1)=MONTH($M7),Paid!C8,0)=0, "", IF(MONTH($S$1)=MONTH($M7),Paid!C8,0))</f>
        <v/>
      </c>
      <c r="T7" s="1" t="str">
        <f>IF($M7="","",IF( IF(MONTH($T$1)=MONTH($M7),Paid!C8,0)=0,"", IF(MONTH($T$1)=MONTH($M7),Paid!C8,0)))</f>
        <v/>
      </c>
      <c r="U7" s="1" t="str">
        <f>IF($M7="","",IF( IF(MONTH($U$1)=MONTH($M7),Paid!$C8,0)=0,"", IF(MONTH($U$1)=MONTH($M7),Paid!$C8,0)))</f>
        <v/>
      </c>
      <c r="V7" s="1" t="str">
        <f>IF($M7="","",IF( IF(MONTH(V$1)=MONTH($M7),Paid!E36,0)=0,"", IF(MONTH(V$1)=MONTH($M7),Paid!$C9,0)))</f>
        <v/>
      </c>
      <c r="W7" s="1" t="str">
        <f>IF($M7="","",IF( IF(MONTH(W$1)=MONTH($M7),Paid!F36,0)=0,"", IF(MONTH(W$1)=MONTH($M7),Paid!$C9,0)))</f>
        <v/>
      </c>
      <c r="X7" s="1" t="str">
        <f>IF($M7="","",IF( IF(MONTH(X$1)=MONTH($M7),Paid!G36,0)=0,"", IF(MONTH(X$1)=MONTH($M7),Paid!$C9,0)))</f>
        <v/>
      </c>
      <c r="Y7" s="1" t="str">
        <f>IF($M7="","",IF( IF(MONTH(Y$1)=MONTH($M7),Paid!H36,0)=0,"", IF(MONTH(Y$1)=MONTH($M7),Paid!$C9,0)))</f>
        <v/>
      </c>
      <c r="Z7" s="1" t="str">
        <f>IF($M7="","",IF( IF(MONTH(Z$1)=MONTH($M7),Paid!I36,0)=0,"", IF(MONTH(Z$1)=MONTH($M7),Paid!$C9,0)))</f>
        <v/>
      </c>
      <c r="AA7" s="1" t="str">
        <f>IF($M7="","",IF( IF(MONTH(AA$1)=MONTH($M7),Paid!J36,0)=0,"", IF(MONTH(AA$1)=MONTH($M7),Paid!$C9,0)))</f>
        <v/>
      </c>
      <c r="AB7" s="1" t="str">
        <f>IF($M7="","",IF( IF(MONTH(AB$1)=MONTH($M7),Paid!K36,0)=0,"", IF(MONTH(AB$1)=MONTH($M7),Paid!$C9,0)))</f>
        <v/>
      </c>
      <c r="AC7" s="1"/>
      <c r="AD7" s="1"/>
      <c r="AE7" s="1"/>
      <c r="AF7" s="1"/>
      <c r="AG7" s="1"/>
      <c r="AH7" s="1"/>
      <c r="AI7" s="1"/>
    </row>
    <row r="8" spans="2:35">
      <c r="C8" t="b">
        <v>1</v>
      </c>
      <c r="F8" s="23">
        <v>44228</v>
      </c>
      <c r="G8" s="12">
        <f>IF(C8=TRUE,SUM(T$2:T$74),"****")</f>
        <v>71.72999999999999</v>
      </c>
      <c r="H8" s="12">
        <f>Refund!K4</f>
        <v>66.599999999999994</v>
      </c>
      <c r="I8" s="37">
        <f>G8-H8</f>
        <v>5.1299999999999955</v>
      </c>
      <c r="J8" s="9">
        <f>COUNT(T:T)-1</f>
        <v>17</v>
      </c>
      <c r="M8" s="19">
        <f>IF(Paid!E10="","",Paid!E9)</f>
        <v>44170</v>
      </c>
      <c r="O8" s="1" t="str">
        <f>IF( IF(EOMONTH($O$1,0)=EOMONTH(M8,0),Paid!C9,0)=0, "", IF(EOMONTH($O$1,0)=EOMONTH(M8,0),Paid!C9,0))</f>
        <v/>
      </c>
      <c r="P8" s="1" t="str">
        <f>IF( ISNUMBER(SEARCH($P$1,$M$2))*Paid!C10=0,"",ISNUMBER(SEARCH($P$1,$M$2))*Paid!C10)</f>
        <v/>
      </c>
      <c r="Q8" s="1" t="str">
        <f>IF( IF(EOMONTH($Q$1,0)=EOMONTH(M8,0),Paid!C9,0)=0, "", IF(EOMONTH($Q$1,0)=EOMONTH(M8,0),Paid!C9,0))</f>
        <v/>
      </c>
      <c r="R8" s="1">
        <f>IF( IF(MONTH($R$1)=MONTH(M8),Paid!C9,0)=0, "", IF(MONTH($R$1)=MONTH(M8),Paid!C9,0))</f>
        <v>3.4</v>
      </c>
      <c r="S8" s="1" t="str">
        <f>IF( IF(MONTH($S$1)=MONTH($M8),Paid!C9,0)=0, "", IF(MONTH($S$1)=MONTH($M8),Paid!C9,0))</f>
        <v/>
      </c>
      <c r="T8" s="1" t="str">
        <f>IF($M8="","",IF( IF(MONTH($T$1)=MONTH($M8),Paid!C9,0)=0,"", IF(MONTH($T$1)=MONTH($M8),Paid!C9,0)))</f>
        <v/>
      </c>
      <c r="U8" s="1" t="str">
        <f>IF($M8="","",IF( IF(MONTH($U$1)=MONTH($M8),Paid!$C9,0)=0,"", IF(MONTH($U$1)=MONTH($M8),Paid!$C9,0)))</f>
        <v/>
      </c>
      <c r="V8" s="1" t="str">
        <f>IF($M8="","",IF( IF(MONTH(V$1)=MONTH($M8),Paid!#REF!,0)=0,"", IF(MONTH(V$1)=MONTH($M8),Paid!$C10,0)))</f>
        <v/>
      </c>
      <c r="W8" s="1" t="str">
        <f>IF($M8="","",IF( IF(MONTH(W$1)=MONTH($M8),Paid!#REF!,0)=0,"", IF(MONTH(W$1)=MONTH($M8),Paid!$C10,0)))</f>
        <v/>
      </c>
      <c r="X8" s="1" t="str">
        <f>IF($M8="","",IF( IF(MONTH(X$1)=MONTH($M8),Paid!#REF!,0)=0,"", IF(MONTH(X$1)=MONTH($M8),Paid!$C10,0)))</f>
        <v/>
      </c>
      <c r="Y8" s="1" t="str">
        <f>IF($M8="","",IF( IF(MONTH(Y$1)=MONTH($M8),Paid!#REF!,0)=0,"", IF(MONTH(Y$1)=MONTH($M8),Paid!$C10,0)))</f>
        <v/>
      </c>
      <c r="Z8" s="1" t="str">
        <f>IF($M8="","",IF( IF(MONTH(Z$1)=MONTH($M8),Paid!#REF!,0)=0,"", IF(MONTH(Z$1)=MONTH($M8),Paid!$C10,0)))</f>
        <v/>
      </c>
      <c r="AA8" s="1" t="str">
        <f>IF($M8="","",IF( IF(MONTH(AA$1)=MONTH($M8),Paid!#REF!,0)=0,"", IF(MONTH(AA$1)=MONTH($M8),Paid!$C10,0)))</f>
        <v/>
      </c>
      <c r="AB8" s="1" t="str">
        <f>IF($M8="","",IF( IF(MONTH(AB$1)=MONTH($M8),Paid!#REF!,0)=0,"", IF(MONTH(AB$1)=MONTH($M8),Paid!$C10,0)))</f>
        <v/>
      </c>
      <c r="AC8" s="1"/>
      <c r="AD8" s="1"/>
      <c r="AE8" s="1"/>
      <c r="AF8" s="1"/>
      <c r="AG8" s="1"/>
      <c r="AH8" s="1"/>
      <c r="AI8" s="1"/>
    </row>
    <row r="9" spans="2:35">
      <c r="F9" s="23">
        <v>44256</v>
      </c>
      <c r="G9" s="12">
        <f>IF(C8=TRUE,SUM(U$2:U$74),"****")</f>
        <v>75.55</v>
      </c>
      <c r="H9" s="12">
        <f>Refund!K5</f>
        <v>11.73</v>
      </c>
      <c r="I9" s="37">
        <f t="shared" si="0"/>
        <v>63.819999999999993</v>
      </c>
      <c r="J9" s="9">
        <f>COUNT(U:U)-1</f>
        <v>12</v>
      </c>
      <c r="M9" s="19">
        <f>IF(Paid!E11="","",Paid!E10)</f>
        <v>44170</v>
      </c>
      <c r="O9" s="1" t="str">
        <f>IF( IF(EOMONTH($O$1,0)=EOMONTH(M9,0),Paid!C10,0)=0, "", IF(EOMONTH($O$1,0)=EOMONTH(M9,0),Paid!C10,0))</f>
        <v/>
      </c>
      <c r="P9" s="1" t="str">
        <f>IF( ISNUMBER(SEARCH($P$1,$M$2))*Paid!C11=0,"",ISNUMBER(SEARCH($P$1,$M$2))*Paid!C11)</f>
        <v/>
      </c>
      <c r="Q9" s="1" t="str">
        <f>IF( IF(EOMONTH($Q$1,0)=EOMONTH(M9,0),Paid!C10,0)=0, "", IF(EOMONTH($Q$1,0)=EOMONTH(M9,0),Paid!C10,0))</f>
        <v/>
      </c>
      <c r="R9" s="1">
        <f>IF( IF(MONTH($R$1)=MONTH(M9),Paid!C10,0)=0, "", IF(MONTH($R$1)=MONTH(M9),Paid!C10,0))</f>
        <v>8.9499999999999993</v>
      </c>
      <c r="S9" s="1" t="str">
        <f>IF( IF(MONTH($S$1)=MONTH($M9),Paid!C10,0)=0, "", IF(MONTH($S$1)=MONTH($M9),Paid!C10,0))</f>
        <v/>
      </c>
      <c r="T9" s="1" t="str">
        <f>IF($M9="","",IF( IF(MONTH($T$1)=MONTH($M9),Paid!C10,0)=0,"", IF(MONTH($T$1)=MONTH($M9),Paid!C10,0)))</f>
        <v/>
      </c>
      <c r="U9" s="1" t="str">
        <f>IF($M9="","",IF( IF(MONTH($U$1)=MONTH($M9),Paid!$C10,0)=0,"", IF(MONTH($U$1)=MONTH($M9),Paid!$C10,0)))</f>
        <v/>
      </c>
      <c r="V9" s="1" t="str">
        <f>IF($M9="","",IF( IF(MONTH(V$1)=MONTH($M9),Paid!E37,0)=0,"", IF(MONTH(V$1)=MONTH($M9),Paid!$C11,0)))</f>
        <v/>
      </c>
      <c r="W9" s="1" t="str">
        <f>IF($M9="","",IF( IF(MONTH(W$1)=MONTH($M9),Paid!F37,0)=0,"", IF(MONTH(W$1)=MONTH($M9),Paid!$C11,0)))</f>
        <v/>
      </c>
      <c r="X9" s="1" t="str">
        <f>IF($M9="","",IF( IF(MONTH(X$1)=MONTH($M9),Paid!G37,0)=0,"", IF(MONTH(X$1)=MONTH($M9),Paid!$C11,0)))</f>
        <v/>
      </c>
      <c r="Y9" s="1" t="str">
        <f>IF($M9="","",IF( IF(MONTH(Y$1)=MONTH($M9),Paid!H37,0)=0,"", IF(MONTH(Y$1)=MONTH($M9),Paid!$C11,0)))</f>
        <v/>
      </c>
      <c r="Z9" s="1" t="str">
        <f>IF($M9="","",IF( IF(MONTH(Z$1)=MONTH($M9),Paid!I37,0)=0,"", IF(MONTH(Z$1)=MONTH($M9),Paid!$C11,0)))</f>
        <v/>
      </c>
      <c r="AA9" s="1" t="str">
        <f>IF($M9="","",IF( IF(MONTH(AA$1)=MONTH($M9),Paid!J37,0)=0,"", IF(MONTH(AA$1)=MONTH($M9),Paid!$C11,0)))</f>
        <v/>
      </c>
      <c r="AB9" s="1" t="str">
        <f>IF($M9="","",IF( IF(MONTH(AB$1)=MONTH($M9),Paid!K37,0)=0,"", IF(MONTH(AB$1)=MONTH($M9),Paid!$C11,0)))</f>
        <v/>
      </c>
      <c r="AC9" s="1"/>
      <c r="AD9" s="1"/>
      <c r="AE9" s="1"/>
      <c r="AF9" s="1"/>
      <c r="AG9" s="1"/>
      <c r="AH9" s="1"/>
      <c r="AI9" s="1"/>
    </row>
    <row r="10" spans="2:35">
      <c r="F10" s="23">
        <v>44287</v>
      </c>
      <c r="G10" s="12">
        <f>IF(C8=TRUE,SUM(V$2:V$74),"****")</f>
        <v>0</v>
      </c>
      <c r="H10" s="12">
        <v>0</v>
      </c>
      <c r="I10" s="37">
        <f t="shared" si="0"/>
        <v>0</v>
      </c>
      <c r="J10" s="9">
        <f>COUNT(V:V)-1</f>
        <v>0</v>
      </c>
      <c r="M10" s="19">
        <f>IF(Paid!E12="","",Paid!E11)</f>
        <v>44170</v>
      </c>
      <c r="O10" s="1" t="str">
        <f>IF( IF(EOMONTH($O$1,0)=EOMONTH(M10,0),Paid!C11,0)=0, "", IF(EOMONTH($O$1,0)=EOMONTH(M10,0),Paid!C11,0))</f>
        <v/>
      </c>
      <c r="P10" s="1" t="str">
        <f>IF( ISNUMBER(SEARCH($P$1,$M$2))*Paid!C12=0,"",ISNUMBER(SEARCH($P$1,$M$2))*Paid!C12)</f>
        <v/>
      </c>
      <c r="Q10" s="1" t="str">
        <f>IF( IF(EOMONTH($Q$1,0)=EOMONTH(M10,0),Paid!C11,0)=0, "", IF(EOMONTH($Q$1,0)=EOMONTH(M10,0),Paid!C11,0))</f>
        <v/>
      </c>
      <c r="R10" s="1">
        <f>IF( IF(MONTH($R$1)=MONTH(M10),Paid!C11,0)=0, "", IF(MONTH($R$1)=MONTH(M10),Paid!C11,0))</f>
        <v>6.12</v>
      </c>
      <c r="S10" s="1" t="str">
        <f>IF( IF(MONTH($S$1)=MONTH($M10),Paid!C11,0)=0, "", IF(MONTH($S$1)=MONTH($M10),Paid!C11,0))</f>
        <v/>
      </c>
      <c r="T10" s="1" t="str">
        <f>IF($M10="","",IF( IF(MONTH($T$1)=MONTH($M10),Paid!C11,0)=0,"", IF(MONTH($T$1)=MONTH($M10),Paid!C11,0)))</f>
        <v/>
      </c>
      <c r="U10" s="1" t="str">
        <f>IF($M10="","",IF( IF(MONTH($U$1)=MONTH($M10),Paid!$C11,0)=0,"", IF(MONTH($U$1)=MONTH($M10),Paid!$C11,0)))</f>
        <v/>
      </c>
      <c r="V10" s="1" t="str">
        <f>IF($M10="","",IF( IF(MONTH(V$1)=MONTH($M10),Paid!E38,0)=0,"", IF(MONTH(V$1)=MONTH($M10),Paid!$C12,0)))</f>
        <v/>
      </c>
      <c r="W10" s="1" t="str">
        <f>IF($M10="","",IF( IF(MONTH(W$1)=MONTH($M10),Paid!F38,0)=0,"", IF(MONTH(W$1)=MONTH($M10),Paid!$C12,0)))</f>
        <v/>
      </c>
      <c r="X10" s="1" t="str">
        <f>IF($M10="","",IF( IF(MONTH(X$1)=MONTH($M10),Paid!G38,0)=0,"", IF(MONTH(X$1)=MONTH($M10),Paid!$C12,0)))</f>
        <v/>
      </c>
      <c r="Y10" s="1" t="str">
        <f>IF($M10="","",IF( IF(MONTH(Y$1)=MONTH($M10),Paid!H38,0)=0,"", IF(MONTH(Y$1)=MONTH($M10),Paid!$C12,0)))</f>
        <v/>
      </c>
      <c r="Z10" s="1" t="str">
        <f>IF($M10="","",IF( IF(MONTH(Z$1)=MONTH($M10),Paid!I38,0)=0,"", IF(MONTH(Z$1)=MONTH($M10),Paid!$C12,0)))</f>
        <v/>
      </c>
      <c r="AA10" s="1" t="str">
        <f>IF($M10="","",IF( IF(MONTH(AA$1)=MONTH($M10),Paid!J38,0)=0,"", IF(MONTH(AA$1)=MONTH($M10),Paid!$C12,0)))</f>
        <v/>
      </c>
      <c r="AB10" s="1" t="str">
        <f>IF($M10="","",IF( IF(MONTH(AB$1)=MONTH($M10),Paid!K38,0)=0,"", IF(MONTH(AB$1)=MONTH($M10),Paid!$C12,0)))</f>
        <v/>
      </c>
      <c r="AC10" s="1"/>
      <c r="AD10" s="1"/>
      <c r="AE10" s="1"/>
      <c r="AF10" s="1"/>
      <c r="AG10" s="1"/>
      <c r="AH10" s="1"/>
      <c r="AI10" s="1"/>
    </row>
    <row r="11" spans="2:35" ht="16.5" thickBot="1">
      <c r="F11" s="23">
        <v>44317</v>
      </c>
      <c r="G11" s="12">
        <f>IF(C8=TRUE,SUM(W$2:W$74),"****")</f>
        <v>0</v>
      </c>
      <c r="H11" s="12">
        <v>0</v>
      </c>
      <c r="I11" s="37">
        <f t="shared" si="0"/>
        <v>0</v>
      </c>
      <c r="J11" s="9">
        <f>COUNT(W$2:W$24)</f>
        <v>0</v>
      </c>
      <c r="M11" s="19">
        <f>IF(Paid!E13="","",Paid!E12)</f>
        <v>44171</v>
      </c>
      <c r="O11" s="1" t="str">
        <f>IF( IF(EOMONTH($O$1,0)=EOMONTH(M11,0),Paid!C12,0)=0, "", IF(EOMONTH($O$1,0)=EOMONTH(M11,0),Paid!C12,0))</f>
        <v/>
      </c>
      <c r="P11" s="1" t="str">
        <f>IF( ISNUMBER(SEARCH($P$1,$M$2))*Paid!C13=0,"",ISNUMBER(SEARCH($P$1,$M$2))*Paid!C13)</f>
        <v/>
      </c>
      <c r="Q11" s="1" t="str">
        <f>IF( IF(EOMONTH($Q$1,0)=EOMONTH(M11,0),Paid!C12,0)=0, "", IF(EOMONTH($Q$1,0)=EOMONTH(M11,0),Paid!C12,0))</f>
        <v/>
      </c>
      <c r="R11" s="1">
        <f>IF( IF(MONTH($R$1)=MONTH(M11),Paid!C12,0)=0, "", IF(MONTH($R$1)=MONTH(M11),Paid!C12,0))</f>
        <v>2.6</v>
      </c>
      <c r="S11" s="1" t="str">
        <f>IF( IF(MONTH($S$1)=MONTH($M11),Paid!C12,0)=0, "", IF(MONTH($S$1)=MONTH($M11),Paid!C12,0))</f>
        <v/>
      </c>
      <c r="T11" s="1" t="str">
        <f>IF($M11="","",IF( IF(MONTH($T$1)=MONTH($M11),Paid!C12,0)=0,"", IF(MONTH($T$1)=MONTH($M11),Paid!C12,0)))</f>
        <v/>
      </c>
      <c r="U11" s="1" t="str">
        <f>IF($M11="","",IF( IF(MONTH($U$1)=MONTH($M11),Paid!$C12,0)=0,"", IF(MONTH($U$1)=MONTH($M11),Paid!$C12,0)))</f>
        <v/>
      </c>
      <c r="V11" s="1" t="str">
        <f>IF($M11="","",IF( IF(MONTH(V$1)=MONTH($M11),Paid!E40,0)=0,"", IF(MONTH(V$1)=MONTH($M11),Paid!$C13,0)))</f>
        <v/>
      </c>
      <c r="W11" s="1" t="str">
        <f>IF($M11="","",IF( IF(MONTH(W$1)=MONTH($M11),Paid!F40,0)=0,"", IF(MONTH(W$1)=MONTH($M11),Paid!$C13,0)))</f>
        <v/>
      </c>
      <c r="X11" s="1" t="str">
        <f>IF($M11="","",IF( IF(MONTH(X$1)=MONTH($M11),Paid!G40,0)=0,"", IF(MONTH(X$1)=MONTH($M11),Paid!$C13,0)))</f>
        <v/>
      </c>
      <c r="Y11" s="1" t="str">
        <f>IF($M11="","",IF( IF(MONTH(Y$1)=MONTH($M11),Paid!H40,0)=0,"", IF(MONTH(Y$1)=MONTH($M11),Paid!$C13,0)))</f>
        <v/>
      </c>
      <c r="Z11" s="1" t="str">
        <f>IF($M11="","",IF( IF(MONTH(Z$1)=MONTH($M11),Paid!I40,0)=0,"", IF(MONTH(Z$1)=MONTH($M11),Paid!$C13,0)))</f>
        <v/>
      </c>
      <c r="AA11" s="1" t="str">
        <f>IF($M11="","",IF( IF(MONTH(AA$1)=MONTH($M11),Paid!J40,0)=0,"", IF(MONTH(AA$1)=MONTH($M11),Paid!$C13,0)))</f>
        <v/>
      </c>
      <c r="AB11" s="1" t="str">
        <f>IF($M11="","",IF( IF(MONTH(AB$1)=MONTH($M11),Paid!K40,0)=0,"", IF(MONTH(AB$1)=MONTH($M11),Paid!$C13,0)))</f>
        <v/>
      </c>
      <c r="AC11" s="1"/>
      <c r="AD11" s="1"/>
      <c r="AE11" s="1"/>
      <c r="AF11" s="1"/>
      <c r="AG11" s="1"/>
      <c r="AH11" s="1"/>
      <c r="AI11" s="1"/>
    </row>
    <row r="12" spans="2:35">
      <c r="B12" s="70" t="s">
        <v>44</v>
      </c>
      <c r="C12" s="201" t="str">
        <f>DATEDIF(C13,C14,"m")+1&amp;" Months "</f>
        <v xml:space="preserve">5 Months </v>
      </c>
      <c r="F12" s="23">
        <v>44348</v>
      </c>
      <c r="G12" s="12">
        <f>IF(C8=TRUE,SUM(X$2:X$74),"****")</f>
        <v>0</v>
      </c>
      <c r="H12" s="12">
        <v>0</v>
      </c>
      <c r="I12" s="37">
        <f t="shared" si="0"/>
        <v>0</v>
      </c>
      <c r="J12" s="9">
        <f>COUNT(X$2:X$24)</f>
        <v>0</v>
      </c>
      <c r="M12" s="19">
        <f>IF(Paid!E14="","",Paid!E13)</f>
        <v>44172</v>
      </c>
      <c r="O12" s="1" t="str">
        <f>IF( IF(EOMONTH($O$1,0)=EOMONTH(M12,0),Paid!C14,0)=0, "", IF(EOMONTH($O$1,0)=EOMONTH(M12,0),Paid!C14,0))</f>
        <v/>
      </c>
      <c r="P12" s="1" t="str">
        <f>IF( ISNUMBER(SEARCH($P$1,$M$2))*Paid!C14=0,"",ISNUMBER(SEARCH($P$1,$M$2))*Paid!C14)</f>
        <v/>
      </c>
      <c r="Q12" s="1" t="str">
        <f>IF( IF(EOMONTH($Q$1,0)=EOMONTH(M12,0),Paid!C13,0)=0, "", IF(EOMONTH($Q$1,0)=EOMONTH(M12,0),Paid!C13,0))</f>
        <v/>
      </c>
      <c r="R12" s="1">
        <f>IF( IF(MONTH($R$1)=MONTH(M12),Paid!C13,0)=0, "", IF(MONTH($R$1)=MONTH(M12),Paid!C13,0))</f>
        <v>3.34</v>
      </c>
      <c r="S12" s="1" t="str">
        <f>IF( IF(MONTH($S$1)=MONTH($M12),Paid!C13,0)=0, "", IF(MONTH($S$1)=MONTH($M12),Paid!C13,0))</f>
        <v/>
      </c>
      <c r="T12" s="1" t="str">
        <f>IF($M12="","",IF( IF(MONTH($T$1)=MONTH($M12),Paid!C13,0)=0,"", IF(MONTH($T$1)=MONTH($M12),Paid!C13,0)))</f>
        <v/>
      </c>
      <c r="U12" s="1" t="str">
        <f>IF($M12="","",IF( IF(MONTH($U$1)=MONTH($M12),Paid!$C13,0)=0,"", IF(MONTH($U$1)=MONTH($M12),Paid!$C13,0)))</f>
        <v/>
      </c>
      <c r="V12" s="1" t="str">
        <f>IF($M12="","",IF( IF(MONTH(V$1)=MONTH($M12),Paid!E41,0)=0,"", IF(MONTH(V$1)=MONTH($M12),Paid!$C14,0)))</f>
        <v/>
      </c>
      <c r="W12" s="1" t="str">
        <f>IF($M12="","",IF( IF(MONTH(W$1)=MONTH($M12),Paid!F41,0)=0,"", IF(MONTH(W$1)=MONTH($M12),Paid!$C14,0)))</f>
        <v/>
      </c>
      <c r="X12" s="1" t="str">
        <f>IF($M12="","",IF( IF(MONTH(X$1)=MONTH($M12),Paid!G41,0)=0,"", IF(MONTH(X$1)=MONTH($M12),Paid!$C14,0)))</f>
        <v/>
      </c>
      <c r="Y12" s="1" t="str">
        <f>IF($M12="","",IF( IF(MONTH(Y$1)=MONTH($M12),Paid!H41,0)=0,"", IF(MONTH(Y$1)=MONTH($M12),Paid!$C14,0)))</f>
        <v/>
      </c>
      <c r="Z12" s="1" t="str">
        <f>IF($M12="","",IF( IF(MONTH(Z$1)=MONTH($M12),Paid!I41,0)=0,"", IF(MONTH(Z$1)=MONTH($M12),Paid!$C14,0)))</f>
        <v/>
      </c>
      <c r="AA12" s="1" t="str">
        <f>IF($M12="","",IF( IF(MONTH(AA$1)=MONTH($M12),Paid!J41,0)=0,"", IF(MONTH(AA$1)=MONTH($M12),Paid!$C14,0)))</f>
        <v/>
      </c>
      <c r="AB12" s="1" t="str">
        <f>IF($M12="","",IF( IF(MONTH(AB$1)=MONTH($M12),Paid!K41,0)=0,"", IF(MONTH(AB$1)=MONTH($M12),Paid!$C14,0)))</f>
        <v/>
      </c>
      <c r="AC12" s="1"/>
      <c r="AD12" s="1"/>
      <c r="AE12" s="1"/>
      <c r="AF12" s="1"/>
      <c r="AG12" s="1"/>
      <c r="AH12" s="1"/>
      <c r="AI12" s="1"/>
    </row>
    <row r="13" spans="2:35">
      <c r="B13" s="71" t="s">
        <v>42</v>
      </c>
      <c r="C13" s="72">
        <f>Paid!E5</f>
        <v>44136</v>
      </c>
      <c r="D13" s="200"/>
      <c r="F13" s="23">
        <v>44378</v>
      </c>
      <c r="G13" s="12">
        <f>IF(C8=TRUE,SUM(X$2:X$74),"****")</f>
        <v>0</v>
      </c>
      <c r="H13" s="12">
        <v>0</v>
      </c>
      <c r="I13" s="37">
        <f t="shared" si="0"/>
        <v>0</v>
      </c>
      <c r="J13" s="9">
        <f>COUNT(Y$2:Y$24)</f>
        <v>0</v>
      </c>
      <c r="M13" s="19">
        <f>IF(Paid!E15="","",Paid!E14)</f>
        <v>44172</v>
      </c>
      <c r="O13" s="1" t="str">
        <f>IF( IF(EOMONTH($O$1,0)=EOMONTH(M13,0),Paid!C15,0)=0, "", IF(EOMONTH($O$1,0)=EOMONTH(M13,0),Paid!C15,0))</f>
        <v/>
      </c>
      <c r="P13" s="1" t="str">
        <f>IF( ISNUMBER(SEARCH($P$1,$M$2))*Paid!C15=0,"",ISNUMBER(SEARCH($P$1,$M$2))*Paid!C15)</f>
        <v/>
      </c>
      <c r="Q13" s="1" t="str">
        <f>IF( IF(EOMONTH($Q$1,0)=EOMONTH(M13,0),Paid!C14,0)=0, "", IF(EOMONTH($Q$1,0)=EOMONTH(M13,0),Paid!C14,0))</f>
        <v/>
      </c>
      <c r="R13" s="1">
        <f>IF( IF(MONTH($R$1)=MONTH(M13),Paid!C14,0)=0, "", IF(MONTH($R$1)=MONTH(M13),Paid!C14,0))</f>
        <v>27.03</v>
      </c>
      <c r="S13" s="1" t="str">
        <f>IF( IF(MONTH($S$1)=MONTH($M13),Paid!C14,0)=0, "", IF(MONTH($S$1)=MONTH($M13),Paid!C14,0))</f>
        <v/>
      </c>
      <c r="T13" s="1" t="str">
        <f>IF($M13="","",IF( IF(MONTH($T$1)=MONTH($M13),Paid!C14,0)=0,"", IF(MONTH($T$1)=MONTH($M13),Paid!C14,0)))</f>
        <v/>
      </c>
      <c r="U13" s="1" t="str">
        <f>IF($M13="","",IF( IF(MONTH($U$1)=MONTH($M13),Paid!$C14,0)=0,"", IF(MONTH($U$1)=MONTH($M13),Paid!$C14,0)))</f>
        <v/>
      </c>
      <c r="V13" s="1" t="str">
        <f>IF($M13="","",IF( IF(MONTH(V$1)=MONTH($M13),Paid!E42,0)=0,"", IF(MONTH(V$1)=MONTH($M13),Paid!$C15,0)))</f>
        <v/>
      </c>
      <c r="W13" s="1" t="str">
        <f>IF($M13="","",IF( IF(MONTH(W$1)=MONTH($M13),Paid!F42,0)=0,"", IF(MONTH(W$1)=MONTH($M13),Paid!$C15,0)))</f>
        <v/>
      </c>
      <c r="X13" s="1" t="str">
        <f>IF($M13="","",IF( IF(MONTH(X$1)=MONTH($M13),Paid!G42,0)=0,"", IF(MONTH(X$1)=MONTH($M13),Paid!$C15,0)))</f>
        <v/>
      </c>
      <c r="Y13" s="1" t="str">
        <f>IF($M13="","",IF( IF(MONTH(Y$1)=MONTH($M13),Paid!H42,0)=0,"", IF(MONTH(Y$1)=MONTH($M13),Paid!$C15,0)))</f>
        <v/>
      </c>
      <c r="Z13" s="1" t="str">
        <f>IF($M13="","",IF( IF(MONTH(Z$1)=MONTH($M13),Paid!I42,0)=0,"", IF(MONTH(Z$1)=MONTH($M13),Paid!$C15,0)))</f>
        <v/>
      </c>
      <c r="AA13" s="1" t="str">
        <f>IF($M13="","",IF( IF(MONTH(AA$1)=MONTH($M13),Paid!J42,0)=0,"", IF(MONTH(AA$1)=MONTH($M13),Paid!$C15,0)))</f>
        <v/>
      </c>
      <c r="AB13" s="1" t="str">
        <f>IF($M13="","",IF( IF(MONTH(AB$1)=MONTH($M13),Paid!K42,0)=0,"", IF(MONTH(AB$1)=MONTH($M13),Paid!$C15,0)))</f>
        <v/>
      </c>
      <c r="AC13" s="1"/>
      <c r="AD13" s="1"/>
      <c r="AE13" s="1"/>
      <c r="AF13" s="1"/>
      <c r="AG13" s="1"/>
      <c r="AH13" s="1"/>
      <c r="AI13" s="1"/>
    </row>
    <row r="14" spans="2:35" ht="16.5" thickBot="1">
      <c r="B14" s="89" t="s">
        <v>43</v>
      </c>
      <c r="C14" s="90" cm="1">
        <f t="array" ref="C14">LOOKUP(2,1/(Paid!E:E&lt;&gt;""),Paid!E:E)</f>
        <v>44269</v>
      </c>
      <c r="F14" s="23">
        <v>44409</v>
      </c>
      <c r="G14" s="12">
        <f>IF(C8=TRUE,SUM(X$2:X$74),"****")</f>
        <v>0</v>
      </c>
      <c r="H14" s="12">
        <v>0</v>
      </c>
      <c r="I14" s="37">
        <f t="shared" si="0"/>
        <v>0</v>
      </c>
      <c r="J14" s="9">
        <f>COUNT(Y$2:Y$24)</f>
        <v>0</v>
      </c>
      <c r="M14" s="19">
        <f>IF(Paid!E16="","",Paid!E15)</f>
        <v>44173</v>
      </c>
      <c r="O14" s="1"/>
      <c r="P14" s="1" t="str">
        <f>IF( ISNUMBER(SEARCH($P$1,$M$2))*Paid!C16=0,"",ISNUMBER(SEARCH($P$1,$M$2))*Paid!C16)</f>
        <v/>
      </c>
      <c r="Q14" s="1" t="str">
        <f>IF( IF(EOMONTH($Q$1,0)=EOMONTH(M14,0),Paid!C15,0)=0, "", IF(EOMONTH($Q$1,0)=EOMONTH(M14,0),Paid!C15,0))</f>
        <v/>
      </c>
      <c r="R14" s="1">
        <f>IF( IF(MONTH($R$1)=MONTH(M14),Paid!C15,0)=0, "", IF(MONTH($R$1)=MONTH(M14),Paid!C15,0))</f>
        <v>3.16</v>
      </c>
      <c r="S14" s="1" t="str">
        <f>IF( IF(MONTH($S$1)=MONTH($M14),Paid!C15,0)=0, "", IF(MONTH($S$1)=MONTH($M14),Paid!C15,0))</f>
        <v/>
      </c>
      <c r="T14" s="1" t="str">
        <f>IF($M14="","",IF( IF(MONTH($T$1)=MONTH($M14),Paid!C15,0)=0,"", IF(MONTH($T$1)=MONTH($M14),Paid!C15,0)))</f>
        <v/>
      </c>
      <c r="U14" s="1" t="str">
        <f>IF($M14="","",IF( IF(MONTH($U$1)=MONTH($M14),Paid!$C15,0)=0,"", IF(MONTH($U$1)=MONTH($M14),Paid!$C15,0)))</f>
        <v/>
      </c>
      <c r="V14" s="1" t="str">
        <f>IF($M14="","",IF( IF(MONTH(V$1)=MONTH($M14),Paid!E43,0)=0,"", IF(MONTH(V$1)=MONTH($M14),Paid!$C16,0)))</f>
        <v/>
      </c>
      <c r="W14" s="1" t="str">
        <f>IF($M14="","",IF( IF(MONTH(W$1)=MONTH($M14),Paid!F43,0)=0,"", IF(MONTH(W$1)=MONTH($M14),Paid!$C16,0)))</f>
        <v/>
      </c>
      <c r="X14" s="1" t="str">
        <f>IF($M14="","",IF( IF(MONTH(X$1)=MONTH($M14),Paid!G43,0)=0,"", IF(MONTH(X$1)=MONTH($M14),Paid!$C16,0)))</f>
        <v/>
      </c>
      <c r="Y14" s="1" t="str">
        <f>IF($M14="","",IF( IF(MONTH(Y$1)=MONTH($M14),Paid!H43,0)=0,"", IF(MONTH(Y$1)=MONTH($M14),Paid!$C16,0)))</f>
        <v/>
      </c>
      <c r="Z14" s="1" t="str">
        <f>IF($M14="","",IF( IF(MONTH(Z$1)=MONTH($M14),Paid!I43,0)=0,"", IF(MONTH(Z$1)=MONTH($M14),Paid!$C16,0)))</f>
        <v/>
      </c>
      <c r="AA14" s="1" t="str">
        <f>IF($M14="","",IF( IF(MONTH(AA$1)=MONTH($M14),Paid!J43,0)=0,"", IF(MONTH(AA$1)=MONTH($M14),Paid!$C16,0)))</f>
        <v/>
      </c>
      <c r="AB14" s="1" t="str">
        <f>IF($M14="","",IF( IF(MONTH(AB$1)=MONTH($M14),Paid!K43,0)=0,"", IF(MONTH(AB$1)=MONTH($M14),Paid!$C16,0)))</f>
        <v/>
      </c>
      <c r="AC14" s="1"/>
      <c r="AD14" s="1"/>
      <c r="AE14" s="1"/>
      <c r="AF14" s="1"/>
      <c r="AG14" s="1"/>
      <c r="AH14" s="1"/>
      <c r="AI14" s="1"/>
    </row>
    <row r="15" spans="2:35" ht="15.95" customHeight="1" thickBot="1">
      <c r="B15" s="101"/>
      <c r="C15" s="102"/>
      <c r="F15" s="23">
        <v>44440</v>
      </c>
      <c r="G15" s="12">
        <f>IF(C8=TRUE,SUM(AA$2:AA$74),"****")</f>
        <v>0</v>
      </c>
      <c r="H15" s="12">
        <v>0</v>
      </c>
      <c r="I15" s="37">
        <f t="shared" si="0"/>
        <v>0</v>
      </c>
      <c r="J15" s="9">
        <f>COUNT(Y$2:Y$24)</f>
        <v>0</v>
      </c>
      <c r="M15" s="19">
        <f>IF(Paid!E17="","",Paid!E16)</f>
        <v>44174</v>
      </c>
      <c r="O15" s="1"/>
      <c r="P15" s="1" t="str">
        <f>IF( ISNUMBER(SEARCH($P$1,$M$2))*Paid!C17=0,"",ISNUMBER(SEARCH($P$1,$M$2))*Paid!C17)</f>
        <v/>
      </c>
      <c r="Q15" s="1" t="str">
        <f>IF( IF(EOMONTH($Q$1,0)=EOMONTH(M15,0),Paid!C16,0)=0, "", IF(EOMONTH($Q$1,0)=EOMONTH(M15,0),Paid!C16,0))</f>
        <v/>
      </c>
      <c r="R15" s="1">
        <f>IF( IF(MONTH($R$1)=MONTH(M15),Paid!C16,0)=0, "", IF(MONTH($R$1)=MONTH(M15),Paid!C16,0))</f>
        <v>19.100000000000001</v>
      </c>
      <c r="S15" s="1" t="str">
        <f>IF( IF(MONTH($S$1)=MONTH($M15),Paid!C16,0)=0, "", IF(MONTH($S$1)=MONTH($M15),Paid!C16,0))</f>
        <v/>
      </c>
      <c r="T15" s="1" t="str">
        <f>IF($M15="","",IF( IF(MONTH($T$1)=MONTH($M15),Paid!C16,0)=0,"", IF(MONTH($T$1)=MONTH($M15),Paid!C16,0)))</f>
        <v/>
      </c>
      <c r="U15" s="1" t="str">
        <f>IF($M15="","",IF( IF(MONTH($U$1)=MONTH($M15),Paid!$C16,0)=0,"", IF(MONTH($U$1)=MONTH($M15),Paid!$C16,0)))</f>
        <v/>
      </c>
      <c r="V15" s="1" t="str">
        <f>IF($M15="","",IF( IF(MONTH(V$1)=MONTH($M15),Paid!E44,0)=0,"", IF(MONTH(V$1)=MONTH($M15),Paid!$C17,0)))</f>
        <v/>
      </c>
      <c r="W15" s="1" t="str">
        <f>IF($M15="","",IF( IF(MONTH(W$1)=MONTH($M15),Paid!F44,0)=0,"", IF(MONTH(W$1)=MONTH($M15),Paid!$C17,0)))</f>
        <v/>
      </c>
      <c r="X15" s="1" t="str">
        <f>IF($M15="","",IF( IF(MONTH(X$1)=MONTH($M15),Paid!G44,0)=0,"", IF(MONTH(X$1)=MONTH($M15),Paid!$C17,0)))</f>
        <v/>
      </c>
      <c r="Y15" s="1" t="str">
        <f>IF($M15="","",IF( IF(MONTH(Y$1)=MONTH($M15),Paid!H44,0)=0,"", IF(MONTH(Y$1)=MONTH($M15),Paid!$C17,0)))</f>
        <v/>
      </c>
      <c r="Z15" s="1" t="str">
        <f>IF($M15="","",IF( IF(MONTH(Z$1)=MONTH($M15),Paid!I44,0)=0,"", IF(MONTH(Z$1)=MONTH($M15),Paid!$C17,0)))</f>
        <v/>
      </c>
      <c r="AA15" s="1" t="str">
        <f>IF($M15="","",IF( IF(MONTH(AA$1)=MONTH($M15),Paid!J44,0)=0,"", IF(MONTH(AA$1)=MONTH($M15),Paid!$C17,0)))</f>
        <v/>
      </c>
      <c r="AB15" s="1" t="str">
        <f>IF($M15="","",IF( IF(MONTH(AB$1)=MONTH($M15),Paid!K44,0)=0,"", IF(MONTH(AB$1)=MONTH($M15),Paid!$C17,0)))</f>
        <v/>
      </c>
      <c r="AC15" s="1"/>
      <c r="AD15" s="1"/>
      <c r="AE15" s="1"/>
      <c r="AF15" s="1"/>
      <c r="AG15" s="1"/>
      <c r="AH15" s="1"/>
      <c r="AI15" s="1"/>
    </row>
    <row r="16" spans="2:35">
      <c r="B16" s="95" t="s">
        <v>52</v>
      </c>
      <c r="C16" s="96">
        <f>C18-C17</f>
        <v>108</v>
      </c>
      <c r="E16" s="18"/>
      <c r="F16" s="23">
        <v>44470</v>
      </c>
      <c r="G16" s="12">
        <f>IF(C8=TRUE,SUM(AA$2:AA$74),"****")</f>
        <v>0</v>
      </c>
      <c r="H16" s="12">
        <v>0</v>
      </c>
      <c r="I16" s="37">
        <f>G16-H16</f>
        <v>0</v>
      </c>
      <c r="J16" s="9">
        <f>COUNT(AB$2:AB$24)</f>
        <v>0</v>
      </c>
      <c r="L16" s="19"/>
      <c r="M16" s="19">
        <f>IF(Paid!E18="","",Paid!E17)</f>
        <v>44174</v>
      </c>
      <c r="O16" s="1"/>
      <c r="P16" s="1" t="str">
        <f>IF( ISNUMBER(SEARCH($Q$1,$L16))*Paid!$C18=0,"",ISNUMBER(SEARCH($Q$1,$L16))*Paid!$C18)</f>
        <v/>
      </c>
      <c r="Q16" s="1" t="str">
        <f>IF( IF(EOMONTH($Q$1,0)=EOMONTH(M16,0),Paid!C17,0)=0, "", IF(EOMONTH($Q$1,0)=EOMONTH(M16,0),Paid!C17,0))</f>
        <v/>
      </c>
      <c r="R16" s="1">
        <f>IF( IF(MONTH($R$1)=MONTH(M16),Paid!C17,0)=0, "", IF(MONTH($R$1)=MONTH(M16),Paid!C17,0))</f>
        <v>2.04</v>
      </c>
      <c r="S16" s="1" t="str">
        <f>IF( IF(MONTH($S$1)=MONTH($M16),Paid!C17,0)=0, "", IF(MONTH($S$1)=MONTH($M16),Paid!C17,0))</f>
        <v/>
      </c>
      <c r="T16" s="1" t="str">
        <f>IF($M16="","",IF( IF(MONTH($T$1)=MONTH($M16),Paid!C17,0)=0,"", IF(MONTH($T$1)=MONTH($M16),Paid!C17,0)))</f>
        <v/>
      </c>
      <c r="U16" s="1" t="str">
        <f>IF($M16="","",IF( IF(MONTH($U$1)=MONTH($M16),Paid!$C17,0)=0,"", IF(MONTH($U$1)=MONTH($M16),Paid!$C17,0)))</f>
        <v/>
      </c>
      <c r="V16" s="1" t="str">
        <f>IF($M16="","",IF( IF(MONTH(V$1)=MONTH($M16),Paid!E45,0)=0,"", IF(MONTH(V$1)=MONTH($M16),Paid!$C18,0)))</f>
        <v/>
      </c>
      <c r="W16" s="1" t="str">
        <f>IF($M16="","",IF( IF(MONTH(W$1)=MONTH($M16),Paid!F45,0)=0,"", IF(MONTH(W$1)=MONTH($M16),Paid!$C18,0)))</f>
        <v/>
      </c>
      <c r="X16" s="1" t="str">
        <f>IF($M16="","",IF( IF(MONTH(X$1)=MONTH($M16),Paid!G45,0)=0,"", IF(MONTH(X$1)=MONTH($M16),Paid!$C18,0)))</f>
        <v/>
      </c>
      <c r="Y16" s="1" t="str">
        <f>IF($M16="","",IF( IF(MONTH(Y$1)=MONTH($M16),Paid!H45,0)=0,"", IF(MONTH(Y$1)=MONTH($M16),Paid!$C18,0)))</f>
        <v/>
      </c>
      <c r="Z16" s="1" t="str">
        <f>IF($M16="","",IF( IF(MONTH(Z$1)=MONTH($M16),Paid!I45,0)=0,"", IF(MONTH(Z$1)=MONTH($M16),Paid!$C18,0)))</f>
        <v/>
      </c>
      <c r="AA16" s="1" t="str">
        <f>IF($M16="","",IF( IF(MONTH(AA$1)=MONTH($M16),Paid!J45,0)=0,"", IF(MONTH(AA$1)=MONTH($M16),Paid!$C18,0)))</f>
        <v/>
      </c>
      <c r="AB16" s="1" t="str">
        <f>IF($M16="","",IF( IF(MONTH(AB$1)=MONTH($M16),Paid!K45,0)=0,"", IF(MONTH(AB$1)=MONTH($M16),Paid!$C18,0)))</f>
        <v/>
      </c>
      <c r="AC16" s="1"/>
      <c r="AD16" s="1"/>
      <c r="AE16" s="1"/>
      <c r="AF16" s="1"/>
      <c r="AG16" s="1"/>
      <c r="AH16" s="1"/>
    </row>
    <row r="17" spans="2:34">
      <c r="B17" s="71" t="s">
        <v>50</v>
      </c>
      <c r="C17" s="72">
        <f>MIN(Paid!J:J)</f>
        <v>44152</v>
      </c>
      <c r="E17" s="18"/>
      <c r="G17" s="11"/>
      <c r="H17" s="10"/>
      <c r="L17" s="19"/>
      <c r="M17" s="19">
        <f>IF(Paid!E19="","",Paid!E18)</f>
        <v>44197</v>
      </c>
      <c r="O17" s="1"/>
      <c r="P17" s="1" t="str">
        <f>IF( ISNUMBER(SEARCH($Q$1,$M$2))*Paid!C19=0,"",ISNUMBER(SEARCH($Q$1,$M$2))*Paid!C19)</f>
        <v/>
      </c>
      <c r="Q17" s="1" t="str">
        <f>IF( IF(EOMONTH($Q$1,0)=EOMONTH(M17,0),Paid!C18,0)=0, "", IF(EOMONTH($Q$1,0)=EOMONTH(M17,0),Paid!C18,0))</f>
        <v/>
      </c>
      <c r="R17" s="1" t="str">
        <f>IF( IF(MONTH($R$1)=MONTH(M17),Paid!C18,0)=0, "", IF(MONTH($R$1)=MONTH(M17),Paid!C18,0))</f>
        <v/>
      </c>
      <c r="S17" s="1">
        <f>IF( IF(MONTH($S$1)=MONTH($M17),Paid!C18,0)=0, "", IF(MONTH($S$1)=MONTH($M17),Paid!C18,0))</f>
        <v>65</v>
      </c>
      <c r="T17" s="1" t="str">
        <f>IF($M17="","",IF( IF(MONTH($T$1)=MONTH($M17),Paid!C18,0)=0,"", IF(MONTH($T$1)=MONTH($M17),Paid!C18,0)))</f>
        <v/>
      </c>
      <c r="U17" s="1" t="str">
        <f>IF($M17="","",IF( IF(MONTH($U$1)=MONTH($M17),Paid!$C18,0)=0,"", IF(MONTH($U$1)=MONTH($M17),Paid!$C18,0)))</f>
        <v/>
      </c>
      <c r="V17" s="1" t="str">
        <f>IF($M17="","",IF( IF(MONTH(V$1)=MONTH($M17),Paid!E46,0)=0,"", IF(MONTH(V$1)=MONTH($M17),Paid!$C19,0)))</f>
        <v/>
      </c>
      <c r="W17" s="1" t="str">
        <f>IF($M17="","",IF( IF(MONTH(W$1)=MONTH($M17),Paid!F46,0)=0,"", IF(MONTH(W$1)=MONTH($M17),Paid!$C19,0)))</f>
        <v/>
      </c>
      <c r="X17" s="1" t="str">
        <f>IF($M17="","",IF( IF(MONTH(X$1)=MONTH($M17),Paid!G46,0)=0,"", IF(MONTH(X$1)=MONTH($M17),Paid!$C19,0)))</f>
        <v/>
      </c>
      <c r="Y17" s="1" t="str">
        <f>IF($M17="","",IF( IF(MONTH(Y$1)=MONTH($M17),Paid!H46,0)=0,"", IF(MONTH(Y$1)=MONTH($M17),Paid!$C19,0)))</f>
        <v/>
      </c>
      <c r="Z17" s="1" t="str">
        <f>IF($M17="","",IF( IF(MONTH(Z$1)=MONTH($M17),Paid!I46,0)=0,"", IF(MONTH(Z$1)=MONTH($M17),Paid!$C19,0)))</f>
        <v/>
      </c>
      <c r="AA17" s="1" t="str">
        <f>IF($M17="","",IF( IF(MONTH(AA$1)=MONTH($M17),Paid!J46,0)=0,"", IF(MONTH(AA$1)=MONTH($M17),Paid!$C19,0)))</f>
        <v/>
      </c>
      <c r="AB17" s="1" t="str">
        <f>IF($M17="","",IF( IF(MONTH(AB$1)=MONTH($M17),Paid!K46,0)=0,"", IF(MONTH(AB$1)=MONTH($M17),Paid!$C19,0)))</f>
        <v/>
      </c>
      <c r="AC17" s="1"/>
      <c r="AD17" s="1"/>
      <c r="AE17" s="1"/>
      <c r="AF17" s="1"/>
      <c r="AG17" s="1"/>
      <c r="AH17" s="1"/>
    </row>
    <row r="18" spans="2:34" ht="16.5" thickBot="1">
      <c r="B18" s="89" t="s">
        <v>51</v>
      </c>
      <c r="C18" s="90">
        <f>MAX(Paid!J:J)</f>
        <v>44260</v>
      </c>
      <c r="D18" s="31"/>
      <c r="G18" s="11"/>
      <c r="H18" s="10"/>
      <c r="L18" s="19"/>
      <c r="M18" s="19">
        <f>IF(Paid!E20="","",Paid!E19)</f>
        <v>44199</v>
      </c>
      <c r="O18" s="1"/>
      <c r="P18" s="1" t="str">
        <f>IF( ISNUMBER(SEARCH($Q$1,$M$2))*Paid!C20=0,"",ISNUMBER(SEARCH($Q$1,$M$2))*Paid!C20)</f>
        <v/>
      </c>
      <c r="Q18" s="1" t="str">
        <f>IF( IF(EOMONTH($Q$1,0)=EOMONTH(M18,0),Paid!C19,0)=0, "", IF(EOMONTH($Q$1,0)=EOMONTH(M18,0),Paid!C19,0))</f>
        <v/>
      </c>
      <c r="R18" s="1" t="str">
        <f>IF( IF(MONTH($R$1)=MONTH(M18),Paid!C19,0)=0, "", IF(MONTH($R$1)=MONTH(M18),Paid!C19,0))</f>
        <v/>
      </c>
      <c r="S18" s="1">
        <f>IF( IF(MONTH($S$1)=MONTH($M18),Paid!C19,0)=0, "", IF(MONTH($S$1)=MONTH($M18),Paid!C19,0))</f>
        <v>35.380000000000003</v>
      </c>
      <c r="T18" s="1" t="str">
        <f>IF($M18="","",IF( IF(MONTH($T$1)=MONTH($M18),Paid!C19,0)=0,"", IF(MONTH($T$1)=MONTH($M18),Paid!C19,0)))</f>
        <v/>
      </c>
      <c r="U18" s="1" t="str">
        <f>IF($M18="","",IF( IF(MONTH($U$1)=MONTH($M18),Paid!$C19,0)=0,"", IF(MONTH($U$1)=MONTH($M18),Paid!$C19,0)))</f>
        <v/>
      </c>
      <c r="V18" s="1" t="str">
        <f>IF($M18="","",IF( IF(MONTH(V$1)=MONTH($M18),Paid!E47,0)=0,"", IF(MONTH(V$1)=MONTH($M18),Paid!$C20,0)))</f>
        <v/>
      </c>
      <c r="W18" s="1" t="str">
        <f>IF($M18="","",IF( IF(MONTH(W$1)=MONTH($M18),Paid!F47,0)=0,"", IF(MONTH(W$1)=MONTH($M18),Paid!$C20,0)))</f>
        <v/>
      </c>
      <c r="X18" s="1" t="str">
        <f>IF($M18="","",IF( IF(MONTH(X$1)=MONTH($M18),Paid!G47,0)=0,"", IF(MONTH(X$1)=MONTH($M18),Paid!$C20,0)))</f>
        <v/>
      </c>
      <c r="Y18" s="1" t="str">
        <f>IF($M18="","",IF( IF(MONTH(Y$1)=MONTH($M18),Paid!H47,0)=0,"", IF(MONTH(Y$1)=MONTH($M18),Paid!$C20,0)))</f>
        <v/>
      </c>
      <c r="Z18" s="1" t="str">
        <f>IF($M18="","",IF( IF(MONTH(Z$1)=MONTH($M18),Paid!I47,0)=0,"", IF(MONTH(Z$1)=MONTH($M18),Paid!$C20,0)))</f>
        <v/>
      </c>
      <c r="AA18" s="1" t="str">
        <f>IF($M18="","",IF( IF(MONTH(AA$1)=MONTH($M18),Paid!J47,0)=0,"", IF(MONTH(AA$1)=MONTH($M18),Paid!$C20,0)))</f>
        <v/>
      </c>
      <c r="AB18" s="1" t="str">
        <f>IF($M18="","",IF( IF(MONTH(AB$1)=MONTH($M18),Paid!K47,0)=0,"", IF(MONTH(AB$1)=MONTH($M18),Paid!$C20,0)))</f>
        <v/>
      </c>
      <c r="AC18" s="1"/>
      <c r="AD18" s="1"/>
      <c r="AE18" s="1"/>
      <c r="AF18" s="1"/>
      <c r="AG18" s="1"/>
      <c r="AH18" s="1"/>
    </row>
    <row r="19" spans="2:34" ht="15.95" customHeight="1" thickBot="1">
      <c r="B19" s="101"/>
      <c r="C19" s="102"/>
      <c r="G19" s="11"/>
      <c r="H19" s="10"/>
      <c r="L19" s="19"/>
      <c r="M19" s="19">
        <f>IF(Paid!E21="","",Paid!E20)</f>
        <v>44200</v>
      </c>
      <c r="O19" s="1"/>
      <c r="P19" s="1"/>
      <c r="Q19" s="1" t="str">
        <f>IF( IF(EOMONTH($Q$1,0)=EOMONTH(M19,0),Paid!C20,0)=0, "", IF(EOMONTH($Q$1,0)=EOMONTH(M19,0),Paid!C20,0))</f>
        <v/>
      </c>
      <c r="R19" s="1" t="str">
        <f>IF( IF(MONTH($R$1)=MONTH(M19),Paid!C20,0)=0, "", IF(MONTH($R$1)=MONTH(M19),Paid!C20,0))</f>
        <v/>
      </c>
      <c r="S19" s="1">
        <f>IF( IF(MONTH($S$1)=MONTH($M19),Paid!C20,0)=0, "", IF(MONTH($S$1)=MONTH($M19),Paid!C20,0))</f>
        <v>70.7</v>
      </c>
      <c r="T19" s="1" t="str">
        <f>IF($M19="","",IF( IF(MONTH($T$1)=MONTH($M19),Paid!C20,0)=0,"", IF(MONTH($T$1)=MONTH($M19),Paid!C20,0)))</f>
        <v/>
      </c>
      <c r="U19" s="1" t="str">
        <f>IF($M19="","",IF( IF(MONTH($U$1)=MONTH($M19),Paid!$C20,0)=0,"", IF(MONTH($U$1)=MONTH($M19),Paid!$C20,0)))</f>
        <v/>
      </c>
      <c r="V19" s="1" t="str">
        <f>IF($M19="","",IF( IF(MONTH(V$1)=MONTH($M19),Paid!E48,0)=0,"", IF(MONTH(V$1)=MONTH($M19),Paid!$C21,0)))</f>
        <v/>
      </c>
      <c r="W19" s="1" t="str">
        <f>IF($M19="","",IF( IF(MONTH(W$1)=MONTH($M19),Paid!F48,0)=0,"", IF(MONTH(W$1)=MONTH($M19),Paid!$C21,0)))</f>
        <v/>
      </c>
      <c r="X19" s="1" t="str">
        <f>IF($M19="","",IF( IF(MONTH(X$1)=MONTH($M19),Paid!G48,0)=0,"", IF(MONTH(X$1)=MONTH($M19),Paid!$C21,0)))</f>
        <v/>
      </c>
      <c r="Y19" s="1" t="str">
        <f>IF($M19="","",IF( IF(MONTH(Y$1)=MONTH($M19),Paid!H48,0)=0,"", IF(MONTH(Y$1)=MONTH($M19),Paid!$C21,0)))</f>
        <v/>
      </c>
      <c r="Z19" s="1" t="str">
        <f>IF($M19="","",IF( IF(MONTH(Z$1)=MONTH($M19),Paid!I48,0)=0,"", IF(MONTH(Z$1)=MONTH($M19),Paid!$C21,0)))</f>
        <v/>
      </c>
      <c r="AA19" s="1" t="str">
        <f>IF($M19="","",IF( IF(MONTH(AA$1)=MONTH($M19),Paid!J48,0)=0,"", IF(MONTH(AA$1)=MONTH($M19),Paid!$C21,0)))</f>
        <v/>
      </c>
      <c r="AB19" s="1" t="str">
        <f>IF($M19="","",IF( IF(MONTH(AB$1)=MONTH($M19),Paid!K48,0)=0,"", IF(MONTH(AB$1)=MONTH($M19),Paid!$C21,0)))</f>
        <v/>
      </c>
      <c r="AC19" s="1"/>
      <c r="AD19" s="1"/>
      <c r="AE19" s="1"/>
      <c r="AF19" s="1"/>
      <c r="AG19" s="1"/>
      <c r="AH19" s="1"/>
    </row>
    <row r="20" spans="2:34">
      <c r="B20" s="97" t="s">
        <v>73</v>
      </c>
      <c r="C20" s="98">
        <f>IF(C8=TRUE,AVERAGEIFS(I2:I15,I2:I15,"&gt;10"),"***")</f>
        <v>123.48249999999999</v>
      </c>
      <c r="H20" s="10"/>
      <c r="M20" s="19">
        <f>IF(Paid!E22="","",Paid!E21)</f>
        <v>44200</v>
      </c>
      <c r="O20" s="1"/>
      <c r="P20" s="1"/>
      <c r="Q20" s="1" t="str">
        <f>IF( IF(EOMONTH($Q$1,0)=EOMONTH(M20,0),Paid!C21,0)=0, "", IF(EOMONTH($Q$1,0)=EOMONTH(M20,0),Paid!C21,0))</f>
        <v/>
      </c>
      <c r="R20" s="1" t="str">
        <f>IF( IF(MONTH($R$1)=MONTH(M20),Paid!C21,0)=0, "", IF(MONTH($R$1)=MONTH(M20),Paid!C21,0))</f>
        <v/>
      </c>
      <c r="S20" s="1">
        <f>IF( IF(MONTH($S$1)=MONTH($M20),Paid!C21,0)=0, "", IF(MONTH($S$1)=MONTH($M20),Paid!C21,0))</f>
        <v>12.04</v>
      </c>
      <c r="T20" s="1" t="str">
        <f>IF($M20="","",IF( IF(MONTH($T$1)=MONTH($M20),Paid!C21,0)=0,"", IF(MONTH($T$1)=MONTH($M20),Paid!C21,0)))</f>
        <v/>
      </c>
      <c r="U20" s="1" t="str">
        <f>IF($M20="","",IF( IF(MONTH($U$1)=MONTH($M20),Paid!$C21,0)=0,"", IF(MONTH($U$1)=MONTH($M20),Paid!$C21,0)))</f>
        <v/>
      </c>
      <c r="V20" s="1" t="str">
        <f>IF($M20="","",IF( IF(MONTH(V$1)=MONTH($M20),Paid!#REF!,0)=0,"", IF(MONTH(V$1)=MONTH($M20),Paid!$C22,0)))</f>
        <v/>
      </c>
      <c r="W20" s="1" t="str">
        <f>IF($M20="","",IF( IF(MONTH(W$1)=MONTH($M20),Paid!#REF!,0)=0,"", IF(MONTH(W$1)=MONTH($M20),Paid!$C22,0)))</f>
        <v/>
      </c>
      <c r="X20" s="1" t="str">
        <f>IF($M20="","",IF( IF(MONTH(X$1)=MONTH($M20),Paid!#REF!,0)=0,"", IF(MONTH(X$1)=MONTH($M20),Paid!$C22,0)))</f>
        <v/>
      </c>
      <c r="Y20" s="1" t="str">
        <f>IF($M20="","",IF( IF(MONTH(Y$1)=MONTH($M20),Paid!#REF!,0)=0,"", IF(MONTH(Y$1)=MONTH($M20),Paid!$C22,0)))</f>
        <v/>
      </c>
      <c r="Z20" s="1" t="str">
        <f>IF($M20="","",IF( IF(MONTH(Z$1)=MONTH($M20),Paid!#REF!,0)=0,"", IF(MONTH(Z$1)=MONTH($M20),Paid!$C22,0)))</f>
        <v/>
      </c>
      <c r="AA20" s="1" t="str">
        <f>IF($M20="","",IF( IF(MONTH(AA$1)=MONTH($M20),Paid!#REF!,0)=0,"", IF(MONTH(AA$1)=MONTH($M20),Paid!$C22,0)))</f>
        <v/>
      </c>
      <c r="AB20" s="1" t="str">
        <f>IF($M20="","",IF( IF(MONTH(AB$1)=MONTH($M20),Paid!#REF!,0)=0,"", IF(MONTH(AB$1)=MONTH($M20),Paid!$C22,0)))</f>
        <v/>
      </c>
      <c r="AC20" s="1"/>
      <c r="AD20" s="1"/>
      <c r="AE20" s="1"/>
      <c r="AF20" s="1"/>
      <c r="AG20" s="1"/>
      <c r="AH20" s="1"/>
    </row>
    <row r="21" spans="2:34">
      <c r="B21" s="73" t="s">
        <v>76</v>
      </c>
      <c r="C21" s="74">
        <f>IF(C8=TRUE,ROUNDUP((Whishlist!N2)/C20,0)+1,"** Months")</f>
        <v>3</v>
      </c>
      <c r="G21" s="11"/>
      <c r="H21" s="10"/>
      <c r="M21" s="19">
        <f>IF(Paid!E23="","",Paid!E22)</f>
        <v>44200</v>
      </c>
      <c r="O21" s="1"/>
      <c r="P21" s="1"/>
      <c r="Q21" s="1" t="str">
        <f>IF( IF(EOMONTH($Q$1,0)=EOMONTH(M21,0),Paid!C22,0)=0, "", IF(EOMONTH($Q$1,0)=EOMONTH(M21,0),Paid!C22,0))</f>
        <v/>
      </c>
      <c r="R21" s="1" t="str">
        <f>IF( IF(MONTH($R$1)=MONTH(M21),Paid!C22,0)=0, "", IF(MONTH($R$1)=MONTH(M21),Paid!C22,0))</f>
        <v/>
      </c>
      <c r="S21" s="1">
        <f>IF( IF(MONTH($S$1)=MONTH($M21),Paid!C22,0)=0, "", IF(MONTH($S$1)=MONTH($M21),Paid!C22,0))</f>
        <v>4.3099999999999996</v>
      </c>
      <c r="T21" s="1" t="str">
        <f>IF($M21="","",IF( IF(MONTH($T$1)=MONTH($M21),Paid!C22,0)=0,"", IF(MONTH($T$1)=MONTH($M21),Paid!C22,0)))</f>
        <v/>
      </c>
      <c r="U21" s="1" t="str">
        <f>IF($M21="","",IF( IF(MONTH($U$1)=MONTH($M21),Paid!$C22,0)=0,"", IF(MONTH($U$1)=MONTH($M21),Paid!$C22,0)))</f>
        <v/>
      </c>
      <c r="V21" s="1" t="str">
        <f>IF($M21="","",IF( IF(MONTH(V$1)=MONTH($M21),Paid!E49,0)=0,"", IF(MONTH(V$1)=MONTH($M21),Paid!$C23,0)))</f>
        <v/>
      </c>
      <c r="W21" s="1" t="str">
        <f>IF($M21="","",IF( IF(MONTH(W$1)=MONTH($M21),Paid!F49,0)=0,"", IF(MONTH(W$1)=MONTH($M21),Paid!$C23,0)))</f>
        <v/>
      </c>
      <c r="X21" s="1" t="str">
        <f>IF($M21="","",IF( IF(MONTH(X$1)=MONTH($M21),Paid!G49,0)=0,"", IF(MONTH(X$1)=MONTH($M21),Paid!$C23,0)))</f>
        <v/>
      </c>
      <c r="Y21" s="1" t="str">
        <f>IF($M21="","",IF( IF(MONTH(Y$1)=MONTH($M21),Paid!H49,0)=0,"", IF(MONTH(Y$1)=MONTH($M21),Paid!$C23,0)))</f>
        <v/>
      </c>
      <c r="Z21" s="1" t="str">
        <f>IF($M21="","",IF( IF(MONTH(Z$1)=MONTH($M21),Paid!I49,0)=0,"", IF(MONTH(Z$1)=MONTH($M21),Paid!$C23,0)))</f>
        <v/>
      </c>
      <c r="AA21" s="1" t="str">
        <f>IF($M21="","",IF( IF(MONTH(AA$1)=MONTH($M21),Paid!J49,0)=0,"", IF(MONTH(AA$1)=MONTH($M21),Paid!$C23,0)))</f>
        <v/>
      </c>
      <c r="AB21" s="1" t="str">
        <f>IF($M21="","",IF( IF(MONTH(AB$1)=MONTH($M21),Paid!K49,0)=0,"", IF(MONTH(AB$1)=MONTH($M21),Paid!$C23,0)))</f>
        <v/>
      </c>
      <c r="AC21" s="1"/>
      <c r="AD21" s="1"/>
      <c r="AE21" s="1"/>
      <c r="AF21" s="1"/>
      <c r="AG21" s="1"/>
      <c r="AH21" s="1"/>
    </row>
    <row r="22" spans="2:34">
      <c r="B22" s="73" t="s">
        <v>72</v>
      </c>
      <c r="C22" s="75">
        <f>Whishlist!N2</f>
        <v>152.03119999999998</v>
      </c>
      <c r="G22" s="11"/>
      <c r="H22" s="10"/>
      <c r="M22" s="19">
        <f>IF(Paid!E24="","",Paid!E23)</f>
        <v>44200</v>
      </c>
      <c r="O22" s="1"/>
      <c r="P22" s="1"/>
      <c r="Q22" s="1" t="str">
        <f>IF( IF(EOMONTH($Q$1,0)=EOMONTH(M22,0),Paid!C23,0)=0, "", IF(EOMONTH($Q$1,0)=EOMONTH(M22,0),Paid!C23,0))</f>
        <v/>
      </c>
      <c r="R22" s="1" t="str">
        <f>IF( IF(MONTH($R$1)=MONTH(M22),Paid!C23,0)=0, "", IF(MONTH($R$1)=MONTH(M22),Paid!C23,0))</f>
        <v/>
      </c>
      <c r="S22" s="1">
        <f>IF( IF(MONTH($S$1)=MONTH($M22),Paid!C23,0)=0, "", IF(MONTH($S$1)=MONTH($M22),Paid!C23,0))</f>
        <v>5.44</v>
      </c>
      <c r="T22" s="1" t="str">
        <f>IF($M22="","",IF( IF(MONTH($T$1)=MONTH($M22),Paid!C23,0)=0,"", IF(MONTH($T$1)=MONTH($M22),Paid!C23,0)))</f>
        <v/>
      </c>
      <c r="U22" s="1" t="str">
        <f>IF($M22="","",IF( IF(MONTH($U$1)=MONTH($M22),Paid!$C23,0)=0,"", IF(MONTH($U$1)=MONTH($M22),Paid!$C23,0)))</f>
        <v/>
      </c>
      <c r="V22" s="1" t="str">
        <f>IF($M22="","",IF( IF(MONTH(V$1)=MONTH($M22),Paid!E50,0)=0,"", IF(MONTH(V$1)=MONTH($M22),Paid!$C24,0)))</f>
        <v/>
      </c>
      <c r="W22" s="1" t="str">
        <f>IF($M22="","",IF( IF(MONTH(W$1)=MONTH($M22),Paid!F50,0)=0,"", IF(MONTH(W$1)=MONTH($M22),Paid!$C24,0)))</f>
        <v/>
      </c>
      <c r="X22" s="1" t="str">
        <f>IF($M22="","",IF( IF(MONTH(X$1)=MONTH($M22),Paid!G50,0)=0,"", IF(MONTH(X$1)=MONTH($M22),Paid!$C24,0)))</f>
        <v/>
      </c>
      <c r="Y22" s="1" t="str">
        <f>IF($M22="","",IF( IF(MONTH(Y$1)=MONTH($M22),Paid!H50,0)=0,"", IF(MONTH(Y$1)=MONTH($M22),Paid!$C24,0)))</f>
        <v/>
      </c>
      <c r="Z22" s="1" t="str">
        <f>IF($M22="","",IF( IF(MONTH(Z$1)=MONTH($M22),Paid!I50,0)=0,"", IF(MONTH(Z$1)=MONTH($M22),Paid!$C24,0)))</f>
        <v/>
      </c>
      <c r="AA22" s="1" t="str">
        <f>IF($M22="","",IF( IF(MONTH(AA$1)=MONTH($M22),Paid!J50,0)=0,"", IF(MONTH(AA$1)=MONTH($M22),Paid!$C24,0)))</f>
        <v/>
      </c>
      <c r="AB22" s="1" t="str">
        <f>IF($M22="","",IF( IF(MONTH(AB$1)=MONTH($M22),Paid!K50,0)=0,"", IF(MONTH(AB$1)=MONTH($M22),Paid!$C24,0)))</f>
        <v/>
      </c>
      <c r="AC22" s="1"/>
      <c r="AD22" s="1"/>
      <c r="AE22" s="1"/>
      <c r="AF22" s="1"/>
      <c r="AG22" s="1"/>
      <c r="AH22" s="1"/>
    </row>
    <row r="23" spans="2:34">
      <c r="B23" s="91" t="s">
        <v>75</v>
      </c>
      <c r="C23" s="92">
        <f>IF(C8=TRUE,C6+(Whishlist!N2),"***")</f>
        <v>738.7312000000004</v>
      </c>
      <c r="H23" s="10"/>
      <c r="M23" s="19">
        <f>IF(Paid!E25="","",Paid!E24)</f>
        <v>44201</v>
      </c>
      <c r="O23" s="1" t="str">
        <f>IF( IF(EOMONTH($O$1,0)=EOMONTH(M23,0),Paid!C25,0)=0, "", IF(EOMONTH($O$1,0)=EOMONTH(M23,0),Paid!C25,0))</f>
        <v/>
      </c>
      <c r="P23" s="1"/>
      <c r="Q23" s="1" t="str">
        <f>IF( IF(EOMONTH($Q$1,0)=EOMONTH(M23,0),Paid!C24,0)=0, "", IF(EOMONTH($Q$1,0)=EOMONTH(M23,0),Paid!C24,0))</f>
        <v/>
      </c>
      <c r="R23" s="1" t="str">
        <f>IF( IF(MONTH($R$1)=MONTH(M23),Paid!C24,0)=0, "", IF(MONTH($R$1)=MONTH(M23),Paid!C24,0))</f>
        <v/>
      </c>
      <c r="S23" s="1">
        <f>IF( IF(MONTH($S$1)=MONTH($M23),Paid!C24,0)=0, "", IF(MONTH($S$1)=MONTH($M23),Paid!C24,0))</f>
        <v>3.05</v>
      </c>
      <c r="T23" s="1" t="str">
        <f>IF($M23="","",IF( IF(MONTH($T$1)=MONTH($M23),Paid!C24,0)=0,"", IF(MONTH($T$1)=MONTH($M23),Paid!C24,0)))</f>
        <v/>
      </c>
      <c r="U23" s="1" t="str">
        <f>IF($M23="","",IF( IF(MONTH($U$1)=MONTH($M23),Paid!$C24,0)=0,"", IF(MONTH($U$1)=MONTH($M23),Paid!$C24,0)))</f>
        <v/>
      </c>
      <c r="V23" s="1" t="str">
        <f>IF($M23="","",IF( IF(MONTH(V$1)=MONTH($M23),Paid!E51,0)=0,"", IF(MONTH(V$1)=MONTH($M23),Paid!$C25,0)))</f>
        <v/>
      </c>
      <c r="W23" s="1" t="str">
        <f>IF($M23="","",IF( IF(MONTH(W$1)=MONTH($M23),Paid!F51,0)=0,"", IF(MONTH(W$1)=MONTH($M23),Paid!$C25,0)))</f>
        <v/>
      </c>
      <c r="X23" s="1" t="str">
        <f>IF($M23="","",IF( IF(MONTH(X$1)=MONTH($M23),Paid!G51,0)=0,"", IF(MONTH(X$1)=MONTH($M23),Paid!$C25,0)))</f>
        <v/>
      </c>
      <c r="Y23" s="1" t="str">
        <f>IF($M23="","",IF( IF(MONTH(Y$1)=MONTH($M23),Paid!H51,0)=0,"", IF(MONTH(Y$1)=MONTH($M23),Paid!$C25,0)))</f>
        <v/>
      </c>
      <c r="Z23" s="1" t="str">
        <f>IF($M23="","",IF( IF(MONTH(Z$1)=MONTH($M23),Paid!I51,0)=0,"", IF(MONTH(Z$1)=MONTH($M23),Paid!$C25,0)))</f>
        <v/>
      </c>
      <c r="AA23" s="1" t="str">
        <f>IF($M23="","",IF( IF(MONTH(AA$1)=MONTH($M23),Paid!J51,0)=0,"", IF(MONTH(AA$1)=MONTH($M23),Paid!$C25,0)))</f>
        <v/>
      </c>
      <c r="AB23" s="1" t="str">
        <f>IF($M23="","",IF( IF(MONTH(AB$1)=MONTH($M23),Paid!K51,0)=0,"", IF(MONTH(AB$1)=MONTH($M23),Paid!$C25,0)))</f>
        <v/>
      </c>
      <c r="AC23" s="1"/>
      <c r="AD23" s="1"/>
      <c r="AE23" s="1"/>
      <c r="AF23" s="1"/>
      <c r="AG23" s="1"/>
      <c r="AH23" s="1"/>
    </row>
    <row r="24" spans="2:34">
      <c r="B24" s="71" t="s">
        <v>225</v>
      </c>
      <c r="C24" s="136">
        <f>SUM(H2:H15)</f>
        <v>159.30999999999997</v>
      </c>
      <c r="E24" s="25"/>
      <c r="H24" s="10"/>
      <c r="M24" s="19">
        <f>IF(Paid!E26="","",Paid!E25)</f>
        <v>44201</v>
      </c>
      <c r="O24" s="1" t="str">
        <f>IF( IF(EOMONTH($O$1,0)=EOMONTH(M24,0),Paid!C26,0)=0, "", IF(EOMONTH($O$1,0)=EOMONTH(M24,0),Paid!C26,0))</f>
        <v/>
      </c>
      <c r="P24" s="1"/>
      <c r="Q24" s="1" t="str">
        <f>IF( IF(EOMONTH($Q$1,0)=EOMONTH(M24,0),Paid!C25,0)=0, "", IF(EOMONTH($Q$1,0)=EOMONTH(M24,0),Paid!C25,0))</f>
        <v/>
      </c>
      <c r="R24" s="1" t="str">
        <f>IF( IF(MONTH($R$1)=MONTH(M24),Paid!C25,0)=0, "", IF(MONTH($R$1)=MONTH(M24),Paid!C25,0))</f>
        <v/>
      </c>
      <c r="S24" s="1">
        <f>IF( IF(MONTH($S$1)=MONTH($M24),Paid!C25,0)=0, "", IF(MONTH($S$1)=MONTH($M24),Paid!C25,0))</f>
        <v>10.85</v>
      </c>
      <c r="T24" s="1" t="str">
        <f>IF($M24="","",IF( IF(MONTH($T$1)=MONTH($M24),Paid!C25,0)=0,"", IF(MONTH($T$1)=MONTH($M24),Paid!C25,0)))</f>
        <v/>
      </c>
      <c r="U24" s="1" t="str">
        <f>IF($M24="","",IF( IF(MONTH($U$1)=MONTH($M24),Paid!$C25,0)=0,"", IF(MONTH($U$1)=MONTH($M24),Paid!$C25,0)))</f>
        <v/>
      </c>
      <c r="V24" s="1" t="str">
        <f>IF($M24="","",IF( IF(MONTH(V$1)=MONTH($M24),Paid!E52,0)=0,"", IF(MONTH(V$1)=MONTH($M24),Paid!$C26,0)))</f>
        <v/>
      </c>
      <c r="W24" s="1" t="str">
        <f>IF($M24="","",IF( IF(MONTH(W$1)=MONTH($M24),Paid!F52,0)=0,"", IF(MONTH(W$1)=MONTH($M24),Paid!$C26,0)))</f>
        <v/>
      </c>
      <c r="X24" s="1" t="str">
        <f>IF($M24="","",IF( IF(MONTH(X$1)=MONTH($M24),Paid!G52,0)=0,"", IF(MONTH(X$1)=MONTH($M24),Paid!$C26,0)))</f>
        <v/>
      </c>
      <c r="Y24" s="1" t="str">
        <f>IF($M24="","",IF( IF(MONTH(Y$1)=MONTH($M24),Paid!H52,0)=0,"", IF(MONTH(Y$1)=MONTH($M24),Paid!$C26,0)))</f>
        <v/>
      </c>
      <c r="Z24" s="1" t="str">
        <f>IF($M24="","",IF( IF(MONTH(Z$1)=MONTH($M24),Paid!I52,0)=0,"", IF(MONTH(Z$1)=MONTH($M24),Paid!$C26,0)))</f>
        <v/>
      </c>
      <c r="AA24" s="1" t="str">
        <f>IF($M24="","",IF( IF(MONTH(AA$1)=MONTH($M24),Paid!J52,0)=0,"", IF(MONTH(AA$1)=MONTH($M24),Paid!$C26,0)))</f>
        <v/>
      </c>
      <c r="AB24" s="1" t="str">
        <f>IF($M24="","",IF( IF(MONTH(AB$1)=MONTH($M24),Paid!K52,0)=0,"", IF(MONTH(AB$1)=MONTH($M24),Paid!$C26,0)))</f>
        <v/>
      </c>
      <c r="AC24" s="1"/>
      <c r="AD24" s="1"/>
      <c r="AE24" s="1"/>
      <c r="AF24" s="1"/>
      <c r="AG24" s="1"/>
      <c r="AH24" s="1"/>
    </row>
    <row r="25" spans="2:34" ht="16.5" thickBot="1">
      <c r="B25" s="134"/>
      <c r="C25" s="135"/>
      <c r="M25" s="19">
        <f>IF(Paid!E27="","",Paid!E26)</f>
        <v>44201</v>
      </c>
      <c r="O25" s="1" t="str">
        <f>IF( IF(EOMONTH($O$1,0)=EOMONTH(M25,0),Paid!C27,0)=0, "", IF(EOMONTH($O$1,0)=EOMONTH(M25,0),Paid!C27,0))</f>
        <v/>
      </c>
      <c r="P25" s="1"/>
      <c r="Q25" s="1" t="str">
        <f>IF( IF(EOMONTH($Q$1,0)=EOMONTH(M25,0),Paid!C26,0)=0, "", IF(EOMONTH($Q$1,0)=EOMONTH(M25,0),Paid!C26,0))</f>
        <v/>
      </c>
      <c r="R25" s="1" t="str">
        <f>IF( IF(MONTH($R$1)=MONTH(M25),Paid!C26,0)=0, "", IF(MONTH($R$1)=MONTH(M25),Paid!C26,0))</f>
        <v/>
      </c>
      <c r="S25" s="1">
        <f>IF( IF(MONTH($S$1)=MONTH($M25),Paid!C26,0)=0, "", IF(MONTH($S$1)=MONTH($M25),Paid!C26,0))</f>
        <v>2.4300000000000002</v>
      </c>
      <c r="T25" s="1" t="str">
        <f>IF($M25="","",IF( IF(MONTH($T$1)=MONTH($M25),Paid!C26,0)=0,"", IF(MONTH($T$1)=MONTH($M25),Paid!C26,0)))</f>
        <v/>
      </c>
      <c r="U25" s="1" t="str">
        <f>IF($M25="","",IF( IF(MONTH($U$1)=MONTH($M25),Paid!$C26,0)=0,"", IF(MONTH($U$1)=MONTH($M25),Paid!$C26,0)))</f>
        <v/>
      </c>
      <c r="V25" s="1" t="str">
        <f>IF($M25="","",IF( IF(MONTH(V$1)=MONTH($M25),Paid!E53,0)=0,"", IF(MONTH(V$1)=MONTH($M25),Paid!$C27,0)))</f>
        <v/>
      </c>
      <c r="W25" s="1" t="str">
        <f>IF($M25="","",IF( IF(MONTH(W$1)=MONTH($M25),Paid!F53,0)=0,"", IF(MONTH(W$1)=MONTH($M25),Paid!$C27,0)))</f>
        <v/>
      </c>
      <c r="X25" s="1" t="str">
        <f>IF($M25="","",IF( IF(MONTH(X$1)=MONTH($M25),Paid!G53,0)=0,"", IF(MONTH(X$1)=MONTH($M25),Paid!$C27,0)))</f>
        <v/>
      </c>
      <c r="Y25" s="1" t="str">
        <f>IF($M25="","",IF( IF(MONTH(Y$1)=MONTH($M25),Paid!H53,0)=0,"", IF(MONTH(Y$1)=MONTH($M25),Paid!$C27,0)))</f>
        <v/>
      </c>
      <c r="Z25" s="1" t="str">
        <f>IF($M25="","",IF( IF(MONTH(Z$1)=MONTH($M25),Paid!I53,0)=0,"", IF(MONTH(Z$1)=MONTH($M25),Paid!$C27,0)))</f>
        <v/>
      </c>
      <c r="AA25" s="1" t="str">
        <f>IF($M25="","",IF( IF(MONTH(AA$1)=MONTH($M25),Paid!J53,0)=0,"", IF(MONTH(AA$1)=MONTH($M25),Paid!$C27,0)))</f>
        <v/>
      </c>
      <c r="AB25" s="1" t="str">
        <f>IF($M25="","",IF( IF(MONTH(AB$1)=MONTH($M25),Paid!K53,0)=0,"", IF(MONTH(AB$1)=MONTH($M25),Paid!$C27,0)))</f>
        <v/>
      </c>
      <c r="AC25" s="1"/>
      <c r="AD25" s="1"/>
      <c r="AE25" s="1"/>
      <c r="AF25" s="1"/>
      <c r="AG25" s="1"/>
      <c r="AH25" s="1"/>
    </row>
    <row r="26" spans="2:34">
      <c r="B26" s="99" t="s">
        <v>133</v>
      </c>
      <c r="C26" s="100">
        <f>IF(C8=TRUE,SUMIF(Paid!D5:D101,"bangood",Paid!C5:C101),"***")</f>
        <v>313.88</v>
      </c>
      <c r="M26" s="19">
        <f>IF(Paid!E28="","",Paid!E27)</f>
        <v>44201</v>
      </c>
      <c r="O26" s="1" t="str">
        <f>IF( IF(EOMONTH($O$1,0)=EOMONTH(M26,0),Paid!C28,0)=0, "", IF(EOMONTH($O$1,0)=EOMONTH(M26,0),Paid!C28,0))</f>
        <v/>
      </c>
      <c r="Q26" s="1" t="str">
        <f>IF( IF(EOMONTH($Q$1,0)=EOMONTH(M26,0),Paid!C27,0)=0, "", IF(EOMONTH($Q$1,0)=EOMONTH(M26,0),Paid!C27,0))</f>
        <v/>
      </c>
      <c r="R26" s="1" t="str">
        <f>IF( IF(MONTH($R$1)=MONTH(M26),Paid!C27,0)=0, "", IF(MONTH($R$1)=MONTH(M26),Paid!C27,0))</f>
        <v/>
      </c>
      <c r="S26" s="1">
        <f>IF( IF(MONTH($S$1)=MONTH($M26),Paid!C27,0)=0, "", IF(MONTH($S$1)=MONTH($M26),Paid!C27,0))</f>
        <v>18.91</v>
      </c>
      <c r="T26" s="1" t="str">
        <f>IF($M26="","",IF( IF(MONTH($T$1)=MONTH($M26),Paid!C27,0)=0,"", IF(MONTH($T$1)=MONTH($M26),Paid!C27,0)))</f>
        <v/>
      </c>
      <c r="U26" s="1" t="str">
        <f>IF($M26="","",IF( IF(MONTH($U$1)=MONTH($M26),Paid!$C27,0)=0,"", IF(MONTH($U$1)=MONTH($M26),Paid!$C27,0)))</f>
        <v/>
      </c>
      <c r="V26" s="1" t="str">
        <f>IF($M26="","",IF( IF(MONTH(V$1)=MONTH($M26),Paid!E54,0)=0,"", IF(MONTH(V$1)=MONTH($M26),Paid!$C28,0)))</f>
        <v/>
      </c>
      <c r="W26" s="1" t="str">
        <f>IF($M26="","",IF( IF(MONTH(W$1)=MONTH($M26),Paid!F54,0)=0,"", IF(MONTH(W$1)=MONTH($M26),Paid!$C28,0)))</f>
        <v/>
      </c>
      <c r="X26" s="1" t="str">
        <f>IF($M26="","",IF( IF(MONTH(X$1)=MONTH($M26),Paid!G54,0)=0,"", IF(MONTH(X$1)=MONTH($M26),Paid!$C28,0)))</f>
        <v/>
      </c>
      <c r="Y26" s="1" t="str">
        <f>IF($M26="","",IF( IF(MONTH(Y$1)=MONTH($M26),Paid!H54,0)=0,"", IF(MONTH(Y$1)=MONTH($M26),Paid!$C28,0)))</f>
        <v/>
      </c>
      <c r="Z26" s="1" t="str">
        <f>IF($M26="","",IF( IF(MONTH(Z$1)=MONTH($M26),Paid!I54,0)=0,"", IF(MONTH(Z$1)=MONTH($M26),Paid!$C28,0)))</f>
        <v/>
      </c>
      <c r="AA26" s="1" t="str">
        <f>IF($M26="","",IF( IF(MONTH(AA$1)=MONTH($M26),Paid!J54,0)=0,"", IF(MONTH(AA$1)=MONTH($M26),Paid!$C28,0)))</f>
        <v/>
      </c>
      <c r="AB26" s="1" t="str">
        <f>IF($M26="","",IF( IF(MONTH(AB$1)=MONTH($M26),Paid!K54,0)=0,"", IF(MONTH(AB$1)=MONTH($M26),Paid!$C28,0)))</f>
        <v/>
      </c>
      <c r="AC26" s="1"/>
      <c r="AD26" s="1"/>
      <c r="AE26" s="1"/>
      <c r="AF26" s="1"/>
      <c r="AG26" s="1"/>
      <c r="AH26" s="1"/>
    </row>
    <row r="27" spans="2:34">
      <c r="B27" s="48" t="s">
        <v>134</v>
      </c>
      <c r="C27" s="75">
        <f>IF(C8=TRUE,SUMIF(Paid!D5:D101,"aliexpress",Paid!C5:C101),"***")</f>
        <v>231.33999999999992</v>
      </c>
      <c r="M27" s="19">
        <f>IF(Paid!E29="","",Paid!E28)</f>
        <v>44204</v>
      </c>
      <c r="O27" s="1" t="str">
        <f>IF( IF(EOMONTH($O$1,0)=EOMONTH(M27,0),Paid!C29,0)=0, "", IF(EOMONTH($O$1,0)=EOMONTH(M27,0),Paid!C29,0))</f>
        <v/>
      </c>
      <c r="Q27" s="1" t="str">
        <f>IF( IF(EOMONTH($Q$1,0)=EOMONTH(M27,0),Paid!C28,0)=0, "", IF(EOMONTH($Q$1,0)=EOMONTH(M27,0),Paid!C28,0))</f>
        <v/>
      </c>
      <c r="R27" s="1" t="str">
        <f>IF( IF(MONTH($R$1)=MONTH(M27),Paid!C28,0)=0, "", IF(MONTH($R$1)=MONTH(M27),Paid!C28,0))</f>
        <v/>
      </c>
      <c r="S27" s="1">
        <f>IF( IF(MONTH($S$1)=MONTH($M27),Paid!C28,0)=0, "", IF(MONTH($S$1)=MONTH($M27),Paid!C28,0))</f>
        <v>7.57</v>
      </c>
      <c r="T27" s="1" t="str">
        <f>IF($M27="","",IF( IF(MONTH($T$1)=MONTH($M27),Paid!C28,0)=0,"", IF(MONTH($T$1)=MONTH($M27),Paid!C28,0)))</f>
        <v/>
      </c>
      <c r="U27" s="1" t="str">
        <f>IF($M27="","",IF( IF(MONTH($U$1)=MONTH($M27),Paid!$C28,0)=0,"", IF(MONTH($U$1)=MONTH($M27),Paid!$C28,0)))</f>
        <v/>
      </c>
      <c r="V27" s="1" t="str">
        <f>IF($M27="","",IF( IF(MONTH(V$1)=MONTH($M27),Paid!E55,0)=0,"", IF(MONTH(V$1)=MONTH($M27),Paid!$C29,0)))</f>
        <v/>
      </c>
      <c r="W27" s="1" t="str">
        <f>IF($M27="","",IF( IF(MONTH(W$1)=MONTH($M27),Paid!F55,0)=0,"", IF(MONTH(W$1)=MONTH($M27),Paid!$C29,0)))</f>
        <v/>
      </c>
      <c r="X27" s="1" t="str">
        <f>IF($M27="","",IF( IF(MONTH(X$1)=MONTH($M27),Paid!G55,0)=0,"", IF(MONTH(X$1)=MONTH($M27),Paid!$C29,0)))</f>
        <v/>
      </c>
      <c r="Y27" s="1" t="str">
        <f>IF($M27="","",IF( IF(MONTH(Y$1)=MONTH($M27),Paid!H55,0)=0,"", IF(MONTH(Y$1)=MONTH($M27),Paid!$C29,0)))</f>
        <v/>
      </c>
      <c r="Z27" s="1" t="str">
        <f>IF($M27="","",IF( IF(MONTH(Z$1)=MONTH($M27),Paid!I55,0)=0,"", IF(MONTH(Z$1)=MONTH($M27),Paid!$C29,0)))</f>
        <v/>
      </c>
      <c r="AA27" s="1" t="str">
        <f>IF($M27="","",IF( IF(MONTH(AA$1)=MONTH($M27),Paid!J55,0)=0,"", IF(MONTH(AA$1)=MONTH($M27),Paid!$C29,0)))</f>
        <v/>
      </c>
      <c r="AB27" s="1" t="str">
        <f>IF($M27="","",IF( IF(MONTH(AB$1)=MONTH($M27),Paid!K55,0)=0,"", IF(MONTH(AB$1)=MONTH($M27),Paid!$C29,0)))</f>
        <v/>
      </c>
      <c r="AC27" s="1"/>
      <c r="AD27" s="1"/>
      <c r="AE27" s="1"/>
      <c r="AF27" s="1"/>
      <c r="AG27" s="1"/>
      <c r="AH27" s="1"/>
    </row>
    <row r="28" spans="2:34" ht="15.95" customHeight="1" thickBot="1">
      <c r="B28" s="93" t="s">
        <v>135</v>
      </c>
      <c r="C28" s="94">
        <f>IF(C8=TRUE,SUM(G2:G24)-C26-C27,"***")</f>
        <v>200.79000000000008</v>
      </c>
      <c r="M28" s="19">
        <f>IF(Paid!E30="","",Paid!E29)</f>
        <v>44205</v>
      </c>
      <c r="O28" s="1"/>
      <c r="Q28" s="1" t="str">
        <f>IF( IF(EOMONTH($Q$1,0)=EOMONTH(M28,0),Paid!C29,0)=0, "", IF(EOMONTH($Q$1,0)=EOMONTH(M28,0),Paid!C29,0))</f>
        <v/>
      </c>
      <c r="R28" s="1" t="str">
        <f>IF( IF(MONTH($R$1)=MONTH(M28),Paid!C29,0)=0, "", IF(MONTH($R$1)=MONTH(M28),Paid!C29,0))</f>
        <v/>
      </c>
      <c r="S28" s="1">
        <f>IF( IF(MONTH($S$1)=MONTH($M28),Paid!C29,0)=0, "", IF(MONTH($S$1)=MONTH($M28),Paid!C29,0))</f>
        <v>2.27</v>
      </c>
      <c r="T28" s="1" t="str">
        <f>IF($M28="","",IF( IF(MONTH($T$1)=MONTH($M28),Paid!C29,0)=0,"", IF(MONTH($T$1)=MONTH($M28),Paid!C29,0)))</f>
        <v/>
      </c>
      <c r="U28" s="1" t="str">
        <f>IF($M28="","",IF( IF(MONTH($U$1)=MONTH($M28),Paid!$C29,0)=0,"", IF(MONTH($U$1)=MONTH($M28),Paid!$C29,0)))</f>
        <v/>
      </c>
      <c r="V28" s="1" t="str">
        <f>IF($M28="","",IF( IF(MONTH(V$1)=MONTH($M28),Paid!E56,0)=0,"", IF(MONTH(V$1)=MONTH($M28),Paid!$C30,0)))</f>
        <v/>
      </c>
      <c r="W28" s="1" t="str">
        <f>IF($M28="","",IF( IF(MONTH(W$1)=MONTH($M28),Paid!F56,0)=0,"", IF(MONTH(W$1)=MONTH($M28),Paid!$C30,0)))</f>
        <v/>
      </c>
      <c r="X28" s="1" t="str">
        <f>IF($M28="","",IF( IF(MONTH(X$1)=MONTH($M28),Paid!G56,0)=0,"", IF(MONTH(X$1)=MONTH($M28),Paid!$C30,0)))</f>
        <v/>
      </c>
      <c r="Y28" s="1" t="str">
        <f>IF($M28="","",IF( IF(MONTH(Y$1)=MONTH($M28),Paid!H56,0)=0,"", IF(MONTH(Y$1)=MONTH($M28),Paid!$C30,0)))</f>
        <v/>
      </c>
      <c r="Z28" s="1" t="str">
        <f>IF($M28="","",IF( IF(MONTH(Z$1)=MONTH($M28),Paid!I56,0)=0,"", IF(MONTH(Z$1)=MONTH($M28),Paid!$C30,0)))</f>
        <v/>
      </c>
      <c r="AA28" s="1" t="str">
        <f>IF($M28="","",IF( IF(MONTH(AA$1)=MONTH($M28),Paid!J56,0)=0,"", IF(MONTH(AA$1)=MONTH($M28),Paid!$C30,0)))</f>
        <v/>
      </c>
      <c r="AB28" s="1" t="str">
        <f>IF($M28="","",IF( IF(MONTH(AB$1)=MONTH($M28),Paid!K56,0)=0,"", IF(MONTH(AB$1)=MONTH($M28),Paid!$C30,0)))</f>
        <v/>
      </c>
      <c r="AC28" s="1"/>
      <c r="AD28" s="1"/>
      <c r="AE28" s="1"/>
      <c r="AF28" s="1"/>
      <c r="AG28" s="1"/>
      <c r="AH28" s="1"/>
    </row>
    <row r="29" spans="2:34" ht="16.5" thickBot="1">
      <c r="B29" s="101"/>
      <c r="C29" s="102"/>
      <c r="M29" s="19">
        <f>IF(Paid!E31="","",Paid!E30)</f>
        <v>44207</v>
      </c>
      <c r="O29" s="1"/>
      <c r="Q29" s="1" t="str">
        <f>IF( IF(EOMONTH($Q$1,0)=EOMONTH(M29,0),Paid!C30,0)=0, "", IF(EOMONTH($Q$1,0)=EOMONTH(M29,0),Paid!C30,0))</f>
        <v/>
      </c>
      <c r="R29" s="1" t="str">
        <f>IF( IF(MONTH($R$1)=MONTH(M29),Paid!C30,0)=0, "", IF(MONTH($R$1)=MONTH(M29),Paid!C30,0))</f>
        <v/>
      </c>
      <c r="S29" s="1">
        <f>IF( IF(MONTH($S$1)=MONTH($M29),Paid!C30,0)=0, "", IF(MONTH($S$1)=MONTH($M29),Paid!C30,0))</f>
        <v>12.09</v>
      </c>
      <c r="T29" s="1" t="str">
        <f>IF($M29="","",IF( IF(MONTH($T$1)=MONTH($M29),Paid!C30,0)=0,"", IF(MONTH($T$1)=MONTH($M29),Paid!C30,0)))</f>
        <v/>
      </c>
      <c r="U29" s="1" t="str">
        <f>IF($M29="","",IF( IF(MONTH($U$1)=MONTH($M29),Paid!$C30,0)=0,"", IF(MONTH($U$1)=MONTH($M29),Paid!$C30,0)))</f>
        <v/>
      </c>
      <c r="V29" s="1" t="str">
        <f>IF($M29="","",IF( IF(MONTH(V$1)=MONTH($M29),Paid!E57,0)=0,"", IF(MONTH(V$1)=MONTH($M29),Paid!$C31,0)))</f>
        <v/>
      </c>
      <c r="W29" s="1" t="str">
        <f>IF($M29="","",IF( IF(MONTH(W$1)=MONTH($M29),Paid!F57,0)=0,"", IF(MONTH(W$1)=MONTH($M29),Paid!$C31,0)))</f>
        <v/>
      </c>
      <c r="X29" s="1" t="str">
        <f>IF($M29="","",IF( IF(MONTH(X$1)=MONTH($M29),Paid!G57,0)=0,"", IF(MONTH(X$1)=MONTH($M29),Paid!$C31,0)))</f>
        <v/>
      </c>
      <c r="Y29" s="1" t="str">
        <f>IF($M29="","",IF( IF(MONTH(Y$1)=MONTH($M29),Paid!H57,0)=0,"", IF(MONTH(Y$1)=MONTH($M29),Paid!$C31,0)))</f>
        <v/>
      </c>
      <c r="Z29" s="1" t="str">
        <f>IF($M29="","",IF( IF(MONTH(Z$1)=MONTH($M29),Paid!I57,0)=0,"", IF(MONTH(Z$1)=MONTH($M29),Paid!$C31,0)))</f>
        <v/>
      </c>
      <c r="AA29" s="1" t="str">
        <f>IF($M29="","",IF( IF(MONTH(AA$1)=MONTH($M29),Paid!J57,0)=0,"", IF(MONTH(AA$1)=MONTH($M29),Paid!$C31,0)))</f>
        <v/>
      </c>
      <c r="AB29" s="1" t="str">
        <f>IF($M29="","",IF( IF(MONTH(AB$1)=MONTH($M29),Paid!K57,0)=0,"", IF(MONTH(AB$1)=MONTH($M29),Paid!$C31,0)))</f>
        <v/>
      </c>
      <c r="AC29" s="1"/>
      <c r="AD29" s="1"/>
      <c r="AE29" s="1"/>
      <c r="AF29" s="1"/>
      <c r="AG29" s="1"/>
      <c r="AH29" s="1"/>
    </row>
    <row r="30" spans="2:34">
      <c r="B30" s="99" t="s">
        <v>136</v>
      </c>
      <c r="C30" s="100">
        <f>IF(C8=TRUE,C26/Paid!T15,"***")</f>
        <v>39.234999999999999</v>
      </c>
      <c r="M30" s="19">
        <f>IF(Paid!E32="","",Paid!E31)</f>
        <v>44207</v>
      </c>
      <c r="O30" s="1"/>
      <c r="Q30" s="1" t="str">
        <f>IF( IF(EOMONTH($Q$1,0)=EOMONTH(M30,0),Paid!C31,0)=0, "", IF(EOMONTH($Q$1,0)=EOMONTH(M30,0),Paid!C31,0))</f>
        <v/>
      </c>
      <c r="R30" s="1" t="str">
        <f>IF( IF(MONTH($R$1)=MONTH(M30),Paid!C31,0)=0, "", IF(MONTH($R$1)=MONTH(M30),Paid!C31,0))</f>
        <v/>
      </c>
      <c r="S30" s="1">
        <f>IF( IF(MONTH($S$1)=MONTH($M30),Paid!C31,0)=0, "", IF(MONTH($S$1)=MONTH($M30),Paid!C31,0))</f>
        <v>5.81</v>
      </c>
      <c r="T30" s="1" t="str">
        <f>IF($M30="","",IF( IF(MONTH($T$1)=MONTH($M30),Paid!C31,0)=0,"", IF(MONTH($T$1)=MONTH($M30),Paid!C31,0)))</f>
        <v/>
      </c>
      <c r="U30" s="1" t="str">
        <f>IF($M30="","",IF( IF(MONTH($U$1)=MONTH($M30),Paid!$C31,0)=0,"", IF(MONTH($U$1)=MONTH($M30),Paid!$C31,0)))</f>
        <v/>
      </c>
      <c r="V30" s="1" t="str">
        <f>IF($M30="","",IF( IF(MONTH(V$1)=MONTH($M30),Paid!E58,0)=0,"", IF(MONTH(V$1)=MONTH($M30),Paid!$C32,0)))</f>
        <v/>
      </c>
      <c r="W30" s="1" t="str">
        <f>IF($M30="","",IF( IF(MONTH(W$1)=MONTH($M30),Paid!F58,0)=0,"", IF(MONTH(W$1)=MONTH($M30),Paid!$C32,0)))</f>
        <v/>
      </c>
      <c r="X30" s="1" t="str">
        <f>IF($M30="","",IF( IF(MONTH(X$1)=MONTH($M30),Paid!G59,0)=0,"", IF(MONTH(X$1)=MONTH($M30),Paid!$C32,0)))</f>
        <v/>
      </c>
      <c r="Y30" s="1" t="str">
        <f>IF($M30="","",IF( IF(MONTH(Y$1)=MONTH($M30),Paid!H58,0)=0,"", IF(MONTH(Y$1)=MONTH($M30),Paid!$C32,0)))</f>
        <v/>
      </c>
      <c r="Z30" s="1" t="str">
        <f>IF($M30="","",IF( IF(MONTH(Z$1)=MONTH($M30),Paid!I58,0)=0,"", IF(MONTH(Z$1)=MONTH($M30),Paid!$C32,0)))</f>
        <v/>
      </c>
      <c r="AA30" s="1" t="str">
        <f>IF($M30="","",IF( IF(MONTH(AA$1)=MONTH($M30),Paid!J58,0)=0,"", IF(MONTH(AA$1)=MONTH($M30),Paid!$C32,0)))</f>
        <v/>
      </c>
      <c r="AB30" s="1" t="str">
        <f>IF($M30="","",IF( IF(MONTH(AB$1)=MONTH($M30),Paid!K58,0)=0,"", IF(MONTH(AB$1)=MONTH($M30),Paid!$C32,0)))</f>
        <v/>
      </c>
      <c r="AC30" s="1"/>
      <c r="AD30" s="1"/>
      <c r="AE30" s="1"/>
      <c r="AF30" s="1"/>
      <c r="AG30" s="1"/>
      <c r="AH30" s="1"/>
    </row>
    <row r="31" spans="2:34" ht="16.5" thickBot="1">
      <c r="B31" s="76" t="s">
        <v>137</v>
      </c>
      <c r="C31" s="77">
        <f>IF(C8=TRUE,C27/Paid!T17,"***")</f>
        <v>5.257727272727271</v>
      </c>
      <c r="M31" s="19">
        <f>IF(Paid!E33="","",Paid!E32)</f>
        <v>44208</v>
      </c>
      <c r="O31" s="1"/>
      <c r="Q31" s="1" t="str">
        <f>IF( IF(EOMONTH($Q$1,0)=EOMONTH(M31,0),Paid!C32,0)=0, "", IF(EOMONTH($Q$1,0)=EOMONTH(M31,0),Paid!C32,0))</f>
        <v/>
      </c>
      <c r="R31" s="1" t="str">
        <f>IF( IF(MONTH($R$1)=MONTH(M31),Paid!C32,0)=0, "", IF(MONTH($R$1)=MONTH(M31),Paid!C32,0))</f>
        <v/>
      </c>
      <c r="S31" s="1">
        <f>IF( IF(MONTH($S$1)=MONTH($M31),Paid!C32,0)=0, "", IF(MONTH($S$1)=MONTH($M31),Paid!C32,0))</f>
        <v>45.35</v>
      </c>
      <c r="T31" s="1" t="str">
        <f>IF($M31="","",IF( IF(MONTH($T$1)=MONTH($M31),Paid!C32,0)=0,"", IF(MONTH($T$1)=MONTH($M31),Paid!C32,0)))</f>
        <v/>
      </c>
      <c r="U31" s="1" t="str">
        <f>IF($M31="","",IF( IF(MONTH($U$1)=MONTH($M31),Paid!$C32,0)=0,"", IF(MONTH($U$1)=MONTH($M31),Paid!$C32,0)))</f>
        <v/>
      </c>
      <c r="V31" s="1" t="str">
        <f>IF($M31="","",IF( IF(MONTH(V$1)=MONTH($M31),Paid!E59,0)=0,"", IF(MONTH(V$1)=MONTH($M31),Paid!$C33,0)))</f>
        <v/>
      </c>
      <c r="W31" s="1" t="str">
        <f>IF($M31="","",IF( IF(MONTH(W$1)=MONTH($M31),Paid!F59,0)=0,"", IF(MONTH(W$1)=MONTH($M31),Paid!$C33,0)))</f>
        <v/>
      </c>
      <c r="X31" s="1" t="str">
        <f>IF($M31="","",IF( IF(MONTH(X$1)=MONTH($M31),Paid!#REF!,0)=0,"", IF(MONTH(X$1)=MONTH($M31),Paid!$C33,0)))</f>
        <v/>
      </c>
      <c r="Y31" s="1" t="str">
        <f>IF($M31="","",IF( IF(MONTH(Y$1)=MONTH($M31),Paid!G58,0)=0,"", IF(MONTH(Y$1)=MONTH($M31),Paid!$C33,0)))</f>
        <v/>
      </c>
      <c r="Z31" s="1" t="str">
        <f>IF($M31="","",IF( IF(MONTH(Z$1)=MONTH($M31),Paid!I59,0)=0,"", IF(MONTH(Z$1)=MONTH($M31),Paid!$C33,0)))</f>
        <v/>
      </c>
      <c r="AA31" s="1" t="str">
        <f>IF($M31="","",IF( IF(MONTH(AA$1)=MONTH($M31),Paid!J59,0)=0,"", IF(MONTH(AA$1)=MONTH($M31),Paid!$C33,0)))</f>
        <v/>
      </c>
      <c r="AB31" s="1" t="str">
        <f>IF($M31="","",IF( IF(MONTH(AB$1)=MONTH($M31),Paid!K59,0)=0,"", IF(MONTH(AB$1)=MONTH($M31),Paid!$C33,0)))</f>
        <v/>
      </c>
      <c r="AC31" s="1"/>
      <c r="AD31" s="1"/>
      <c r="AE31" s="1"/>
      <c r="AF31" s="1"/>
      <c r="AG31" s="1"/>
      <c r="AH31" s="1"/>
    </row>
    <row r="32" spans="2:34">
      <c r="M32" s="19">
        <f>IF(Paid!E34="","",Paid!E33)</f>
        <v>44238</v>
      </c>
      <c r="O32" s="1"/>
      <c r="Q32" s="1" t="str">
        <f>IF( IF(EOMONTH($Q$1,0)=EOMONTH(M32,0),Paid!C33,0)=0, "", IF(EOMONTH($Q$1,0)=EOMONTH(M32,0),Paid!C33,0))</f>
        <v/>
      </c>
      <c r="R32" s="1" t="str">
        <f>IF( IF(MONTH($R$1)=MONTH(M32),Paid!C33,0)=0, "", IF(MONTH($R$1)=MONTH(M32),Paid!C33,0))</f>
        <v/>
      </c>
      <c r="S32" s="1" t="str">
        <f>IF( IF(MONTH($S$1)=MONTH($M32),Paid!C33,0)=0, "", IF(MONTH($S$1)=MONTH($M32),Paid!C33,0))</f>
        <v/>
      </c>
      <c r="T32" s="1">
        <f>IF($M32="","",IF( IF(MONTH($T$1)=MONTH($M32),Paid!C33,0)=0,"", IF(MONTH($T$1)=MONTH($M32),Paid!C33,0)))</f>
        <v>14.64</v>
      </c>
      <c r="U32" s="1" t="str">
        <f>IF($M32="","",IF( IF(MONTH($U$1)=MONTH($M32),Paid!$C33,0)=0,"", IF(MONTH($U$1)=MONTH($M32),Paid!$C33,0)))</f>
        <v/>
      </c>
      <c r="V32" s="1" t="str">
        <f>IF($M32="","",IF( IF(MONTH(V$1)=MONTH($M32),Paid!E60,0)=0,"", IF(MONTH(V$1)=MONTH($M32),Paid!$C34,0)))</f>
        <v/>
      </c>
      <c r="W32" s="1" t="str">
        <f>IF($M32="","",IF( IF(MONTH(W$1)=MONTH($M32),Paid!F60,0)=0,"", IF(MONTH(W$1)=MONTH($M32),Paid!$C34,0)))</f>
        <v/>
      </c>
      <c r="X32" s="1" t="str">
        <f>IF($M32="","",IF( IF(MONTH(X$1)=MONTH($M32),Paid!G60,0)=0,"", IF(MONTH(X$1)=MONTH($M32),Paid!$C34,0)))</f>
        <v/>
      </c>
      <c r="Y32" s="1" t="str">
        <f>IF($M32="","",IF( IF(MONTH(Y$1)=MONTH($M32),Paid!H60,0)=0,"", IF(MONTH(Y$1)=MONTH($M32),Paid!$C34,0)))</f>
        <v/>
      </c>
      <c r="Z32" s="1" t="str">
        <f>IF($M32="","",IF( IF(MONTH(Z$1)=MONTH($M32),Paid!I60,0)=0,"", IF(MONTH(Z$1)=MONTH($M32),Paid!$C34,0)))</f>
        <v/>
      </c>
      <c r="AA32" s="1" t="str">
        <f>IF($M32="","",IF( IF(MONTH(AA$1)=MONTH($M32),Paid!J60,0)=0,"", IF(MONTH(AA$1)=MONTH($M32),Paid!$C34,0)))</f>
        <v/>
      </c>
      <c r="AB32" s="1" t="str">
        <f>IF($M32="","",IF( IF(MONTH(AB$1)=MONTH($M32),Paid!K60,0)=0,"", IF(MONTH(AB$1)=MONTH($M32),Paid!$C34,0)))</f>
        <v/>
      </c>
      <c r="AC32" s="1"/>
      <c r="AD32" s="1"/>
      <c r="AE32" s="1"/>
      <c r="AF32" s="1"/>
      <c r="AG32" s="1"/>
      <c r="AH32" s="1"/>
    </row>
    <row r="33" spans="2:34" ht="16.5" thickBot="1">
      <c r="M33" s="19">
        <f>IF(Paid!E35="","",Paid!E34)</f>
        <v>44242</v>
      </c>
      <c r="O33" s="1"/>
      <c r="Q33" s="1" t="str">
        <f>IF( IF(EOMONTH($Q$1,0)=EOMONTH(M33,0),Paid!C34,0)=0, "", IF(EOMONTH($Q$1,0)=EOMONTH(M33,0),Paid!C34,0))</f>
        <v/>
      </c>
      <c r="R33" s="1" t="str">
        <f>IF( IF(MONTH($R$1)=MONTH(M33),Paid!C34,0)=0, "", IF(MONTH($R$1)=MONTH(M33),Paid!C34,0))</f>
        <v/>
      </c>
      <c r="S33" s="1" t="str">
        <f>IF( IF(MONTH($S$1)=MONTH($M33),Paid!C34,0)=0, "", IF(MONTH($S$1)=MONTH($M33),Paid!C34,0))</f>
        <v/>
      </c>
      <c r="T33" s="1">
        <f>IF($M33="","",IF( IF(MONTH($T$1)=MONTH($M33),Paid!C34,0)=0,"", IF(MONTH($T$1)=MONTH($M33),Paid!C34,0)))</f>
        <v>2.93</v>
      </c>
      <c r="U33" s="1" t="str">
        <f>IF($M33="","",IF( IF(MONTH($U$1)=MONTH($M33),Paid!$C34,0)=0,"", IF(MONTH($U$1)=MONTH($M33),Paid!$C34,0)))</f>
        <v/>
      </c>
      <c r="V33" s="1" t="str">
        <f>IF($M33="","",IF( IF(MONTH(V$1)=MONTH($M33),Paid!E61,0)=0,"", IF(MONTH(V$1)=MONTH($M33),Paid!$C35,0)))</f>
        <v/>
      </c>
      <c r="W33" s="1" t="str">
        <f>IF($M33="","",IF( IF(MONTH(W$1)=MONTH($M33),Paid!F61,0)=0,"", IF(MONTH(W$1)=MONTH($M33),Paid!$C35,0)))</f>
        <v/>
      </c>
      <c r="X33" s="1" t="str">
        <f>IF($M33="","",IF( IF(MONTH(X$1)=MONTH($M33),Paid!G61,0)=0,"", IF(MONTH(X$1)=MONTH($M33),Paid!$C35,0)))</f>
        <v/>
      </c>
      <c r="Y33" s="1" t="str">
        <f>IF($M33="","",IF( IF(MONTH(Y$1)=MONTH($M33),Paid!H61,0)=0,"", IF(MONTH(Y$1)=MONTH($M33),Paid!$C35,0)))</f>
        <v/>
      </c>
      <c r="Z33" s="1" t="str">
        <f>IF($M33="","",IF( IF(MONTH(Z$1)=MONTH($M33),Paid!I61,0)=0,"", IF(MONTH(Z$1)=MONTH($M33),Paid!$C35,0)))</f>
        <v/>
      </c>
      <c r="AA33" s="1" t="str">
        <f>IF($M33="","",IF( IF(MONTH(AA$1)=MONTH($M33),Paid!J61,0)=0,"", IF(MONTH(AA$1)=MONTH($M33),Paid!$C35,0)))</f>
        <v/>
      </c>
      <c r="AB33" s="1" t="str">
        <f>IF($M33="","",IF( IF(MONTH(AB$1)=MONTH($M33),Paid!K61,0)=0,"", IF(MONTH(AB$1)=MONTH($M33),Paid!$C35,0)))</f>
        <v/>
      </c>
      <c r="AC33" s="1"/>
      <c r="AD33" s="1"/>
      <c r="AE33" s="1"/>
      <c r="AF33" s="1"/>
      <c r="AG33" s="1"/>
      <c r="AH33" s="1"/>
    </row>
    <row r="34" spans="2:34">
      <c r="B34" s="141" t="s">
        <v>174</v>
      </c>
      <c r="C34" s="142">
        <f>SUMIF(Paid!P4:P100,"YES",Paid!C4:C100)</f>
        <v>29.11</v>
      </c>
      <c r="M34" s="19">
        <f>IF(Paid!E36="","",Paid!E35)</f>
        <v>44242</v>
      </c>
      <c r="O34" s="1"/>
      <c r="Q34" s="1" t="str">
        <f>IF( IF(EOMONTH($Q$1,0)=EOMONTH(M34,0),Paid!C35,0)=0, "", IF(EOMONTH($Q$1,0)=EOMONTH(M34,0),Paid!C35,0))</f>
        <v/>
      </c>
      <c r="R34" s="1" t="str">
        <f>IF( IF(MONTH($R$1)=MONTH(M34),Paid!C35,0)=0, "", IF(MONTH($R$1)=MONTH(M34),Paid!C35,0))</f>
        <v/>
      </c>
      <c r="S34" s="1" t="str">
        <f>IF( IF(MONTH($S$1)=MONTH($M34),Paid!C35,0)=0, "", IF(MONTH($S$1)=MONTH($M34),Paid!C35,0))</f>
        <v/>
      </c>
      <c r="T34" s="1">
        <f>IF($M34="","",IF( IF(MONTH($T$1)=MONTH($M34),Paid!C35,0)=0,"", IF(MONTH($T$1)=MONTH($M34),Paid!C35,0)))</f>
        <v>2.33</v>
      </c>
      <c r="U34" s="1" t="str">
        <f>IF($M34="","",IF( IF(MONTH($U$1)=MONTH($M34),Paid!$C35,0)=0,"", IF(MONTH($U$1)=MONTH($M34),Paid!$C35,0)))</f>
        <v/>
      </c>
      <c r="V34" s="1" t="str">
        <f>IF($M34="","",IF( IF(MONTH(V$1)=MONTH($M34),Paid!E62,0)=0,"", IF(MONTH(V$1)=MONTH($M34),Paid!$C36,0)))</f>
        <v/>
      </c>
      <c r="W34" s="1" t="str">
        <f>IF($M34="","",IF( IF(MONTH(W$1)=MONTH($M34),Paid!F62,0)=0,"", IF(MONTH(W$1)=MONTH($M34),Paid!$C36,0)))</f>
        <v/>
      </c>
      <c r="X34" s="1" t="str">
        <f>IF($M34="","",IF( IF(MONTH(X$1)=MONTH($M34),Paid!G62,0)=0,"", IF(MONTH(X$1)=MONTH($M34),Paid!$C36,0)))</f>
        <v/>
      </c>
      <c r="Y34" s="1" t="str">
        <f>IF($M34="","",IF( IF(MONTH(Y$1)=MONTH($M34),Paid!H62,0)=0,"", IF(MONTH(Y$1)=MONTH($M34),Paid!$C36,0)))</f>
        <v/>
      </c>
      <c r="Z34" s="1" t="str">
        <f>IF($M34="","",IF( IF(MONTH(Z$1)=MONTH($M34),Paid!I62,0)=0,"", IF(MONTH(Z$1)=MONTH($M34),Paid!$C36,0)))</f>
        <v/>
      </c>
      <c r="AA34" s="1" t="str">
        <f>IF($M34="","",IF( IF(MONTH(AA$1)=MONTH($M34),Paid!J62,0)=0,"", IF(MONTH(AA$1)=MONTH($M34),Paid!$C36,0)))</f>
        <v/>
      </c>
      <c r="AB34" s="1" t="str">
        <f>IF($M34="","",IF( IF(MONTH(AB$1)=MONTH($M34),Paid!K62,0)=0,"", IF(MONTH(AB$1)=MONTH($M34),Paid!$C36,0)))</f>
        <v/>
      </c>
      <c r="AC34" s="1"/>
      <c r="AD34" s="1"/>
      <c r="AE34" s="1"/>
      <c r="AF34" s="1"/>
      <c r="AG34" s="1"/>
      <c r="AH34" s="1"/>
    </row>
    <row r="35" spans="2:34" ht="16.5" thickBot="1">
      <c r="B35" s="144" t="s">
        <v>172</v>
      </c>
      <c r="C35" s="143">
        <f>1-(C24-C34)/C24</f>
        <v>0.18272550373485652</v>
      </c>
      <c r="M35" s="19">
        <f>IF(Paid!E37="","",Paid!E36)</f>
        <v>44242</v>
      </c>
      <c r="O35" s="1"/>
      <c r="Q35" s="1" t="str">
        <f>IF( IF(EOMONTH($Q$1,0)=EOMONTH(M35,0),Paid!C36,0)=0, "", IF(EOMONTH($Q$1,0)=EOMONTH(M35,0),Paid!C36,0))</f>
        <v/>
      </c>
      <c r="R35" s="1" t="str">
        <f>IF( IF(MONTH($R$1)=MONTH(M35),Paid!C36,0)=0, "", IF(MONTH($R$1)=MONTH(M35),Paid!C36,0))</f>
        <v/>
      </c>
      <c r="S35" s="1" t="str">
        <f>IF( IF(MONTH($S$1)=MONTH($M35),Paid!C36,0)=0, "", IF(MONTH($S$1)=MONTH($M35),Paid!C36,0))</f>
        <v/>
      </c>
      <c r="T35" s="1">
        <f>IF($M35="","",IF( IF(MONTH($T$1)=MONTH($M35),Paid!C36,0)=0,"", IF(MONTH($T$1)=MONTH($M35),Paid!C36,0)))</f>
        <v>2.04</v>
      </c>
      <c r="U35" s="1" t="str">
        <f>IF($M35="","",IF( IF(MONTH($U$1)=MONTH($M35),Paid!$C36,0)=0,"", IF(MONTH($U$1)=MONTH($M35),Paid!$C36,0)))</f>
        <v/>
      </c>
      <c r="V35" s="1" t="str">
        <f>IF($M35="","",IF( IF(MONTH(V$1)=MONTH($M35),Paid!E63,0)=0,"", IF(MONTH(V$1)=MONTH($M35),Paid!#REF!,0)))</f>
        <v/>
      </c>
      <c r="W35" s="1" t="str">
        <f>IF($M35="","",IF( IF(MONTH(W$1)=MONTH($M35),Paid!F63,0)=0,"", IF(MONTH(W$1)=MONTH($M35),Paid!#REF!,0)))</f>
        <v/>
      </c>
      <c r="X35" s="1" t="str">
        <f>IF($M35="","",IF( IF(MONTH(X$1)=MONTH($M35),Paid!G63,0)=0,"", IF(MONTH(X$1)=MONTH($M35),Paid!#REF!,0)))</f>
        <v/>
      </c>
      <c r="Y35" s="1" t="str">
        <f>IF($M35="","",IF( IF(MONTH(Y$1)=MONTH($M35),Paid!H63,0)=0,"", IF(MONTH(Y$1)=MONTH($M35),Paid!#REF!,0)))</f>
        <v/>
      </c>
      <c r="Z35" s="1" t="str">
        <f>IF($M35="","",IF( IF(MONTH(Z$1)=MONTH($M35),Paid!I63,0)=0,"", IF(MONTH(Z$1)=MONTH($M35),Paid!#REF!,0)))</f>
        <v/>
      </c>
      <c r="AA35" s="1" t="str">
        <f>IF($M35="","",IF( IF(MONTH(AA$1)=MONTH($M35),Paid!J63,0)=0,"", IF(MONTH(AA$1)=MONTH($M35),Paid!#REF!,0)))</f>
        <v/>
      </c>
      <c r="AB35" s="1" t="str">
        <f>IF($M35="","",IF( IF(MONTH(AB$1)=MONTH($M35),Paid!K63,0)=0,"", IF(MONTH(AB$1)=MONTH($M35),Paid!#REF!,0)))</f>
        <v/>
      </c>
      <c r="AC35" s="1"/>
      <c r="AD35" s="1"/>
      <c r="AE35" s="1"/>
      <c r="AF35" s="1"/>
      <c r="AG35" s="1"/>
      <c r="AH35" s="1"/>
    </row>
    <row r="36" spans="2:34">
      <c r="M36" s="19">
        <f>IF(Paid!E38="","",Paid!E37)</f>
        <v>44242</v>
      </c>
      <c r="O36" s="1"/>
      <c r="Q36" s="1" t="str">
        <f>IF( IF(EOMONTH($Q$1,0)=EOMONTH(M36,0),Paid!C37,0)=0, "", IF(EOMONTH($Q$1,0)=EOMONTH(M36,0),Paid!C37,0))</f>
        <v/>
      </c>
      <c r="R36" s="1" t="str">
        <f>IF( IF(MONTH($R$1)=MONTH(M36),Paid!C37,0)=0, "", IF(MONTH($R$1)=MONTH(M36),Paid!C37,0))</f>
        <v/>
      </c>
      <c r="S36" s="1" t="str">
        <f>IF( IF(MONTH($S$1)=MONTH($M36),Paid!C37,0)=0, "", IF(MONTH($S$1)=MONTH($M36),Paid!C37,0))</f>
        <v/>
      </c>
      <c r="T36" s="1">
        <f>IF($M36="","",IF( IF(MONTH($T$1)=MONTH($M36),Paid!C37,0)=0,"", IF(MONTH($T$1)=MONTH($M36),Paid!C37,0)))</f>
        <v>1.27</v>
      </c>
      <c r="U36" s="1" t="str">
        <f>IF($M36="","",IF( IF(MONTH($U$1)=MONTH($M36),Paid!$C37,0)=0,"", IF(MONTH($U$1)=MONTH($M36),Paid!$C37,0)))</f>
        <v/>
      </c>
      <c r="V36" s="1" t="str">
        <f>IF($M36="","",IF( IF(MONTH(V$1)=MONTH($M36),Paid!E64,0)=0,"", IF(MONTH(V$1)=MONTH($M36),Paid!$C37,0)))</f>
        <v/>
      </c>
      <c r="W36" s="1" t="str">
        <f>IF($M36="","",IF( IF(MONTH(W$1)=MONTH($M36),Paid!F64,0)=0,"", IF(MONTH(W$1)=MONTH($M36),Paid!$C37,0)))</f>
        <v/>
      </c>
      <c r="X36" s="1" t="str">
        <f>IF($M36="","",IF( IF(MONTH(X$1)=MONTH($M36),Paid!G64,0)=0,"", IF(MONTH(X$1)=MONTH($M36),Paid!$C37,0)))</f>
        <v/>
      </c>
      <c r="Y36" s="1" t="str">
        <f>IF($M36="","",IF( IF(MONTH(Y$1)=MONTH($M36),Paid!H64,0)=0,"", IF(MONTH(Y$1)=MONTH($M36),Paid!$C37,0)))</f>
        <v/>
      </c>
      <c r="Z36" s="1" t="str">
        <f>IF($M36="","",IF( IF(MONTH(Z$1)=MONTH($M36),Paid!I64,0)=0,"", IF(MONTH(Z$1)=MONTH($M36),Paid!$C37,0)))</f>
        <v/>
      </c>
      <c r="AA36" s="1" t="str">
        <f>IF($M36="","",IF( IF(MONTH(AA$1)=MONTH($M36),Paid!J64,0)=0,"", IF(MONTH(AA$1)=MONTH($M36),Paid!$C37,0)))</f>
        <v/>
      </c>
      <c r="AB36" s="1" t="str">
        <f>IF($M36="","",IF( IF(MONTH(AB$1)=MONTH($M36),Paid!K64,0)=0,"", IF(MONTH(AB$1)=MONTH($M36),Paid!$C37,0)))</f>
        <v/>
      </c>
      <c r="AC36" s="1"/>
      <c r="AD36" s="1"/>
      <c r="AE36" s="1"/>
      <c r="AF36" s="1"/>
      <c r="AG36" s="1"/>
      <c r="AH36" s="1"/>
    </row>
    <row r="37" spans="2:34">
      <c r="M37" s="19">
        <f>IF(Paid!E39="","",Paid!E38)</f>
        <v>44243</v>
      </c>
      <c r="O37" s="1"/>
      <c r="Q37" s="1" t="str">
        <f>IF( IF(EOMONTH($Q$1,0)=EOMONTH(M37,0),Paid!C38,0)=0, "", IF(EOMONTH($Q$1,0)=EOMONTH(M37,0),Paid!C38,0))</f>
        <v/>
      </c>
      <c r="R37" s="1" t="str">
        <f>IF( IF(MONTH($R$1)=MONTH(M37),Paid!C38,0)=0, "", IF(MONTH($R$1)=MONTH(M37),Paid!C38,0))</f>
        <v/>
      </c>
      <c r="S37" s="1" t="str">
        <f>IF( IF(MONTH($S$1)=MONTH($M37),Paid!C38,0)=0, "", IF(MONTH($S$1)=MONTH($M37),Paid!C38,0))</f>
        <v/>
      </c>
      <c r="T37" s="1">
        <f>IF($M37="","",IF( IF(MONTH($T$1)=MONTH($M37),Paid!C38,0)=0,"", IF(MONTH($T$1)=MONTH($M37),Paid!C38,0)))</f>
        <v>1.98</v>
      </c>
      <c r="U37" s="1" t="str">
        <f>IF($M37="","",IF( IF(MONTH($U$1)=MONTH($M37),Paid!$C38,0)=0,"", IF(MONTH($U$1)=MONTH($M37),Paid!$C38,0)))</f>
        <v/>
      </c>
      <c r="V37" s="1" t="str">
        <f>IF($M37="","",IF( IF(MONTH(V$1)=MONTH($M37),Paid!E65,0)=0,"", IF(MONTH(V$1)=MONTH($M37),Paid!$C38,0)))</f>
        <v/>
      </c>
      <c r="W37" s="1" t="str">
        <f>IF($M37="","",IF( IF(MONTH(W$1)=MONTH($M37),Paid!F65,0)=0,"", IF(MONTH(W$1)=MONTH($M37),Paid!$C38,0)))</f>
        <v/>
      </c>
      <c r="X37" s="1" t="str">
        <f>IF($M37="","",IF( IF(MONTH(X$1)=MONTH($M37),Paid!G65,0)=0,"", IF(MONTH(X$1)=MONTH($M37),Paid!$C38,0)))</f>
        <v/>
      </c>
      <c r="Y37" s="1" t="str">
        <f>IF($M37="","",IF( IF(MONTH(Y$1)=MONTH($M37),Paid!H65,0)=0,"", IF(MONTH(Y$1)=MONTH($M37),Paid!$C38,0)))</f>
        <v/>
      </c>
      <c r="Z37" s="1" t="str">
        <f>IF($M37="","",IF( IF(MONTH(Z$1)=MONTH($M37),Paid!I65,0)=0,"", IF(MONTH(Z$1)=MONTH($M37),Paid!$C38,0)))</f>
        <v/>
      </c>
      <c r="AA37" s="1" t="str">
        <f>IF($M37="","",IF( IF(MONTH(AA$1)=MONTH($M37),Paid!J65,0)=0,"", IF(MONTH(AA$1)=MONTH($M37),Paid!$C38,0)))</f>
        <v/>
      </c>
      <c r="AB37" s="1" t="str">
        <f>IF($M37="","",IF( IF(MONTH(AB$1)=MONTH($M37),Paid!K65,0)=0,"", IF(MONTH(AB$1)=MONTH($M37),Paid!$C38,0)))</f>
        <v/>
      </c>
      <c r="AC37" s="1"/>
      <c r="AD37" s="1"/>
      <c r="AE37" s="1"/>
      <c r="AF37" s="1"/>
      <c r="AG37" s="1"/>
      <c r="AH37" s="1"/>
    </row>
    <row r="38" spans="2:34">
      <c r="M38" s="19">
        <f>IF(Paid!E40="","",Paid!E39)</f>
        <v>44249</v>
      </c>
      <c r="O38" s="1"/>
      <c r="Q38" s="1" t="str">
        <f>IF( IF(EOMONTH($Q$1,0)=EOMONTH(M38,0),Paid!C39,0)=0, "", IF(EOMONTH($Q$1,0)=EOMONTH(M38,0),Paid!C39,0))</f>
        <v/>
      </c>
      <c r="R38" s="1" t="str">
        <f>IF( IF(MONTH($R$1)=MONTH(M38),Paid!C39,0)=0, "", IF(MONTH($R$1)=MONTH(M38),Paid!C39,0))</f>
        <v/>
      </c>
      <c r="S38" s="1" t="str">
        <f>IF( IF(MONTH($S$1)=MONTH($M38),Paid!C39,0)=0, "", IF(MONTH($S$1)=MONTH($M38),Paid!C39,0))</f>
        <v/>
      </c>
      <c r="T38" s="1">
        <f>IF($M38="","",IF( IF(MONTH($T$1)=MONTH($M38),Paid!C39,0)=0,"", IF(MONTH($T$1)=MONTH($M38),Paid!C39,0)))</f>
        <v>11.78</v>
      </c>
      <c r="U38" s="1" t="str">
        <f>IF($M38="","",IF( IF(MONTH($U$1)=MONTH($M38),Paid!$C39,0)=0,"", IF(MONTH($U$1)=MONTH($M38),Paid!$C39,0)))</f>
        <v/>
      </c>
      <c r="V38" s="1" t="str">
        <f>IF($M38="","",IF( IF(MONTH(V$1)=MONTH($M38),Paid!E66,0)=0,"", IF(MONTH(V$1)=MONTH($M38),Paid!$C40,0)))</f>
        <v/>
      </c>
      <c r="W38" s="1" t="str">
        <f>IF($M38="","",IF( IF(MONTH(W$1)=MONTH($M38),Paid!F66,0)=0,"", IF(MONTH(W$1)=MONTH($M38),Paid!$C40,0)))</f>
        <v/>
      </c>
      <c r="X38" s="1" t="str">
        <f>IF($M38="","",IF( IF(MONTH(X$1)=MONTH($M38),Paid!G66,0)=0,"", IF(MONTH(X$1)=MONTH($M38),Paid!$C40,0)))</f>
        <v/>
      </c>
      <c r="Y38" s="1" t="str">
        <f>IF($M38="","",IF( IF(MONTH(Y$1)=MONTH($M38),Paid!H66,0)=0,"", IF(MONTH(Y$1)=MONTH($M38),Paid!$C40,0)))</f>
        <v/>
      </c>
      <c r="Z38" s="1" t="str">
        <f>IF($M38="","",IF( IF(MONTH(Z$1)=MONTH($M38),Paid!I66,0)=0,"", IF(MONTH(Z$1)=MONTH($M38),Paid!$C40,0)))</f>
        <v/>
      </c>
      <c r="AA38" s="1" t="str">
        <f>IF($M38="","",IF( IF(MONTH(AA$1)=MONTH($M38),Paid!J66,0)=0,"", IF(MONTH(AA$1)=MONTH($M38),Paid!$C40,0)))</f>
        <v/>
      </c>
      <c r="AB38" s="1" t="str">
        <f>IF($M38="","",IF( IF(MONTH(AB$1)=MONTH($M38),Paid!K66,0)=0,"", IF(MONTH(AB$1)=MONTH($M38),Paid!$C40,0)))</f>
        <v/>
      </c>
      <c r="AC38" s="1"/>
      <c r="AD38" s="1"/>
      <c r="AE38" s="1"/>
      <c r="AF38" s="1"/>
      <c r="AG38" s="1"/>
      <c r="AH38" s="1"/>
    </row>
    <row r="39" spans="2:34">
      <c r="M39" s="19">
        <f>IF(Paid!E41="","",Paid!E40)</f>
        <v>44253</v>
      </c>
      <c r="O39" s="1"/>
      <c r="Q39" s="1" t="str">
        <f>IF( IF(EOMONTH($Q$1,0)=EOMONTH(M39,0),Paid!C40,0)=0, "", IF(EOMONTH($Q$1,0)=EOMONTH(M39,0),Paid!C40,0))</f>
        <v/>
      </c>
      <c r="R39" s="1" t="str">
        <f>IF( IF(MONTH($R$1)=MONTH(M39),Paid!C40,0)=0, "", IF(MONTH($R$1)=MONTH(M39),Paid!C40,0))</f>
        <v/>
      </c>
      <c r="S39" s="1" t="str">
        <f>IF( IF(MONTH($S$1)=MONTH($M39),Paid!C40,0)=0, "", IF(MONTH($S$1)=MONTH($M39),Paid!C40,0))</f>
        <v/>
      </c>
      <c r="T39" s="1">
        <f>IF($M39="","",IF( IF(MONTH($T$1)=MONTH($M39),Paid!C40,0)=0,"", IF(MONTH($T$1)=MONTH($M39),Paid!C40,0)))</f>
        <v>7.6</v>
      </c>
      <c r="U39" s="1" t="str">
        <f>IF($M39="","",IF( IF(MONTH($U$1)=MONTH($M39),Paid!$C40,0)=0,"", IF(MONTH($U$1)=MONTH($M39),Paid!$C40,0)))</f>
        <v/>
      </c>
      <c r="V39" s="1" t="str">
        <f>IF($M39="","",IF( IF(MONTH(V$1)=MONTH($M39),Paid!E67,0)=0,"", IF(MONTH(V$1)=MONTH($M39),Paid!$C41,0)))</f>
        <v/>
      </c>
      <c r="W39" s="1" t="str">
        <f>IF($M39="","",IF( IF(MONTH(W$1)=MONTH($M39),Paid!F67,0)=0,"", IF(MONTH(W$1)=MONTH($M39),Paid!$C41,0)))</f>
        <v/>
      </c>
      <c r="X39" s="1" t="str">
        <f>IF($M39="","",IF( IF(MONTH(X$1)=MONTH($M39),Paid!G67,0)=0,"", IF(MONTH(X$1)=MONTH($M39),Paid!$C41,0)))</f>
        <v/>
      </c>
      <c r="Y39" s="1" t="str">
        <f>IF($M39="","",IF( IF(MONTH(Y$1)=MONTH($M39),Paid!H67,0)=0,"", IF(MONTH(Y$1)=MONTH($M39),Paid!$C41,0)))</f>
        <v/>
      </c>
      <c r="Z39" s="1" t="str">
        <f>IF($M39="","",IF( IF(MONTH(Z$1)=MONTH($M39),Paid!I67,0)=0,"", IF(MONTH(Z$1)=MONTH($M39),Paid!$C41,0)))</f>
        <v/>
      </c>
      <c r="AA39" s="1" t="str">
        <f>IF($M39="","",IF( IF(MONTH(AA$1)=MONTH($M39),Paid!J67,0)=0,"", IF(MONTH(AA$1)=MONTH($M39),Paid!$C41,0)))</f>
        <v/>
      </c>
      <c r="AB39" s="1" t="str">
        <f>IF($M39="","",IF( IF(MONTH(AB$1)=MONTH($M39),Paid!K67,0)=0,"", IF(MONTH(AB$1)=MONTH($M39),Paid!$C41,0)))</f>
        <v/>
      </c>
      <c r="AC39" s="1"/>
      <c r="AD39" s="1"/>
      <c r="AE39" s="1"/>
      <c r="AF39" s="1"/>
      <c r="AG39" s="1"/>
      <c r="AH39" s="1"/>
    </row>
    <row r="40" spans="2:34">
      <c r="M40" s="19">
        <f>IF(Paid!E42="","",Paid!E41)</f>
        <v>44253</v>
      </c>
      <c r="O40" s="1"/>
      <c r="Q40" s="1" t="str">
        <f>IF( IF(EOMONTH($Q$1,0)=EOMONTH(M40,0),Paid!C41,0)=0, "", IF(EOMONTH($Q$1,0)=EOMONTH(M40,0),Paid!C41,0))</f>
        <v/>
      </c>
      <c r="R40" s="1" t="str">
        <f>IF( IF(MONTH($R$1)=MONTH(M40),Paid!C41,0)=0, "", IF(MONTH($R$1)=MONTH(M40),Paid!C41,0))</f>
        <v/>
      </c>
      <c r="S40" s="1" t="str">
        <f>IF( IF(MONTH($S$1)=MONTH($M40),Paid!C41,0)=0, "", IF(MONTH($S$1)=MONTH($M40),Paid!C41,0))</f>
        <v/>
      </c>
      <c r="T40" s="1">
        <f>IF($M40="","",IF( IF(MONTH($T$1)=MONTH($M40),Paid!C41,0)=0,"", IF(MONTH($T$1)=MONTH($M40),Paid!C41,0)))</f>
        <v>6.51</v>
      </c>
      <c r="U40" s="1" t="str">
        <f>IF($M40="","",IF( IF(MONTH($U$1)=MONTH($M40),Paid!$C41,0)=0,"", IF(MONTH($U$1)=MONTH($M40),Paid!$C41,0)))</f>
        <v/>
      </c>
      <c r="V40" s="1" t="str">
        <f>IF($M40="","",IF( IF(MONTH(V$1)=MONTH($M40),Paid!E68,0)=0,"", IF(MONTH(V$1)=MONTH($M40),Paid!$C42,0)))</f>
        <v/>
      </c>
      <c r="W40" s="1" t="str">
        <f>IF($M40="","",IF( IF(MONTH(W$1)=MONTH($M40),Paid!F68,0)=0,"", IF(MONTH(W$1)=MONTH($M40),Paid!$C42,0)))</f>
        <v/>
      </c>
      <c r="X40" s="1" t="str">
        <f>IF($M40="","",IF( IF(MONTH(X$1)=MONTH($M40),Paid!G68,0)=0,"", IF(MONTH(X$1)=MONTH($M40),Paid!$C42,0)))</f>
        <v/>
      </c>
      <c r="Y40" s="1" t="str">
        <f>IF($M40="","",IF( IF(MONTH(Y$1)=MONTH($M40),Paid!H68,0)=0,"", IF(MONTH(Y$1)=MONTH($M40),Paid!$C42,0)))</f>
        <v/>
      </c>
      <c r="Z40" s="1" t="str">
        <f>IF($M40="","",IF( IF(MONTH(Z$1)=MONTH($M40),Paid!I68,0)=0,"", IF(MONTH(Z$1)=MONTH($M40),Paid!$C42,0)))</f>
        <v/>
      </c>
      <c r="AA40" s="1" t="str">
        <f>IF($M40="","",IF( IF(MONTH(AA$1)=MONTH($M40),Paid!J68,0)=0,"", IF(MONTH(AA$1)=MONTH($M40),Paid!$C42,0)))</f>
        <v/>
      </c>
      <c r="AB40" s="1" t="str">
        <f>IF($M40="","",IF( IF(MONTH(AB$1)=MONTH($M40),Paid!K68,0)=0,"", IF(MONTH(AB$1)=MONTH($M40),Paid!$C42,0)))</f>
        <v/>
      </c>
      <c r="AC40" s="1"/>
      <c r="AD40" s="1"/>
      <c r="AE40" s="1"/>
      <c r="AF40" s="1"/>
      <c r="AG40" s="1"/>
      <c r="AH40" s="1"/>
    </row>
    <row r="41" spans="2:34">
      <c r="M41" s="19">
        <f>IF(Paid!E43="","",Paid!E42)</f>
        <v>44253</v>
      </c>
      <c r="O41" s="1"/>
      <c r="Q41" s="1" t="str">
        <f>IF( IF(EOMONTH($Q$1,0)=EOMONTH(M41,0),Paid!C42,0)=0, "", IF(EOMONTH($Q$1,0)=EOMONTH(M41,0),Paid!C42,0))</f>
        <v/>
      </c>
      <c r="R41" s="1" t="str">
        <f>IF( IF(MONTH($R$1)=MONTH(M41),Paid!C42,0)=0, "", IF(MONTH($R$1)=MONTH(M41),Paid!C42,0))</f>
        <v/>
      </c>
      <c r="S41" s="1" t="str">
        <f>IF( IF(MONTH($S$1)=MONTH($M41),Paid!C42,0)=0, "", IF(MONTH($S$1)=MONTH($M41),Paid!C42,0))</f>
        <v/>
      </c>
      <c r="T41" s="1">
        <f>IF($M41="","",IF( IF(MONTH($T$1)=MONTH($M41),Paid!C42,0)=0,"", IF(MONTH($T$1)=MONTH($M41),Paid!C42,0)))</f>
        <v>1.17</v>
      </c>
      <c r="U41" s="1" t="str">
        <f>IF($M41="","",IF( IF(MONTH($U$1)=MONTH($M41),Paid!$C42,0)=0,"", IF(MONTH($U$1)=MONTH($M41),Paid!$C42,0)))</f>
        <v/>
      </c>
      <c r="V41" s="1" t="str">
        <f>IF($M41="","",IF( IF(MONTH(V$1)=MONTH($M41),Paid!E69,0)=0,"", IF(MONTH(V$1)=MONTH($M41),Paid!$C43,0)))</f>
        <v/>
      </c>
      <c r="W41" s="1" t="str">
        <f>IF($M41="","",IF( IF(MONTH(W$1)=MONTH($M41),Paid!F69,0)=0,"", IF(MONTH(W$1)=MONTH($M41),Paid!$C43,0)))</f>
        <v/>
      </c>
      <c r="X41" s="1" t="str">
        <f>IF($M41="","",IF( IF(MONTH(X$1)=MONTH($M41),Paid!G69,0)=0,"", IF(MONTH(X$1)=MONTH($M41),Paid!$C43,0)))</f>
        <v/>
      </c>
      <c r="Y41" s="1" t="str">
        <f>IF($M41="","",IF( IF(MONTH(Y$1)=MONTH($M41),Paid!H69,0)=0,"", IF(MONTH(Y$1)=MONTH($M41),Paid!$C43,0)))</f>
        <v/>
      </c>
      <c r="Z41" s="1" t="str">
        <f>IF($M41="","",IF( IF(MONTH(Z$1)=MONTH($M41),Paid!I69,0)=0,"", IF(MONTH(Z$1)=MONTH($M41),Paid!$C43,0)))</f>
        <v/>
      </c>
      <c r="AA41" s="1" t="str">
        <f>IF($M41="","",IF( IF(MONTH(AA$1)=MONTH($M41),Paid!J69,0)=0,"", IF(MONTH(AA$1)=MONTH($M41),Paid!$C43,0)))</f>
        <v/>
      </c>
      <c r="AB41" s="1" t="str">
        <f>IF($M41="","",IF( IF(MONTH(AB$1)=MONTH($M41),Paid!K69,0)=0,"", IF(MONTH(AB$1)=MONTH($M41),Paid!$C43,0)))</f>
        <v/>
      </c>
      <c r="AC41" s="1"/>
      <c r="AD41" s="1"/>
      <c r="AE41" s="1"/>
      <c r="AF41" s="1"/>
      <c r="AG41" s="1"/>
      <c r="AH41" s="1"/>
    </row>
    <row r="42" spans="2:34">
      <c r="M42" s="19">
        <f>IF(Paid!E44="","",Paid!E43)</f>
        <v>44253</v>
      </c>
      <c r="O42" s="1"/>
      <c r="P42" s="1"/>
      <c r="Q42" s="1"/>
      <c r="R42" s="1" t="str">
        <f>IF( IF(MONTH($R$1)=MONTH(M42),Paid!C43,0)=0, "", IF(MONTH($R$1)=MONTH(M42),Paid!C43,0))</f>
        <v/>
      </c>
      <c r="S42" s="1" t="str">
        <f>IF( IF(MONTH($S$1)=MONTH($M42),Paid!C43,0)=0, "", IF(MONTH($S$1)=MONTH($M42),Paid!C43,0))</f>
        <v/>
      </c>
      <c r="T42" s="1">
        <f>IF($M42="","",IF( IF(MONTH($T$1)=MONTH($M42),Paid!C43,0)=0,"", IF(MONTH($T$1)=MONTH($M42),Paid!C43,0)))</f>
        <v>1.5</v>
      </c>
      <c r="U42" s="1" t="str">
        <f>IF($M42="","",IF( IF(MONTH($U$1)=MONTH($M42),Paid!$C43,0)=0,"", IF(MONTH($U$1)=MONTH($M42),Paid!$C43,0)))</f>
        <v/>
      </c>
      <c r="V42" s="1" t="str">
        <f>IF($M42="","",IF( IF(MONTH(V$1)=MONTH($M42),Paid!E70,0)=0,"", IF(MONTH(V$1)=MONTH($M42),Paid!$C44,0)))</f>
        <v/>
      </c>
      <c r="W42" s="1" t="str">
        <f>IF($M42="","",IF( IF(MONTH(W$1)=MONTH($M42),Paid!F70,0)=0,"", IF(MONTH(W$1)=MONTH($M42),Paid!$C44,0)))</f>
        <v/>
      </c>
      <c r="X42" s="1" t="str">
        <f>IF($M42="","",IF( IF(MONTH(X$1)=MONTH($M42),Paid!G70,0)=0,"", IF(MONTH(X$1)=MONTH($M42),Paid!$C44,0)))</f>
        <v/>
      </c>
      <c r="Y42" s="1" t="str">
        <f>IF($M42="","",IF( IF(MONTH(Y$1)=MONTH($M42),Paid!H70,0)=0,"", IF(MONTH(Y$1)=MONTH($M42),Paid!$C44,0)))</f>
        <v/>
      </c>
      <c r="Z42" s="1" t="str">
        <f>IF($M42="","",IF( IF(MONTH(Z$1)=MONTH($M42),Paid!I70,0)=0,"", IF(MONTH(Z$1)=MONTH($M42),Paid!$C44,0)))</f>
        <v/>
      </c>
      <c r="AA42" s="1" t="str">
        <f>IF($M42="","",IF( IF(MONTH(AA$1)=MONTH($M42),Paid!J70,0)=0,"", IF(MONTH(AA$1)=MONTH($M42),Paid!$C44,0)))</f>
        <v/>
      </c>
      <c r="AB42" s="1" t="str">
        <f>IF($M42="","",IF( IF(MONTH(AB$1)=MONTH($M42),Paid!K70,0)=0,"", IF(MONTH(AB$1)=MONTH($M42),Paid!$C44,0)))</f>
        <v/>
      </c>
      <c r="AC42" s="1"/>
      <c r="AD42" s="1"/>
      <c r="AE42" s="1"/>
      <c r="AF42" s="1"/>
      <c r="AG42" s="1"/>
      <c r="AH42" s="1"/>
    </row>
    <row r="43" spans="2:34">
      <c r="M43" s="19">
        <f>IF(Paid!E45="","",Paid!E44)</f>
        <v>44253</v>
      </c>
      <c r="O43" s="1"/>
      <c r="P43" s="1"/>
      <c r="Q43" s="1"/>
      <c r="R43" s="1" t="str">
        <f>IF( IF(MONTH($R$1)=MONTH(M43),Paid!C44,0)=0, "", IF(MONTH($R$1)=MONTH(M43),Paid!C44,0))</f>
        <v/>
      </c>
      <c r="S43" s="1" t="str">
        <f>IF( IF(MONTH($S$1)=MONTH($M43),Paid!C44,0)=0, "", IF(MONTH($S$1)=MONTH($M43),Paid!C44,0))</f>
        <v/>
      </c>
      <c r="T43" s="1">
        <f>IF($M43="","",IF( IF(MONTH($T$1)=MONTH($M43),Paid!C44,0)=0,"", IF(MONTH($T$1)=MONTH($M43),Paid!C44,0)))</f>
        <v>1.69</v>
      </c>
      <c r="U43" s="1" t="str">
        <f>IF($M43="","",IF( IF(MONTH($U$1)=MONTH($M43),Paid!$C44,0)=0,"", IF(MONTH($U$1)=MONTH($M43),Paid!$C44,0)))</f>
        <v/>
      </c>
      <c r="V43" s="1" t="str">
        <f>IF($M43="","",IF( IF(MONTH(V$1)=MONTH($M43),Paid!E71,0)=0,"", IF(MONTH(V$1)=MONTH($M43),Paid!$C45,0)))</f>
        <v/>
      </c>
      <c r="W43" s="1" t="str">
        <f>IF($M43="","",IF( IF(MONTH(W$1)=MONTH($M43),Paid!F71,0)=0,"", IF(MONTH(W$1)=MONTH($M43),Paid!$C45,0)))</f>
        <v/>
      </c>
      <c r="X43" s="1" t="str">
        <f>IF($M43="","",IF( IF(MONTH(X$1)=MONTH($M43),Paid!G71,0)=0,"", IF(MONTH(X$1)=MONTH($M43),Paid!$C45,0)))</f>
        <v/>
      </c>
      <c r="Y43" s="1" t="str">
        <f>IF($M43="","",IF( IF(MONTH(Y$1)=MONTH($M43),Paid!H71,0)=0,"", IF(MONTH(Y$1)=MONTH($M43),Paid!$C45,0)))</f>
        <v/>
      </c>
      <c r="Z43" s="1" t="str">
        <f>IF($M43="","",IF( IF(MONTH(Z$1)=MONTH($M43),Paid!I71,0)=0,"", IF(MONTH(Z$1)=MONTH($M43),Paid!$C45,0)))</f>
        <v/>
      </c>
      <c r="AA43" s="1" t="str">
        <f>IF($M43="","",IF( IF(MONTH(AA$1)=MONTH($M43),Paid!J71,0)=0,"", IF(MONTH(AA$1)=MONTH($M43),Paid!$C45,0)))</f>
        <v/>
      </c>
      <c r="AB43" s="1" t="str">
        <f>IF($M43="","",IF( IF(MONTH(AB$1)=MONTH($M43),Paid!K71,0)=0,"", IF(MONTH(AB$1)=MONTH($M43),Paid!$C45,0)))</f>
        <v/>
      </c>
      <c r="AC43" s="1"/>
      <c r="AD43" s="1"/>
      <c r="AE43" s="1"/>
      <c r="AF43" s="1"/>
      <c r="AG43" s="1"/>
      <c r="AH43" s="1"/>
    </row>
    <row r="44" spans="2:34">
      <c r="M44" s="19">
        <f>IF(Paid!E46="","",Paid!E45)</f>
        <v>44253</v>
      </c>
      <c r="O44" s="1"/>
      <c r="P44" s="1"/>
      <c r="Q44" s="1"/>
      <c r="R44" s="1" t="str">
        <f>IF( IF(MONTH($R$1)=MONTH(M44),Paid!C45,0)=0, "", IF(MONTH($R$1)=MONTH(M44),Paid!C45,0))</f>
        <v/>
      </c>
      <c r="S44" s="1" t="str">
        <f>IF( IF(MONTH($S$1)=MONTH($M44),Paid!C45,0)=0, "", IF(MONTH($S$1)=MONTH($M44),Paid!C45,0))</f>
        <v/>
      </c>
      <c r="T44" s="1">
        <f>IF($M44="","",IF( IF(MONTH($T$1)=MONTH($M44),Paid!C45,0)=0,"", IF(MONTH($T$1)=MONTH($M44),Paid!C45,0)))</f>
        <v>1.6400000000000001</v>
      </c>
      <c r="U44" s="1" t="str">
        <f>IF($M44="","",IF( IF(MONTH($U$1)=MONTH($M44),Paid!$C45,0)=0,"", IF(MONTH($U$1)=MONTH($M44),Paid!$C45,0)))</f>
        <v/>
      </c>
      <c r="V44" s="1" t="str">
        <f>IF($M44="","",IF( IF(MONTH(V$1)=MONTH($M44),Paid!E72,0)=0,"", IF(MONTH(V$1)=MONTH($M44),Paid!$C46,0)))</f>
        <v/>
      </c>
      <c r="W44" s="1" t="str">
        <f>IF($M44="","",IF( IF(MONTH(W$1)=MONTH($M44),Paid!F72,0)=0,"", IF(MONTH(W$1)=MONTH($M44),Paid!$C46,0)))</f>
        <v/>
      </c>
      <c r="X44" s="1" t="str">
        <f>IF($M44="","",IF( IF(MONTH(X$1)=MONTH($M44),Paid!G72,0)=0,"", IF(MONTH(X$1)=MONTH($M44),Paid!$C46,0)))</f>
        <v/>
      </c>
      <c r="Y44" s="1" t="str">
        <f>IF($M44="","",IF( IF(MONTH(Y$1)=MONTH($M44),Paid!H72,0)=0,"", IF(MONTH(Y$1)=MONTH($M44),Paid!$C46,0)))</f>
        <v/>
      </c>
      <c r="Z44" s="1" t="str">
        <f>IF($M44="","",IF( IF(MONTH(Z$1)=MONTH($M44),Paid!I72,0)=0,"", IF(MONTH(Z$1)=MONTH($M44),Paid!$C46,0)))</f>
        <v/>
      </c>
      <c r="AA44" s="1" t="str">
        <f>IF($M44="","",IF( IF(MONTH(AA$1)=MONTH($M44),Paid!J72,0)=0,"", IF(MONTH(AA$1)=MONTH($M44),Paid!$C46,0)))</f>
        <v/>
      </c>
      <c r="AB44" s="1" t="str">
        <f>IF($M44="","",IF( IF(MONTH(AB$1)=MONTH($M44),Paid!K72,0)=0,"", IF(MONTH(AB$1)=MONTH($M44),Paid!$C46,0)))</f>
        <v/>
      </c>
      <c r="AC44" s="1"/>
      <c r="AD44" s="1"/>
      <c r="AE44" s="1"/>
      <c r="AF44" s="1"/>
      <c r="AG44" s="1"/>
      <c r="AH44" s="1"/>
    </row>
    <row r="45" spans="2:34">
      <c r="M45" s="19">
        <f>IF(Paid!E47="","",Paid!E46)</f>
        <v>44254</v>
      </c>
      <c r="O45" s="1"/>
      <c r="P45" s="1"/>
      <c r="Q45" s="1"/>
      <c r="R45" s="1" t="str">
        <f>IF( IF(MONTH($R$1)=MONTH(M45),Paid!C46,0)=0, "", IF(MONTH($R$1)=MONTH(M45),Paid!C46,0))</f>
        <v/>
      </c>
      <c r="S45" s="1" t="str">
        <f>IF( IF(MONTH($S$1)=MONTH($M45),Paid!C46,0)=0, "", IF(MONTH($S$1)=MONTH($M45),Paid!C46,0))</f>
        <v/>
      </c>
      <c r="T45" s="1">
        <f>IF($M45="","",IF( IF(MONTH($T$1)=MONTH($M45),Paid!C46,0)=0,"", IF(MONTH($T$1)=MONTH($M45),Paid!C46,0)))</f>
        <v>1.57</v>
      </c>
      <c r="U45" s="1" t="str">
        <f>IF($M45="","",IF( IF(MONTH($U$1)=MONTH($M45),Paid!$C46,0)=0,"", IF(MONTH($U$1)=MONTH($M45),Paid!$C46,0)))</f>
        <v/>
      </c>
      <c r="V45" s="1" t="str">
        <f>IF($M45="","",IF( IF(MONTH(V$1)=MONTH($M45),Paid!E73,0)=0,"", IF(MONTH(V$1)=MONTH($M45),Paid!$C47,0)))</f>
        <v/>
      </c>
      <c r="W45" s="1" t="str">
        <f>IF($M45="","",IF( IF(MONTH(W$1)=MONTH($M45),Paid!F73,0)=0,"", IF(MONTH(W$1)=MONTH($M45),Paid!$C47,0)))</f>
        <v/>
      </c>
      <c r="X45" s="1" t="str">
        <f>IF($M45="","",IF( IF(MONTH(X$1)=MONTH($M45),Paid!G73,0)=0,"", IF(MONTH(X$1)=MONTH($M45),Paid!$C47,0)))</f>
        <v/>
      </c>
      <c r="Y45" s="1" t="str">
        <f>IF($M45="","",IF( IF(MONTH(Y$1)=MONTH($M45),Paid!H73,0)=0,"", IF(MONTH(Y$1)=MONTH($M45),Paid!$C47,0)))</f>
        <v/>
      </c>
      <c r="Z45" s="1" t="str">
        <f>IF($M45="","",IF( IF(MONTH(Z$1)=MONTH($M45),Paid!I73,0)=0,"", IF(MONTH(Z$1)=MONTH($M45),Paid!$C47,0)))</f>
        <v/>
      </c>
      <c r="AA45" s="1" t="str">
        <f>IF($M45="","",IF( IF(MONTH(AA$1)=MONTH($M45),Paid!J73,0)=0,"", IF(MONTH(AA$1)=MONTH($M45),Paid!$C47,0)))</f>
        <v/>
      </c>
      <c r="AB45" s="1" t="str">
        <f>IF($M45="","",IF( IF(MONTH(AB$1)=MONTH($M45),Paid!K73,0)=0,"", IF(MONTH(AB$1)=MONTH($M45),Paid!$C47,0)))</f>
        <v/>
      </c>
      <c r="AC45" s="1"/>
      <c r="AD45" s="1"/>
      <c r="AE45" s="1"/>
      <c r="AF45" s="1"/>
      <c r="AG45" s="1"/>
      <c r="AH45" s="1"/>
    </row>
    <row r="46" spans="2:34">
      <c r="M46" s="19">
        <f>IF(Paid!E48="","",Paid!E47)</f>
        <v>44254</v>
      </c>
      <c r="O46" s="1"/>
      <c r="P46" s="1"/>
      <c r="Q46" s="1"/>
      <c r="R46" s="1" t="str">
        <f>IF( IF(MONTH($R$1)=MONTH(M46),Paid!C47,0)=0, "", IF(MONTH($R$1)=MONTH(M46),Paid!C47,0))</f>
        <v/>
      </c>
      <c r="S46" s="1" t="str">
        <f>IF( IF(MONTH($S$1)=MONTH($M46),Paid!C47,0)=0, "", IF(MONTH($S$1)=MONTH($M46),Paid!C47,0))</f>
        <v/>
      </c>
      <c r="T46" s="1">
        <f>IF($M46="","",IF( IF(MONTH($T$1)=MONTH($M46),Paid!C47,0)=0,"", IF(MONTH($T$1)=MONTH($M46),Paid!C47,0)))</f>
        <v>8.32</v>
      </c>
      <c r="U46" s="1" t="str">
        <f>IF($M46="","",IF( IF(MONTH($U$1)=MONTH($M46),Paid!$C47,0)=0,"", IF(MONTH($U$1)=MONTH($M46),Paid!$C47,0)))</f>
        <v/>
      </c>
      <c r="V46" s="1" t="str">
        <f>IF($M46="","",IF( IF(MONTH(V$1)=MONTH($M46),Paid!E74,0)=0,"", IF(MONTH(V$1)=MONTH($M46),Paid!$C48,0)))</f>
        <v/>
      </c>
      <c r="W46" s="1" t="str">
        <f>IF($M46="","",IF( IF(MONTH(W$1)=MONTH($M46),Paid!F74,0)=0,"", IF(MONTH(W$1)=MONTH($M46),Paid!$C48,0)))</f>
        <v/>
      </c>
      <c r="X46" s="1" t="str">
        <f>IF($M46="","",IF( IF(MONTH(X$1)=MONTH($M46),Paid!G74,0)=0,"", IF(MONTH(X$1)=MONTH($M46),Paid!$C48,0)))</f>
        <v/>
      </c>
      <c r="Y46" s="1" t="str">
        <f>IF($M46="","",IF( IF(MONTH(Y$1)=MONTH($M46),Paid!H74,0)=0,"", IF(MONTH(Y$1)=MONTH($M46),Paid!$C48,0)))</f>
        <v/>
      </c>
      <c r="Z46" s="1" t="str">
        <f>IF($M46="","",IF( IF(MONTH(Z$1)=MONTH($M46),Paid!I74,0)=0,"", IF(MONTH(Z$1)=MONTH($M46),Paid!$C48,0)))</f>
        <v/>
      </c>
      <c r="AA46" s="1" t="str">
        <f>IF($M46="","",IF( IF(MONTH(AA$1)=MONTH($M46),Paid!J74,0)=0,"", IF(MONTH(AA$1)=MONTH($M46),Paid!$C48,0)))</f>
        <v/>
      </c>
      <c r="AB46" s="1" t="str">
        <f>IF($M46="","",IF( IF(MONTH(AB$1)=MONTH($M46),Paid!K74,0)=0,"", IF(MONTH(AB$1)=MONTH($M46),Paid!$C48,0)))</f>
        <v/>
      </c>
      <c r="AC46" s="1"/>
      <c r="AD46" s="1"/>
      <c r="AE46" s="1"/>
      <c r="AF46" s="1"/>
      <c r="AG46" s="1"/>
      <c r="AH46" s="1"/>
    </row>
    <row r="47" spans="2:34">
      <c r="M47" s="19">
        <f>IF(Paid!E49="","",Paid!E48)</f>
        <v>44255</v>
      </c>
      <c r="N47" s="1"/>
      <c r="O47" s="1"/>
      <c r="P47" s="1"/>
      <c r="Q47" s="1"/>
      <c r="R47" s="1"/>
      <c r="S47" s="1"/>
      <c r="T47" s="1">
        <f>IF($M47="","",IF( IF(MONTH($T$1)=MONTH($M47),Paid!C48,0)=0,"", IF(MONTH($T$1)=MONTH($M47),Paid!C48,0)))</f>
        <v>3.94</v>
      </c>
      <c r="U47" s="1" t="str">
        <f>IF($M47="","",IF( IF(MONTH($U$1)=MONTH($M47),Paid!$C48,0)=0,"", IF(MONTH($U$1)=MONTH($M47),Paid!$C48,0)))</f>
        <v/>
      </c>
      <c r="V47" s="1" t="str">
        <f>IF($M47="","",IF( IF(MONTH(W$1)=MONTH($M47),Paid!F75,0)=0,"", IF(MONTH(W$1)=MONTH($M47),Paid!#REF!,0)))</f>
        <v/>
      </c>
      <c r="W47" s="1" t="str">
        <f>IF($M47="","",IF( IF(MONTH(X$1)=MONTH($M47),Paid!G75,0)=0,"", IF(MONTH(X$1)=MONTH($M47),Paid!#REF!,0)))</f>
        <v/>
      </c>
      <c r="X47" s="1" t="str">
        <f>IF($M47="","",IF( IF(MONTH(Y$1)=MONTH($M47),Paid!H75,0)=0,"", IF(MONTH(Y$1)=MONTH($M47),Paid!#REF!,0)))</f>
        <v/>
      </c>
      <c r="Y47" s="1" t="str">
        <f>IF($M47="","",IF( IF(MONTH(Z$1)=MONTH($M47),Paid!I75,0)=0,"", IF(MONTH(Z$1)=MONTH($M47),Paid!#REF!,0)))</f>
        <v/>
      </c>
      <c r="Z47" s="1" t="str">
        <f>IF($M47="","",IF( IF(MONTH(AA$1)=MONTH($M47),Paid!J75,0)=0,"", IF(MONTH(AA$1)=MONTH($M47),Paid!#REF!,0)))</f>
        <v/>
      </c>
      <c r="AA47" s="1" t="str">
        <f>IF($M47="","",IF( IF(MONTH(AB$1)=MONTH($M47),Paid!K75,0)=0,"", IF(MONTH(AB$1)=MONTH($M47),Paid!#REF!,0)))</f>
        <v/>
      </c>
      <c r="AB47" s="1"/>
      <c r="AC47" s="1"/>
      <c r="AD47" s="1"/>
      <c r="AE47" s="1"/>
      <c r="AF47" s="1"/>
      <c r="AG47" s="1"/>
      <c r="AH47" s="1"/>
    </row>
    <row r="48" spans="2:34">
      <c r="M48" s="19">
        <f>IF(Paid!E49="","",Paid!E49)</f>
        <v>44255</v>
      </c>
      <c r="N48" s="1"/>
      <c r="O48" s="1"/>
      <c r="P48" s="1"/>
      <c r="Q48" s="1"/>
      <c r="R48" s="1"/>
      <c r="S48" s="1"/>
      <c r="T48" s="1">
        <f>IF($M48="","",IF( IF(MONTH($T$1)=MONTH($M48),Paid!C49,0)=0,"", IF(MONTH($T$1)=MONTH($M48),Paid!C49,0)))</f>
        <v>0.82</v>
      </c>
      <c r="U48" s="1" t="str">
        <f>IF($M48="","",IF( IF(MONTH($U$1)=MONTH($M48),Paid!$C49,0)=0,"", IF(MONTH($U$1)=MONTH($M48),Paid!$C49,0)))</f>
        <v/>
      </c>
      <c r="V48" s="1" t="str">
        <f>IF($M48="","",IF( IF(MONTH(W$1)=MONTH($M48),Paid!F76,0)=0,"", IF(MONTH(W$1)=MONTH($M48),Paid!$C49,0)))</f>
        <v/>
      </c>
      <c r="W48" s="1" t="str">
        <f>IF($M48="","",IF( IF(MONTH(X$1)=MONTH($M48),Paid!G76,0)=0,"", IF(MONTH(X$1)=MONTH($M48),Paid!$C49,0)))</f>
        <v/>
      </c>
      <c r="X48" s="1" t="str">
        <f>IF($M48="","",IF( IF(MONTH(Y$1)=MONTH($M48),Paid!H76,0)=0,"", IF(MONTH(Y$1)=MONTH($M48),Paid!$C49,0)))</f>
        <v/>
      </c>
      <c r="Y48" s="1" t="str">
        <f>IF($M48="","",IF( IF(MONTH(Z$1)=MONTH($M48),Paid!I76,0)=0,"", IF(MONTH(Z$1)=MONTH($M48),Paid!$C49,0)))</f>
        <v/>
      </c>
      <c r="Z48" s="1" t="str">
        <f>IF($M48="","",IF( IF(MONTH(AA$1)=MONTH($M48),Paid!J76,0)=0,"", IF(MONTH(AA$1)=MONTH($M48),Paid!$C49,0)))</f>
        <v/>
      </c>
      <c r="AA48" s="1" t="str">
        <f>IF($M48="","",IF( IF(MONTH(AB$1)=MONTH($M48),Paid!K76,0)=0,"", IF(MONTH(AB$1)=MONTH($M48),Paid!$C49,0)))</f>
        <v/>
      </c>
      <c r="AB48" s="1"/>
      <c r="AC48" s="1"/>
      <c r="AD48" s="1"/>
      <c r="AE48" s="1"/>
      <c r="AF48" s="1"/>
      <c r="AG48" s="1"/>
      <c r="AH48" s="1"/>
    </row>
    <row r="49" spans="13:34">
      <c r="M49" s="19">
        <f>IF(Paid!E50="","",Paid!E50)</f>
        <v>44256</v>
      </c>
      <c r="N49" s="1"/>
      <c r="O49" s="1"/>
      <c r="P49" s="1"/>
      <c r="Q49" s="1"/>
      <c r="R49" s="1"/>
      <c r="S49" s="1"/>
      <c r="T49" s="1" t="str">
        <f>IF($M49="","",IF( IF(MONTH($T$1)=MONTH($M49),Paid!C50,0)=0,"", IF(MONTH($T$1)=MONTH($M49),Paid!C50,0)))</f>
        <v/>
      </c>
      <c r="U49" s="1">
        <f>IF($M49="","",IF( IF(MONTH($U$1)=MONTH($M49),Paid!$C50,0)=0,"", IF(MONTH($U$1)=MONTH($M49),Paid!$C50,0)))</f>
        <v>2.0099999999999998</v>
      </c>
      <c r="V49" s="1" t="str">
        <f>IF($M49="","",IF( IF(MONTH(W$1)=MONTH($M49),Paid!F77,0)=0,"", IF(MONTH(W$1)=MONTH($M49),Paid!$C50,0)))</f>
        <v/>
      </c>
      <c r="W49" s="1" t="str">
        <f>IF($M49="","",IF( IF(MONTH(X$1)=MONTH($M49),Paid!G77,0)=0,"", IF(MONTH(X$1)=MONTH($M49),Paid!$C50,0)))</f>
        <v/>
      </c>
      <c r="X49" s="1" t="str">
        <f>IF($M49="","",IF( IF(MONTH(Y$1)=MONTH($M49),Paid!H77,0)=0,"", IF(MONTH(Y$1)=MONTH($M49),Paid!$C50,0)))</f>
        <v/>
      </c>
      <c r="Y49" s="1" t="str">
        <f>IF($M49="","",IF( IF(MONTH(Z$1)=MONTH($M49),Paid!I77,0)=0,"", IF(MONTH(Z$1)=MONTH($M49),Paid!$C50,0)))</f>
        <v/>
      </c>
      <c r="Z49" s="1" t="str">
        <f>IF($M49="","",IF( IF(MONTH(AA$1)=MONTH($M49),Paid!J77,0)=0,"", IF(MONTH(AA$1)=MONTH($M49),Paid!$C50,0)))</f>
        <v/>
      </c>
      <c r="AA49" s="1" t="str">
        <f>IF($M49="","",IF( IF(MONTH(AB$1)=MONTH($M49),Paid!K77,0)=0,"", IF(MONTH(AB$1)=MONTH($M49),Paid!$C50,0)))</f>
        <v/>
      </c>
      <c r="AB49" s="1"/>
      <c r="AC49" s="1"/>
      <c r="AD49" s="1"/>
      <c r="AE49" s="1"/>
      <c r="AF49" s="1"/>
      <c r="AG49" s="1"/>
      <c r="AH49" s="1"/>
    </row>
    <row r="50" spans="13:34">
      <c r="M50" s="19">
        <f>IF(Paid!E51="","",Paid!E51)</f>
        <v>44257</v>
      </c>
      <c r="N50" s="1"/>
      <c r="O50" s="1"/>
      <c r="P50" s="1"/>
      <c r="Q50" s="1"/>
      <c r="R50" s="1"/>
      <c r="S50" s="1"/>
      <c r="T50" s="1" t="str">
        <f>IF($M50="","",IF( IF(MONTH($T$1)=MONTH($M50),Paid!C51,0)=0,"", IF(MONTH($T$1)=MONTH($M50),Paid!C51,0)))</f>
        <v/>
      </c>
      <c r="U50" s="1">
        <f>IF($M50="","",IF( IF(MONTH($U$1)=MONTH($M50),Paid!$C51,0)=0,"", IF(MONTH($U$1)=MONTH($M50),Paid!$C51,0)))</f>
        <v>3.17</v>
      </c>
      <c r="V50" s="1" t="str">
        <f>IF($M50="","",IF( IF(MONTH(W$1)=MONTH($M50),Paid!F78,0)=0,"", IF(MONTH(W$1)=MONTH($M50),Paid!$C51,0)))</f>
        <v/>
      </c>
      <c r="W50" s="1" t="str">
        <f>IF($M50="","",IF( IF(MONTH(X$1)=MONTH($M50),Paid!G78,0)=0,"", IF(MONTH(X$1)=MONTH($M50),Paid!$C51,0)))</f>
        <v/>
      </c>
      <c r="X50" s="1" t="str">
        <f>IF($M50="","",IF( IF(MONTH(Y$1)=MONTH($M50),Paid!H78,0)=0,"", IF(MONTH(Y$1)=MONTH($M50),Paid!$C51,0)))</f>
        <v/>
      </c>
      <c r="Y50" s="1" t="str">
        <f>IF($M50="","",IF( IF(MONTH(Z$1)=MONTH($M50),Paid!I78,0)=0,"", IF(MONTH(Z$1)=MONTH($M50),Paid!$C51,0)))</f>
        <v/>
      </c>
      <c r="Z50" s="1" t="str">
        <f>IF($M50="","",IF( IF(MONTH(AA$1)=MONTH($M50),Paid!J78,0)=0,"", IF(MONTH(AA$1)=MONTH($M50),Paid!$C51,0)))</f>
        <v/>
      </c>
      <c r="AA50" s="1" t="str">
        <f>IF($M50="","",IF( IF(MONTH(AB$1)=MONTH($M50),Paid!K78,0)=0,"", IF(MONTH(AB$1)=MONTH($M50),Paid!$C51,0)))</f>
        <v/>
      </c>
      <c r="AB50" s="1"/>
      <c r="AC50" s="1"/>
      <c r="AD50" s="1"/>
      <c r="AE50" s="1"/>
      <c r="AF50" s="1"/>
      <c r="AG50" s="1"/>
      <c r="AH50" s="1"/>
    </row>
    <row r="51" spans="13:34">
      <c r="M51" s="19">
        <f>IF(Paid!E52="","",Paid!E52)</f>
        <v>44258</v>
      </c>
      <c r="N51" s="1"/>
      <c r="O51" s="1"/>
      <c r="P51" s="1"/>
      <c r="Q51" s="1"/>
      <c r="R51" s="1"/>
      <c r="S51" s="1"/>
      <c r="T51" s="1" t="str">
        <f>IF($M51="","",IF( IF(MONTH($T$1)=MONTH($M51),Paid!C52,0)=0,"", IF(MONTH($T$1)=MONTH($M51),Paid!C52,0)))</f>
        <v/>
      </c>
      <c r="U51" s="1">
        <f>IF($M51="","",IF( IF(MONTH($U$1)=MONTH($M51),Paid!$C52,0)=0,"", IF(MONTH($U$1)=MONTH($M51),Paid!$C52,0)))</f>
        <v>2.08</v>
      </c>
      <c r="V51" s="1" t="str">
        <f>IF($M51="","",IF( IF(MONTH(W$1)=MONTH($M51),Paid!F79,0)=0,"", IF(MONTH(W$1)=MONTH($M51),Paid!$C52,0)))</f>
        <v/>
      </c>
      <c r="W51" s="1" t="str">
        <f>IF($M51="","",IF( IF(MONTH(X$1)=MONTH($M51),Paid!G79,0)=0,"", IF(MONTH(X$1)=MONTH($M51),Paid!$C52,0)))</f>
        <v/>
      </c>
      <c r="X51" s="1" t="str">
        <f>IF($M51="","",IF( IF(MONTH(Y$1)=MONTH($M51),Paid!H79,0)=0,"", IF(MONTH(Y$1)=MONTH($M51),Paid!$C52,0)))</f>
        <v/>
      </c>
      <c r="Y51" s="1" t="str">
        <f>IF($M51="","",IF( IF(MONTH(Z$1)=MONTH($M51),Paid!I79,0)=0,"", IF(MONTH(Z$1)=MONTH($M51),Paid!$C52,0)))</f>
        <v/>
      </c>
      <c r="Z51" s="1" t="str">
        <f>IF($M51="","",IF( IF(MONTH(AA$1)=MONTH($M51),Paid!J79,0)=0,"", IF(MONTH(AA$1)=MONTH($M51),Paid!$C52,0)))</f>
        <v/>
      </c>
      <c r="AA51" s="1" t="str">
        <f>IF($M51="","",IF( IF(MONTH(AB$1)=MONTH($M51),Paid!K79,0)=0,"", IF(MONTH(AB$1)=MONTH($M51),Paid!$C52,0)))</f>
        <v/>
      </c>
      <c r="AB51" s="1"/>
      <c r="AC51" s="1"/>
      <c r="AD51" s="1"/>
      <c r="AE51" s="1"/>
      <c r="AF51" s="1"/>
      <c r="AG51" s="1"/>
      <c r="AH51" s="1"/>
    </row>
    <row r="52" spans="13:34">
      <c r="M52" s="19">
        <f>IF(Paid!E53="","",Paid!E53)</f>
        <v>44260</v>
      </c>
      <c r="N52" s="1"/>
      <c r="O52" s="1"/>
      <c r="P52" s="1"/>
      <c r="Q52" s="1"/>
      <c r="R52" s="1"/>
      <c r="S52" s="1"/>
      <c r="T52" s="1" t="str">
        <f>IF($M52="","",IF( IF(MONTH($T$1)=MONTH($M52),Paid!C53,0)=0,"", IF(MONTH($T$1)=MONTH($M52),Paid!C53,0)))</f>
        <v/>
      </c>
      <c r="U52" s="1">
        <f>IF($M52="","",IF( IF(MONTH($U$1)=MONTH($M52),Paid!$C53,0)=0,"", IF(MONTH($U$1)=MONTH($M52),Paid!$C53,0)))</f>
        <v>4.26</v>
      </c>
      <c r="V52" s="1" t="str">
        <f>IF($M52="","",IF( IF(MONTH(W$1)=MONTH($M52),Paid!F80,0)=0,"", IF(MONTH(W$1)=MONTH($M52),Paid!$C53,0)))</f>
        <v/>
      </c>
      <c r="W52" s="1" t="str">
        <f>IF($M52="","",IF( IF(MONTH(X$1)=MONTH($M52),Paid!G80,0)=0,"", IF(MONTH(X$1)=MONTH($M52),Paid!$C53,0)))</f>
        <v/>
      </c>
      <c r="X52" s="1" t="str">
        <f>IF($M52="","",IF( IF(MONTH(Y$1)=MONTH($M52),Paid!H80,0)=0,"", IF(MONTH(Y$1)=MONTH($M52),Paid!$C53,0)))</f>
        <v/>
      </c>
      <c r="Y52" s="1" t="str">
        <f>IF($M52="","",IF( IF(MONTH(Z$1)=MONTH($M52),Paid!I80,0)=0,"", IF(MONTH(Z$1)=MONTH($M52),Paid!$C53,0)))</f>
        <v/>
      </c>
      <c r="Z52" s="1" t="str">
        <f>IF($M52="","",IF( IF(MONTH(AA$1)=MONTH($M52),Paid!J80,0)=0,"", IF(MONTH(AA$1)=MONTH($M52),Paid!$C53,0)))</f>
        <v/>
      </c>
      <c r="AA52" s="1" t="str">
        <f>IF($M52="","",IF( IF(MONTH(AB$1)=MONTH($M52),Paid!K80,0)=0,"", IF(MONTH(AB$1)=MONTH($M52),Paid!$C53,0)))</f>
        <v/>
      </c>
      <c r="AB52" s="1"/>
      <c r="AC52" s="1"/>
      <c r="AD52" s="1"/>
      <c r="AE52" s="1"/>
      <c r="AF52" s="1"/>
      <c r="AG52" s="1"/>
      <c r="AH52" s="1"/>
    </row>
    <row r="53" spans="13:34">
      <c r="M53" s="19">
        <f>IF(Paid!E54="","",Paid!E54)</f>
        <v>44266</v>
      </c>
      <c r="N53" s="1"/>
      <c r="O53" s="1"/>
      <c r="P53" s="1"/>
      <c r="Q53" s="1"/>
      <c r="R53" s="1"/>
      <c r="S53" s="1"/>
      <c r="T53" s="1" t="str">
        <f>IF($M53="","",IF( IF(MONTH($T$1)=MONTH($M53),Paid!C54,0)=0,"", IF(MONTH($T$1)=MONTH($M53),Paid!C54,0)))</f>
        <v/>
      </c>
      <c r="U53" s="1">
        <f>IF($M53="","",IF( IF(MONTH($U$1)=MONTH($M53),Paid!$C54,0)=0,"", IF(MONTH($U$1)=MONTH($M53),Paid!$C54,0)))</f>
        <v>5.01</v>
      </c>
      <c r="V53" s="1" t="str">
        <f>IF($M53="","",IF( IF(MONTH(W$1)=MONTH($M53),Paid!F81,0)=0,"", IF(MONTH(W$1)=MONTH($M53),Paid!$C54,0)))</f>
        <v/>
      </c>
      <c r="W53" s="1" t="str">
        <f>IF($M53="","",IF( IF(MONTH(X$1)=MONTH($M53),Paid!G81,0)=0,"", IF(MONTH(X$1)=MONTH($M53),Paid!$C54,0)))</f>
        <v/>
      </c>
      <c r="X53" s="1" t="str">
        <f>IF($M53="","",IF( IF(MONTH(Y$1)=MONTH($M53),Paid!H81,0)=0,"", IF(MONTH(Y$1)=MONTH($M53),Paid!$C54,0)))</f>
        <v/>
      </c>
      <c r="Y53" s="1" t="str">
        <f>IF($M53="","",IF( IF(MONTH(Z$1)=MONTH($M53),Paid!I81,0)=0,"", IF(MONTH(Z$1)=MONTH($M53),Paid!$C54,0)))</f>
        <v/>
      </c>
      <c r="Z53" s="1" t="str">
        <f>IF($M53="","",IF( IF(MONTH(AA$1)=MONTH($M53),Paid!J81,0)=0,"", IF(MONTH(AA$1)=MONTH($M53),Paid!$C54,0)))</f>
        <v/>
      </c>
      <c r="AA53" s="1" t="str">
        <f>IF($M53="","",IF( IF(MONTH(AB$1)=MONTH($M53),Paid!K81,0)=0,"", IF(MONTH(AB$1)=MONTH($M53),Paid!$C54,0)))</f>
        <v/>
      </c>
      <c r="AB53" s="1"/>
      <c r="AC53" s="1"/>
      <c r="AD53" s="1"/>
      <c r="AE53" s="1"/>
      <c r="AF53" s="1"/>
      <c r="AG53" s="1"/>
      <c r="AH53" s="1"/>
    </row>
    <row r="54" spans="13:34">
      <c r="M54" s="19">
        <f>IF(Paid!E55="","",Paid!E55)</f>
        <v>44266</v>
      </c>
      <c r="N54" s="1"/>
      <c r="O54" s="1"/>
      <c r="P54" s="1"/>
      <c r="Q54" s="1"/>
      <c r="R54" s="1"/>
      <c r="S54" s="1"/>
      <c r="T54" s="1" t="str">
        <f>IF($M54="","",IF( IF(MONTH($T$1)=MONTH($M54),Paid!C55,0)=0,"", IF(MONTH($T$1)=MONTH($M54),Paid!C55,0)))</f>
        <v/>
      </c>
      <c r="U54" s="1">
        <f>IF($M54="","",IF( IF(MONTH($U$1)=MONTH($M54),Paid!$C55,0)=0,"", IF(MONTH($U$1)=MONTH($M54),Paid!$C55,0)))</f>
        <v>13.35</v>
      </c>
      <c r="V54" s="1" t="str">
        <f>IF($M54="","",IF( IF(MONTH(W$1)=MONTH($M54),Paid!F82,0)=0,"", IF(MONTH(W$1)=MONTH($M54),Paid!$C55,0)))</f>
        <v/>
      </c>
      <c r="W54" s="1" t="str">
        <f>IF($M54="","",IF( IF(MONTH(X$1)=MONTH($M54),Paid!G82,0)=0,"", IF(MONTH(X$1)=MONTH($M54),Paid!$C55,0)))</f>
        <v/>
      </c>
      <c r="X54" s="1" t="str">
        <f>IF($M54="","",IF( IF(MONTH(Y$1)=MONTH($M54),Paid!H82,0)=0,"", IF(MONTH(Y$1)=MONTH($M54),Paid!$C55,0)))</f>
        <v/>
      </c>
      <c r="Y54" s="1" t="str">
        <f>IF($M54="","",IF( IF(MONTH(Z$1)=MONTH($M54),Paid!I82,0)=0,"", IF(MONTH(Z$1)=MONTH($M54),Paid!$C55,0)))</f>
        <v/>
      </c>
      <c r="Z54" s="1" t="str">
        <f>IF($M54="","",IF( IF(MONTH(AA$1)=MONTH($M54),Paid!J82,0)=0,"", IF(MONTH(AA$1)=MONTH($M54),Paid!$C55,0)))</f>
        <v/>
      </c>
      <c r="AA54" s="1" t="str">
        <f>IF($M54="","",IF( IF(MONTH(AB$1)=MONTH($M54),Paid!K82,0)=0,"", IF(MONTH(AB$1)=MONTH($M54),Paid!$C55,0)))</f>
        <v/>
      </c>
      <c r="AB54" s="1"/>
      <c r="AC54" s="1"/>
      <c r="AD54" s="1"/>
      <c r="AE54" s="1"/>
      <c r="AF54" s="1"/>
      <c r="AG54" s="1"/>
      <c r="AH54" s="1"/>
    </row>
    <row r="55" spans="13:34">
      <c r="M55" s="19">
        <f>IF(Paid!E56="","",Paid!E56)</f>
        <v>44266</v>
      </c>
      <c r="N55" s="1"/>
      <c r="O55" s="1"/>
      <c r="P55" s="1"/>
      <c r="Q55" s="1"/>
      <c r="R55" s="1" t="str">
        <f>IF(M55="","",IF( IF(MONTH($S$1)=MONTH($M55),Paid!C56,0)=0,"", IF(MONTH($S$1)=MONTH($M55),Paid!C56,0)))</f>
        <v/>
      </c>
      <c r="S55" s="1" t="str">
        <f>IF($M55="","",IF( IF(MONTH($T$1)=MONTH($M55),Paid!C56,0)=0,"", IF(MONTH($T$1)=MONTH($M55),Paid!C56,0)))</f>
        <v/>
      </c>
      <c r="T55" s="1" t="str">
        <f>IF($M55="","",IF( IF(MONTH($T$1)=MONTH($M55),Paid!C56,0)=0,"", IF(MONTH($T$1)=MONTH($M55),Paid!C56,0)))</f>
        <v/>
      </c>
      <c r="U55" s="1">
        <f>IF($M55="","",IF( IF(MONTH($U$1)=MONTH($M55),Paid!$C56,0)=0,"", IF(MONTH($U$1)=MONTH($M55),Paid!$C56,0)))</f>
        <v>4.17</v>
      </c>
      <c r="V55" s="1" t="str">
        <f>IF($M55="","",IF( IF(MONTH(W$1)=MONTH($M55),Paid!F83,0)=0,"", IF(MONTH(W$1)=MONTH($M55),Paid!$C56,0)))</f>
        <v/>
      </c>
      <c r="W55" s="1" t="str">
        <f>IF($M55="","",IF( IF(MONTH(X$1)=MONTH($M55),Paid!G83,0)=0,"", IF(MONTH(X$1)=MONTH($M55),Paid!$C56,0)))</f>
        <v/>
      </c>
      <c r="X55" s="1" t="str">
        <f>IF($M55="","",IF( IF(MONTH(Y$1)=MONTH($M55),Paid!H83,0)=0,"", IF(MONTH(Y$1)=MONTH($M55),Paid!$C56,0)))</f>
        <v/>
      </c>
      <c r="Y55" s="1" t="str">
        <f>IF($M55="","",IF( IF(MONTH(Z$1)=MONTH($M55),Paid!I83,0)=0,"", IF(MONTH(Z$1)=MONTH($M55),Paid!$C56,0)))</f>
        <v/>
      </c>
      <c r="Z55" s="1" t="str">
        <f>IF($M55="","",IF( IF(MONTH(AA$1)=MONTH($M55),Paid!J83,0)=0,"", IF(MONTH(AA$1)=MONTH($M55),Paid!$C56,0)))</f>
        <v/>
      </c>
      <c r="AA55" s="1" t="str">
        <f>IF($M55="","",IF( IF(MONTH(AB$1)=MONTH($M55),Paid!K83,0)=0,"", IF(MONTH(AB$1)=MONTH($M55),Paid!$C56,0)))</f>
        <v/>
      </c>
      <c r="AB55" s="1"/>
      <c r="AC55" s="1"/>
      <c r="AD55" s="1"/>
      <c r="AE55" s="1"/>
      <c r="AF55" s="1"/>
      <c r="AG55" s="1"/>
      <c r="AH55" s="1"/>
    </row>
    <row r="56" spans="13:34">
      <c r="M56" s="19">
        <f>IF(Paid!E57="","",Paid!E57)</f>
        <v>44266</v>
      </c>
      <c r="N56" s="1"/>
      <c r="O56" s="1"/>
      <c r="P56" s="1"/>
      <c r="Q56" s="1"/>
      <c r="R56" s="1" t="str">
        <f>IF(M56="","",IF( IF(MONTH($S$1)=MONTH($M56),Paid!C57,0)=0,"", IF(MONTH($S$1)=MONTH($M56),Paid!C57,0)))</f>
        <v/>
      </c>
      <c r="S56" s="1" t="str">
        <f>IF($M56="","",IF( IF(MONTH($T$1)=MONTH($M56),Paid!C57,0)=0,"", IF(MONTH($T$1)=MONTH($M56),Paid!C57,0)))</f>
        <v/>
      </c>
      <c r="T56" s="1"/>
      <c r="U56" s="1">
        <f>IF($M56="","",IF( IF(MONTH($U$1)=MONTH($M56),Paid!$C57,0)=0,"", IF(MONTH($U$1)=MONTH($M56),Paid!$C57,0)))</f>
        <v>15.86</v>
      </c>
      <c r="V56" s="1" t="str">
        <f>IF($M56="","",IF( IF(MONTH(W$1)=MONTH($M56),Paid!F84,0)=0,"", IF(MONTH(W$1)=MONTH($M56),Paid!$C57,0)))</f>
        <v/>
      </c>
      <c r="W56" s="1" t="str">
        <f>IF($M56="","",IF( IF(MONTH(X$1)=MONTH($M56),Paid!G84,0)=0,"", IF(MONTH(X$1)=MONTH($M56),Paid!$C57,0)))</f>
        <v/>
      </c>
      <c r="X56" s="1" t="str">
        <f>IF($M56="","",IF( IF(MONTH(Y$1)=MONTH($M56),Paid!H84,0)=0,"", IF(MONTH(Y$1)=MONTH($M56),Paid!$C57,0)))</f>
        <v/>
      </c>
      <c r="Y56" s="1" t="str">
        <f>IF($M56="","",IF( IF(MONTH(Z$1)=MONTH($M56),Paid!I84,0)=0,"", IF(MONTH(Z$1)=MONTH($M56),Paid!$C57,0)))</f>
        <v/>
      </c>
      <c r="Z56" s="1" t="str">
        <f>IF($M56="","",IF( IF(MONTH(AA$1)=MONTH($M56),Paid!J84,0)=0,"", IF(MONTH(AA$1)=MONTH($M56),Paid!$C57,0)))</f>
        <v/>
      </c>
      <c r="AA56" s="1" t="str">
        <f>IF($M56="","",IF( IF(MONTH(AB$1)=MONTH($M56),Paid!K84,0)=0,"", IF(MONTH(AB$1)=MONTH($M56),Paid!$C57,0)))</f>
        <v/>
      </c>
      <c r="AB56" s="1"/>
      <c r="AC56" s="1"/>
      <c r="AD56" s="1"/>
      <c r="AE56" s="1"/>
      <c r="AF56" s="1"/>
      <c r="AG56" s="1"/>
      <c r="AH56" s="1"/>
    </row>
    <row r="57" spans="13:34">
      <c r="M57" s="19">
        <f>IF(Paid!E58="","",Paid!E58)</f>
        <v>44260</v>
      </c>
      <c r="N57" s="1"/>
      <c r="O57" s="1"/>
      <c r="P57" s="1"/>
      <c r="Q57" s="1"/>
      <c r="R57" s="1" t="str">
        <f>IF(M57="","",IF( IF(MONTH($S$1)=MONTH($M57),Paid!C58,0)=0,"", IF(MONTH($S$1)=MONTH($M57),Paid!C58,0)))</f>
        <v/>
      </c>
      <c r="S57" s="1" t="str">
        <f>IF($M57="","",IF( IF(MONTH($T$1)=MONTH($M57),Paid!C58,0)=0,"", IF(MONTH($T$1)=MONTH($M57),Paid!C58,0)))</f>
        <v/>
      </c>
      <c r="T57" s="1"/>
      <c r="U57" s="1">
        <f>IF($M57="","",IF( IF(MONTH($U$1)=MONTH($M57),Paid!$C58,0)=0,"", IF(MONTH($U$1)=MONTH($M57),Paid!$C58,0)))</f>
        <v>3.7</v>
      </c>
      <c r="V57" s="1" t="str">
        <f>IF($M57="","",IF( IF(MONTH(W$1)=MONTH($M57),Paid!F85,0)=0,"", IF(MONTH(W$1)=MONTH($M57),Paid!$C58,0)))</f>
        <v/>
      </c>
      <c r="W57" s="1" t="str">
        <f>IF($M57="","",IF( IF(MONTH(X$1)=MONTH($M57),Paid!G85,0)=0,"", IF(MONTH(X$1)=MONTH($M57),Paid!$C58,0)))</f>
        <v/>
      </c>
      <c r="X57" s="1" t="str">
        <f>IF($M57="","",IF( IF(MONTH(Y$1)=MONTH($M57),Paid!H85,0)=0,"", IF(MONTH(Y$1)=MONTH($M57),Paid!$C58,0)))</f>
        <v/>
      </c>
      <c r="Y57" s="1" t="str">
        <f>IF($M57="","",IF( IF(MONTH(Z$1)=MONTH($M57),Paid!I85,0)=0,"", IF(MONTH(Z$1)=MONTH($M57),Paid!$C58,0)))</f>
        <v/>
      </c>
      <c r="Z57" s="1" t="str">
        <f>IF($M57="","",IF( IF(MONTH(AA$1)=MONTH($M57),Paid!J85,0)=0,"", IF(MONTH(AA$1)=MONTH($M57),Paid!$C58,0)))</f>
        <v/>
      </c>
      <c r="AA57" s="1" t="str">
        <f>IF($M57="","",IF( IF(MONTH(AB$1)=MONTH($M57),Paid!K85,0)=0,"", IF(MONTH(AB$1)=MONTH($M57),Paid!$C58,0)))</f>
        <v/>
      </c>
      <c r="AB57" s="1"/>
      <c r="AC57" s="1"/>
      <c r="AD57" s="1"/>
      <c r="AE57" s="1"/>
      <c r="AF57" s="1"/>
      <c r="AG57" s="1"/>
      <c r="AH57" s="1"/>
    </row>
    <row r="58" spans="13:34">
      <c r="M58" s="19">
        <f>IF(Paid!E59="","",Paid!E59)</f>
        <v>44269</v>
      </c>
      <c r="N58" s="1"/>
      <c r="O58" s="1"/>
      <c r="P58" s="1"/>
      <c r="Q58" s="1"/>
      <c r="R58" s="1" t="str">
        <f>IF(M58="","",IF( IF(MONTH($S$1)=MONTH($M58),Paid!C59,0)=0,"", IF(MONTH($S$1)=MONTH($M58),Paid!C59,0)))</f>
        <v/>
      </c>
      <c r="S58" s="1" t="str">
        <f>IF($M58="","",IF( IF(MONTH($T$1)=MONTH($M58),Paid!C59,0)=0,"", IF(MONTH($T$1)=MONTH($M58),Paid!C59,0)))</f>
        <v/>
      </c>
      <c r="T58" s="1"/>
      <c r="U58" s="1">
        <f>IF($M58="","",IF( IF(MONTH($U$1)=MONTH($M58),Paid!$C59,0)=0,"", IF(MONTH($U$1)=MONTH($M58),Paid!$C59,0)))</f>
        <v>1.45</v>
      </c>
      <c r="V58" s="1" t="str">
        <f>IF($M58="","",IF( IF(MONTH(W$1)=MONTH($M58),Paid!F86,0)=0,"", IF(MONTH(W$1)=MONTH($M58),Paid!$C59,0)))</f>
        <v/>
      </c>
      <c r="W58" s="1" t="str">
        <f>IF($M58="","",IF( IF(MONTH(X$1)=MONTH($M58),Paid!G86,0)=0,"", IF(MONTH(X$1)=MONTH($M58),Paid!$C59,0)))</f>
        <v/>
      </c>
      <c r="X58" s="1" t="str">
        <f>IF($M58="","",IF( IF(MONTH(Y$1)=MONTH($M58),Paid!H86,0)=0,"", IF(MONTH(Y$1)=MONTH($M58),Paid!$C59,0)))</f>
        <v/>
      </c>
      <c r="Y58" s="1" t="str">
        <f>IF($M58="","",IF( IF(MONTH(Z$1)=MONTH($M58),Paid!I86,0)=0,"", IF(MONTH(Z$1)=MONTH($M58),Paid!$C59,0)))</f>
        <v/>
      </c>
      <c r="Z58" s="1" t="str">
        <f>IF($M58="","",IF( IF(MONTH(AA$1)=MONTH($M58),Paid!J86,0)=0,"", IF(MONTH(AA$1)=MONTH($M58),Paid!$C59,0)))</f>
        <v/>
      </c>
      <c r="AA58" s="1" t="str">
        <f>IF($M58="","",IF( IF(MONTH(AB$1)=MONTH($M58),Paid!K86,0)=0,"", IF(MONTH(AB$1)=MONTH($M58),Paid!$C59,0)))</f>
        <v/>
      </c>
      <c r="AB58" s="1"/>
      <c r="AC58" s="1"/>
      <c r="AD58" s="1"/>
      <c r="AE58" s="1"/>
      <c r="AF58" s="1"/>
      <c r="AG58" s="1"/>
      <c r="AH58" s="1"/>
    </row>
    <row r="59" spans="13:34">
      <c r="M59" s="19">
        <f>IF(Paid!E60="","",Paid!E60)</f>
        <v>44269</v>
      </c>
      <c r="N59" s="1"/>
      <c r="O59" s="1"/>
      <c r="P59" s="1"/>
      <c r="Q59" s="1"/>
      <c r="R59" s="1" t="str">
        <f>IF(M59="","",IF( IF(MONTH($S$1)=MONTH($M59),Paid!C60,0)=0,"", IF(MONTH($S$1)=MONTH($M59),Paid!C60,0)))</f>
        <v/>
      </c>
      <c r="S59" s="1" t="str">
        <f>IF($M59="","",IF( IF(MONTH($T$1)=MONTH($M59),Paid!C60,0)=0,"", IF(MONTH($T$1)=MONTH($M59),Paid!C60,0)))</f>
        <v/>
      </c>
      <c r="T59" s="1"/>
      <c r="U59" s="1">
        <f>IF($M59="","",IF( IF(MONTH($U$1)=MONTH($M59),Paid!$C60,0)=0,"", IF(MONTH($U$1)=MONTH($M59),Paid!$C60,0)))</f>
        <v>13</v>
      </c>
      <c r="V59" s="1" t="str">
        <f>IF($M59="","",IF( IF(MONTH(W$1)=MONTH($M59),Paid!F87,0)=0,"", IF(MONTH(W$1)=MONTH($M59),Paid!$C60,0)))</f>
        <v/>
      </c>
      <c r="W59" s="1" t="str">
        <f>IF($M59="","",IF( IF(MONTH(X$1)=MONTH($M59),Paid!G87,0)=0,"", IF(MONTH(X$1)=MONTH($M59),Paid!$C60,0)))</f>
        <v/>
      </c>
      <c r="X59" s="1" t="str">
        <f>IF($M59="","",IF( IF(MONTH(Y$1)=MONTH($M59),Paid!H87,0)=0,"", IF(MONTH(Y$1)=MONTH($M59),Paid!$C60,0)))</f>
        <v/>
      </c>
      <c r="Y59" s="1" t="str">
        <f>IF($M59="","",IF( IF(MONTH(Z$1)=MONTH($M59),Paid!I87,0)=0,"", IF(MONTH(Z$1)=MONTH($M59),Paid!$C60,0)))</f>
        <v/>
      </c>
      <c r="Z59" s="1" t="str">
        <f>IF($M59="","",IF( IF(MONTH(AA$1)=MONTH($M59),Paid!J87,0)=0,"", IF(MONTH(AA$1)=MONTH($M59),Paid!$C60,0)))</f>
        <v/>
      </c>
      <c r="AA59" s="1" t="str">
        <f>IF($M59="","",IF( IF(MONTH(AB$1)=MONTH($M59),Paid!K87,0)=0,"", IF(MONTH(AB$1)=MONTH($M59),Paid!$C60,0)))</f>
        <v/>
      </c>
      <c r="AB59" s="1"/>
      <c r="AC59" s="1"/>
      <c r="AD59" s="1"/>
      <c r="AE59" s="1"/>
      <c r="AF59" s="1"/>
      <c r="AG59" s="1"/>
      <c r="AH59" s="1"/>
    </row>
    <row r="60" spans="13:34">
      <c r="M60" s="19">
        <f>IF(Paid!E61="","",Paid!E61)</f>
        <v>44269</v>
      </c>
      <c r="N60" s="1"/>
      <c r="O60" s="1"/>
      <c r="P60" s="1"/>
      <c r="Q60" s="1"/>
      <c r="R60" s="1" t="str">
        <f>IF(M60="","",IF( IF(MONTH($S$1)=MONTH($M60),Paid!C61,0)=0,"", IF(MONTH($S$1)=MONTH($M60),Paid!C61,0)))</f>
        <v/>
      </c>
      <c r="S60" s="1" t="str">
        <f>IF($M60="","",IF( IF(MONTH($T$1)=MONTH($M60),Paid!C61,0)=0,"", IF(MONTH($T$1)=MONTH($M60),Paid!C61,0)))</f>
        <v/>
      </c>
      <c r="T60" s="1"/>
      <c r="U60" s="1">
        <f>IF($M60="","",IF( IF(MONTH($U$1)=MONTH($M60),Paid!$C61,0)=0,"", IF(MONTH($U$1)=MONTH($M60),Paid!$C61,0)))</f>
        <v>7.49</v>
      </c>
      <c r="V60" s="1" t="str">
        <f>IF($M60="","",IF( IF(MONTH(W$1)=MONTH($M60),Paid!F88,0)=0,"", IF(MONTH(W$1)=MONTH($M60),Paid!$C61,0)))</f>
        <v/>
      </c>
      <c r="W60" s="1" t="str">
        <f>IF($M60="","",IF( IF(MONTH(X$1)=MONTH($M60),Paid!G88,0)=0,"", IF(MONTH(X$1)=MONTH($M60),Paid!$C61,0)))</f>
        <v/>
      </c>
      <c r="X60" s="1" t="str">
        <f>IF($M60="","",IF( IF(MONTH(Y$1)=MONTH($M60),Paid!H88,0)=0,"", IF(MONTH(Y$1)=MONTH($M60),Paid!$C61,0)))</f>
        <v/>
      </c>
      <c r="Y60" s="1" t="str">
        <f>IF($M60="","",IF( IF(MONTH(Z$1)=MONTH($M60),Paid!I88,0)=0,"", IF(MONTH(Z$1)=MONTH($M60),Paid!$C61,0)))</f>
        <v/>
      </c>
      <c r="Z60" s="1" t="str">
        <f>IF($M60="","",IF( IF(MONTH(AA$1)=MONTH($M60),Paid!J88,0)=0,"", IF(MONTH(AA$1)=MONTH($M60),Paid!$C61,0)))</f>
        <v/>
      </c>
      <c r="AA60" s="1" t="str">
        <f>IF($M60="","",IF( IF(MONTH(AB$1)=MONTH($M60),Paid!K88,0)=0,"", IF(MONTH(AB$1)=MONTH($M60),Paid!$C61,0)))</f>
        <v/>
      </c>
      <c r="AB60" s="1"/>
      <c r="AC60" s="1"/>
      <c r="AD60" s="1"/>
      <c r="AE60" s="1"/>
      <c r="AF60" s="1"/>
      <c r="AG60" s="1"/>
      <c r="AH60" s="1"/>
    </row>
    <row r="61" spans="13:34">
      <c r="M61" s="19" t="str">
        <f>IF(Paid!E62="","",Paid!E62)</f>
        <v/>
      </c>
      <c r="N61" s="1"/>
      <c r="O61" s="1"/>
      <c r="P61" s="1"/>
      <c r="Q61" s="1"/>
      <c r="R61" s="1" t="str">
        <f>IF(M61="","",IF( IF(MONTH($S$1)=MONTH($M61),Paid!C62,0)=0,"", IF(MONTH($S$1)=MONTH($M61),Paid!C62,0)))</f>
        <v/>
      </c>
      <c r="S61" s="1" t="str">
        <f>IF($M61="","",IF( IF(MONTH($T$1)=MONTH($M61),Paid!C62,0)=0,"", IF(MONTH($T$1)=MONTH($M61),Paid!C62,0)))</f>
        <v/>
      </c>
      <c r="T61" s="1"/>
      <c r="U61" s="1" t="str">
        <f>IF($M61="","",IF( IF(MONTH($U$1)=MONTH($M61),Paid!$C62,0)=0,"", IF(MONTH($U$1)=MONTH($M61),Paid!$C62,0)))</f>
        <v/>
      </c>
      <c r="V61" s="1" t="str">
        <f>IF($M61="","",IF( IF(MONTH(W$1)=MONTH($M61),Paid!F89,0)=0,"", IF(MONTH(W$1)=MONTH($M61),Paid!$C62,0)))</f>
        <v/>
      </c>
      <c r="W61" s="1" t="str">
        <f>IF($M61="","",IF( IF(MONTH(X$1)=MONTH($M61),Paid!G89,0)=0,"", IF(MONTH(X$1)=MONTH($M61),Paid!$C62,0)))</f>
        <v/>
      </c>
      <c r="X61" s="1" t="str">
        <f>IF($M61="","",IF( IF(MONTH(Y$1)=MONTH($M61),Paid!H89,0)=0,"", IF(MONTH(Y$1)=MONTH($M61),Paid!$C62,0)))</f>
        <v/>
      </c>
      <c r="Y61" s="1" t="str">
        <f>IF($M61="","",IF( IF(MONTH(Z$1)=MONTH($M61),Paid!I89,0)=0,"", IF(MONTH(Z$1)=MONTH($M61),Paid!$C62,0)))</f>
        <v/>
      </c>
      <c r="Z61" s="1" t="str">
        <f>IF($M61="","",IF( IF(MONTH(AA$1)=MONTH($M61),Paid!J89,0)=0,"", IF(MONTH(AA$1)=MONTH($M61),Paid!$C62,0)))</f>
        <v/>
      </c>
      <c r="AA61" s="1" t="str">
        <f>IF($M61="","",IF( IF(MONTH(AB$1)=MONTH($M61),Paid!K89,0)=0,"", IF(MONTH(AB$1)=MONTH($M61),Paid!$C62,0)))</f>
        <v/>
      </c>
      <c r="AB61" s="1"/>
      <c r="AC61" s="1"/>
      <c r="AD61" s="1"/>
      <c r="AE61" s="1"/>
      <c r="AF61" s="1"/>
      <c r="AG61" s="1"/>
      <c r="AH61" s="1"/>
    </row>
    <row r="62" spans="13:34">
      <c r="M62" s="19" t="str">
        <f>IF(Paid!E63="","",Paid!E63)</f>
        <v/>
      </c>
      <c r="N62" s="1"/>
      <c r="O62" s="1"/>
      <c r="P62" s="1"/>
      <c r="Q62" s="1"/>
      <c r="R62" s="1" t="str">
        <f>IF(M62="","",IF( IF(MONTH($S$1)=MONTH($M62),Paid!C63,0)=0,"", IF(MONTH($S$1)=MONTH($M62),Paid!C63,0)))</f>
        <v/>
      </c>
      <c r="S62" s="1" t="str">
        <f>IF($M62="","",IF( IF(MONTH($T$1)=MONTH($M62),Paid!C63,0)=0,"", IF(MONTH($T$1)=MONTH($M62),Paid!C63,0)))</f>
        <v/>
      </c>
      <c r="T62" s="1"/>
      <c r="U62" s="1" t="str">
        <f>IF($M62="","",IF( IF(MONTH($U$1)=MONTH($M62),Paid!$C63,0)=0,"", IF(MONTH($U$1)=MONTH($M62),Paid!$C63,0)))</f>
        <v/>
      </c>
      <c r="V62" s="1" t="str">
        <f>IF($M62="","",IF( IF(MONTH(W$1)=MONTH($M62),Paid!F90,0)=0,"", IF(MONTH(W$1)=MONTH($M62),Paid!$C63,0)))</f>
        <v/>
      </c>
      <c r="W62" s="1" t="str">
        <f>IF($M62="","",IF( IF(MONTH(X$1)=MONTH($M62),Paid!G90,0)=0,"", IF(MONTH(X$1)=MONTH($M62),Paid!$C63,0)))</f>
        <v/>
      </c>
      <c r="X62" s="1" t="str">
        <f>IF($M62="","",IF( IF(MONTH(Y$1)=MONTH($M62),Paid!H90,0)=0,"", IF(MONTH(Y$1)=MONTH($M62),Paid!$C63,0)))</f>
        <v/>
      </c>
      <c r="Y62" s="1" t="str">
        <f>IF($M62="","",IF( IF(MONTH(Z$1)=MONTH($M62),Paid!I90,0)=0,"", IF(MONTH(Z$1)=MONTH($M62),Paid!$C63,0)))</f>
        <v/>
      </c>
      <c r="Z62" s="1" t="str">
        <f>IF($M62="","",IF( IF(MONTH(AA$1)=MONTH($M62),Paid!J90,0)=0,"", IF(MONTH(AA$1)=MONTH($M62),Paid!$C63,0)))</f>
        <v/>
      </c>
      <c r="AA62" s="1" t="str">
        <f>IF($M62="","",IF( IF(MONTH(AB$1)=MONTH($M62),Paid!K90,0)=0,"", IF(MONTH(AB$1)=MONTH($M62),Paid!$C63,0)))</f>
        <v/>
      </c>
      <c r="AB62" s="1"/>
      <c r="AC62" s="1"/>
      <c r="AD62" s="1"/>
      <c r="AE62" s="1"/>
      <c r="AF62" s="1"/>
      <c r="AG62" s="1"/>
      <c r="AH62" s="1"/>
    </row>
    <row r="63" spans="13:34">
      <c r="M63" s="19" t="str">
        <f>IF(Paid!E64="","",Paid!E64)</f>
        <v/>
      </c>
      <c r="N63" s="1"/>
      <c r="O63" s="1"/>
      <c r="P63" s="1"/>
      <c r="Q63" s="1"/>
      <c r="R63" s="1" t="str">
        <f>IF(M63="","",IF( IF(MONTH($S$1)=MONTH($M63),Paid!C64,0)=0,"", IF(MONTH($S$1)=MONTH($M63),Paid!C64,0)))</f>
        <v/>
      </c>
      <c r="S63" s="1" t="str">
        <f>IF($M63="","",IF( IF(MONTH($T$1)=MONTH($M63),Paid!C64,0)=0,"", IF(MONTH($T$1)=MONTH($M63),Paid!C64,0)))</f>
        <v/>
      </c>
      <c r="T63" s="1"/>
      <c r="U63" s="1" t="str">
        <f>IF($M63="","",IF( IF(MONTH($U$1)=MONTH($M63),Paid!$C64,0)=0,"", IF(MONTH($U$1)=MONTH($M63),Paid!$C64,0)))</f>
        <v/>
      </c>
      <c r="V63" s="1" t="str">
        <f>IF($M63="","",IF( IF(MONTH(W$1)=MONTH($M63),Paid!F91,0)=0,"", IF(MONTH(W$1)=MONTH($M63),Paid!$C64,0)))</f>
        <v/>
      </c>
      <c r="W63" s="1" t="str">
        <f>IF($M63="","",IF( IF(MONTH(X$1)=MONTH($M63),Paid!G91,0)=0,"", IF(MONTH(X$1)=MONTH($M63),Paid!$C64,0)))</f>
        <v/>
      </c>
      <c r="X63" s="1" t="str">
        <f>IF($M63="","",IF( IF(MONTH(Y$1)=MONTH($M63),Paid!H91,0)=0,"", IF(MONTH(Y$1)=MONTH($M63),Paid!$C64,0)))</f>
        <v/>
      </c>
      <c r="Y63" s="1" t="str">
        <f>IF($M63="","",IF( IF(MONTH(Z$1)=MONTH($M63),Paid!I91,0)=0,"", IF(MONTH(Z$1)=MONTH($M63),Paid!$C64,0)))</f>
        <v/>
      </c>
      <c r="Z63" s="1" t="str">
        <f>IF($M63="","",IF( IF(MONTH(AA$1)=MONTH($M63),Paid!J91,0)=0,"", IF(MONTH(AA$1)=MONTH($M63),Paid!$C64,0)))</f>
        <v/>
      </c>
      <c r="AA63" s="1" t="str">
        <f>IF($M63="","",IF( IF(MONTH(AB$1)=MONTH($M63),Paid!K91,0)=0,"", IF(MONTH(AB$1)=MONTH($M63),Paid!$C64,0)))</f>
        <v/>
      </c>
      <c r="AB63" s="1"/>
      <c r="AC63" s="1"/>
      <c r="AD63" s="1"/>
      <c r="AE63" s="1"/>
      <c r="AF63" s="1"/>
      <c r="AG63" s="1"/>
      <c r="AH63" s="1"/>
    </row>
    <row r="64" spans="13:34">
      <c r="M64" s="19" t="str">
        <f>IF(Paid!E65="","",Paid!E65)</f>
        <v/>
      </c>
      <c r="N64" s="1"/>
      <c r="O64" s="1"/>
      <c r="P64" s="1"/>
      <c r="Q64" s="1"/>
      <c r="R64" s="1" t="str">
        <f>IF(M64="","",IF( IF(MONTH($S$1)=MONTH($M64),Paid!C65,0)=0,"", IF(MONTH($S$1)=MONTH($M64),Paid!C65,0)))</f>
        <v/>
      </c>
      <c r="S64" s="1" t="str">
        <f>IF($M64="","",IF( IF(MONTH($T$1)=MONTH($M64),Paid!C65,0)=0,"", IF(MONTH($T$1)=MONTH($M64),Paid!C65,0)))</f>
        <v/>
      </c>
      <c r="T64" s="1"/>
      <c r="U64" s="1" t="str">
        <f>IF($M64="","",IF( IF(MONTH($U$1)=MONTH($M64),Paid!$C65,0)=0,"", IF(MONTH($U$1)=MONTH($M64),Paid!$C65,0)))</f>
        <v/>
      </c>
      <c r="V64" s="1" t="str">
        <f>IF($M64="","",IF( IF(MONTH(W$1)=MONTH($M64),Paid!F92,0)=0,"", IF(MONTH(W$1)=MONTH($M64),Paid!$C65,0)))</f>
        <v/>
      </c>
      <c r="W64" s="1" t="str">
        <f>IF($M64="","",IF( IF(MONTH(X$1)=MONTH($M64),Paid!G92,0)=0,"", IF(MONTH(X$1)=MONTH($M64),Paid!$C65,0)))</f>
        <v/>
      </c>
      <c r="X64" s="1" t="str">
        <f>IF($M64="","",IF( IF(MONTH(Y$1)=MONTH($M64),Paid!H92,0)=0,"", IF(MONTH(Y$1)=MONTH($M64),Paid!$C65,0)))</f>
        <v/>
      </c>
      <c r="Y64" s="1" t="str">
        <f>IF($M64="","",IF( IF(MONTH(Z$1)=MONTH($M64),Paid!I92,0)=0,"", IF(MONTH(Z$1)=MONTH($M64),Paid!$C65,0)))</f>
        <v/>
      </c>
      <c r="Z64" s="1" t="str">
        <f>IF($M64="","",IF( IF(MONTH(AA$1)=MONTH($M64),Paid!J92,0)=0,"", IF(MONTH(AA$1)=MONTH($M64),Paid!$C65,0)))</f>
        <v/>
      </c>
      <c r="AA64" s="1" t="str">
        <f>IF($M64="","",IF( IF(MONTH(AB$1)=MONTH($M64),Paid!K92,0)=0,"", IF(MONTH(AB$1)=MONTH($M64),Paid!$C65,0)))</f>
        <v/>
      </c>
      <c r="AB64" s="1"/>
      <c r="AC64" s="1"/>
      <c r="AD64" s="1"/>
      <c r="AE64" s="1"/>
      <c r="AF64" s="1"/>
      <c r="AG64" s="1"/>
      <c r="AH64" s="1"/>
    </row>
    <row r="65" spans="13:27">
      <c r="M65" s="19" t="str">
        <f>IF(Paid!E66="","",Paid!E66)</f>
        <v/>
      </c>
      <c r="N65" s="1"/>
      <c r="R65" s="1" t="str">
        <f>IF(M65="","",IF( IF(MONTH($S$1)=MONTH($M65),Paid!C66,0)=0,"", IF(MONTH($S$1)=MONTH($M65),Paid!C66,0)))</f>
        <v/>
      </c>
      <c r="S65" s="1" t="str">
        <f>IF($M65="","",IF( IF(MONTH($T$1)=MONTH($M65),Paid!C66,0)=0,"", IF(MONTH($T$1)=MONTH($M65),Paid!C66,0)))</f>
        <v/>
      </c>
      <c r="T65" s="1"/>
      <c r="U65" s="1" t="str">
        <f>IF($M65="","",IF( IF(MONTH($U$1)=MONTH($M65),Paid!$C66,0)=0,"", IF(MONTH($U$1)=MONTH($M65),Paid!$C66,0)))</f>
        <v/>
      </c>
      <c r="V65" s="1" t="str">
        <f>IF($M65="","",IF( IF(MONTH(W$1)=MONTH($M65),Paid!F93,0)=0,"", IF(MONTH(W$1)=MONTH($M65),Paid!$C66,0)))</f>
        <v/>
      </c>
      <c r="W65" s="1" t="str">
        <f>IF($M65="","",IF( IF(MONTH(X$1)=MONTH($M65),Paid!G93,0)=0,"", IF(MONTH(X$1)=MONTH($M65),Paid!$C66,0)))</f>
        <v/>
      </c>
      <c r="X65" s="1" t="str">
        <f>IF($M65="","",IF( IF(MONTH(Y$1)=MONTH($M65),Paid!H93,0)=0,"", IF(MONTH(Y$1)=MONTH($M65),Paid!$C66,0)))</f>
        <v/>
      </c>
      <c r="Y65" s="1" t="str">
        <f>IF($M65="","",IF( IF(MONTH(Z$1)=MONTH($M65),Paid!I93,0)=0,"", IF(MONTH(Z$1)=MONTH($M65),Paid!$C66,0)))</f>
        <v/>
      </c>
      <c r="Z65" s="1" t="str">
        <f>IF($M65="","",IF( IF(MONTH(AA$1)=MONTH($M65),Paid!J93,0)=0,"", IF(MONTH(AA$1)=MONTH($M65),Paid!$C66,0)))</f>
        <v/>
      </c>
      <c r="AA65" s="1" t="str">
        <f>IF($M65="","",IF( IF(MONTH(AB$1)=MONTH($M65),Paid!K93,0)=0,"", IF(MONTH(AB$1)=MONTH($M65),Paid!$C66,0)))</f>
        <v/>
      </c>
    </row>
    <row r="66" spans="13:27">
      <c r="M66" s="19" t="str">
        <f>IF(Paid!E67="","",Paid!E67)</f>
        <v/>
      </c>
      <c r="N66" s="1"/>
      <c r="R66" s="1" t="str">
        <f>IF(M66="","",IF( IF(MONTH($S$1)=MONTH($M66),Paid!C67,0)=0,"", IF(MONTH($S$1)=MONTH($M66),Paid!C67,0)))</f>
        <v/>
      </c>
      <c r="S66" s="1" t="str">
        <f>IF($M66="","",IF( IF(MONTH($T$1)=MONTH($M66),Paid!C67,0)=0,"", IF(MONTH($T$1)=MONTH($M66),Paid!C67,0)))</f>
        <v/>
      </c>
      <c r="T66" s="1"/>
      <c r="U66" s="1" t="str">
        <f>IF($M66="","",IF( IF(MONTH($U$1)=MONTH($M66),Paid!$C67,0)=0,"", IF(MONTH($U$1)=MONTH($M66),Paid!$C67,0)))</f>
        <v/>
      </c>
    </row>
    <row r="67" spans="13:27">
      <c r="M67" s="19" t="str">
        <f>IF(Paid!E68="","",Paid!E68)</f>
        <v/>
      </c>
      <c r="N67" s="1"/>
      <c r="R67" s="1" t="str">
        <f>IF(M67="","",IF( IF(MONTH($S$1)=MONTH($M67),Paid!C68,0)=0,"", IF(MONTH($S$1)=MONTH($M67),Paid!C68,0)))</f>
        <v/>
      </c>
      <c r="S67" s="1" t="str">
        <f>IF($M67="","",IF( IF(MONTH($T$1)=MONTH($M67),Paid!C95,0)=0,"", IF(MONTH($T$1)=MONTH($M67),Paid!C68,0)))</f>
        <v/>
      </c>
      <c r="T67" s="1"/>
      <c r="U67" s="1" t="str">
        <f>IF($M67="","",IF( IF(MONTH($U$1)=MONTH($M67),Paid!$C68,0)=0,"", IF(MONTH($U$1)=MONTH($M67),Paid!$C68,0)))</f>
        <v/>
      </c>
    </row>
    <row r="68" spans="13:27">
      <c r="M68" s="19" t="str">
        <f>IF(Paid!E69="","",Paid!E69)</f>
        <v/>
      </c>
      <c r="N68" s="1"/>
      <c r="R68" s="1" t="str">
        <f>IF(M68="","",IF( IF(MONTH($S$1)=MONTH($M68),Paid!C69,0)=0,"", IF(MONTH($S$1)=MONTH($M68),Paid!C69,0)))</f>
        <v/>
      </c>
      <c r="S68" s="1" t="str">
        <f>IF($M68="","",IF( IF(MONTH($T$1)=MONTH($M68),Paid!C96,0)=0,"", IF(MONTH($T$1)=MONTH($M68),Paid!C69,0)))</f>
        <v/>
      </c>
      <c r="T68" s="1"/>
      <c r="U68" s="1" t="str">
        <f>IF($M68="","",IF( IF(MONTH($U$1)=MONTH($M68),Paid!$C69,0)=0,"", IF(MONTH($U$1)=MONTH($M68),Paid!$C69,0)))</f>
        <v/>
      </c>
    </row>
    <row r="69" spans="13:27">
      <c r="M69" s="19" t="str">
        <f>IF(Paid!E70="","",Paid!E70)</f>
        <v/>
      </c>
      <c r="N69" s="1"/>
      <c r="R69" s="1" t="str">
        <f>IF(M69="","",IF( IF(MONTH($S$1)=MONTH($M69),Paid!C70,0)=0,"", IF(MONTH($S$1)=MONTH($M69),Paid!C70,0)))</f>
        <v/>
      </c>
      <c r="S69" s="1" t="str">
        <f>IF($M69="","",IF( IF(MONTH($T$1)=MONTH($M69),Paid!C97,0)=0,"", IF(MONTH($T$1)=MONTH($M69),Paid!C70,0)))</f>
        <v/>
      </c>
      <c r="T69" s="1"/>
      <c r="U69" s="1" t="str">
        <f>IF($M69="","",IF( IF(MONTH($U$1)=MONTH($M69),Paid!$C70,0)=0,"", IF(MONTH($U$1)=MONTH($M69),Paid!$C70,0)))</f>
        <v/>
      </c>
    </row>
    <row r="70" spans="13:27">
      <c r="M70" s="19" t="str">
        <f>IF(Paid!E71="","",Paid!E71)</f>
        <v/>
      </c>
      <c r="N70" s="1"/>
      <c r="R70" s="1" t="str">
        <f>IF(M70="","",IF( IF(MONTH($S$1)=MONTH($M70),Paid!C71,0)=0,"", IF(MONTH($S$1)=MONTH($M70),Paid!C71,0)))</f>
        <v/>
      </c>
      <c r="S70" t="str">
        <f>IF(M70="","",IF( IF(MONTH($T$1)=MONTH($M70),Paid!C71,0)=0,"", IF(MONTH($T$1)=MONTH($M70),Paid!C71,0)))</f>
        <v/>
      </c>
      <c r="T70" s="1"/>
      <c r="U70" s="1" t="str">
        <f>IF($M70="","",IF( IF(MONTH($U$1)=MONTH($M70),Paid!$C71,0)=0,"", IF(MONTH($U$1)=MONTH($M70),Paid!$C71,0)))</f>
        <v/>
      </c>
    </row>
    <row r="71" spans="13:27">
      <c r="M71" s="19" t="str">
        <f>IF(Paid!E72="","",Paid!E72)</f>
        <v/>
      </c>
      <c r="N71" s="1"/>
      <c r="O71" s="1"/>
      <c r="P71" s="1"/>
      <c r="Q71" s="1"/>
      <c r="R71" s="1" t="str">
        <f>IF(M71="","",IF( IF(MONTH($S$1)=MONTH($M71),Paid!C72,0)=0,"", IF(MONTH($S$1)=MONTH($M71),Paid!C72,0)))</f>
        <v/>
      </c>
      <c r="S71" t="str">
        <f>IF(M71="","",IF( IF(MONTH($T$1)=MONTH($M71),Paid!C72,0)=0,"", IF(MONTH($T$1)=MONTH($M71),Paid!C72,0)))</f>
        <v/>
      </c>
      <c r="T71" s="1"/>
      <c r="U71" s="1" t="str">
        <f>IF($M71="","",IF( IF(MONTH($U$1)=MONTH($M71),Paid!$C72,0)=0,"", IF(MONTH($U$1)=MONTH($M71),Paid!$C72,0)))</f>
        <v/>
      </c>
      <c r="V71" s="1"/>
      <c r="W71" s="1"/>
      <c r="X71" s="1"/>
      <c r="Y71" s="1"/>
      <c r="Z71" s="1"/>
      <c r="AA71" s="1"/>
    </row>
    <row r="72" spans="13:27">
      <c r="M72" s="19" t="str">
        <f>IF(Paid!E73="","",Paid!E73)</f>
        <v/>
      </c>
      <c r="N72" s="20"/>
      <c r="O72" s="20"/>
      <c r="P72" s="20"/>
      <c r="Q72" s="20"/>
      <c r="R72" s="1" t="str">
        <f>IF(M72="","",IF( IF(MONTH($S$1)=MONTH($M72),Paid!C73,0)=0,"", IF(MONTH($S$1)=MONTH($M72),Paid!C73,0)))</f>
        <v/>
      </c>
      <c r="S72" t="str">
        <f>IF(M72="","",IF( IF(MONTH($T$1)=MONTH($M72),Paid!C73,0)=0,"", IF(MONTH($T$1)=MONTH($M72),Paid!C73,0)))</f>
        <v/>
      </c>
      <c r="T72" s="1"/>
      <c r="U72" s="1" t="str">
        <f>IF($M72="","",IF( IF(MONTH($U$1)=MONTH($M72),Paid!$C73,0)=0,"", IF(MONTH($U$1)=MONTH($M72),Paid!$C73,0)))</f>
        <v/>
      </c>
      <c r="V72" s="20"/>
      <c r="W72" s="20"/>
      <c r="X72" s="20"/>
      <c r="Y72" s="20"/>
      <c r="Z72" s="20"/>
      <c r="AA72" s="20"/>
    </row>
    <row r="73" spans="13:27">
      <c r="M73" s="19"/>
      <c r="N73" s="1"/>
      <c r="O73" s="1"/>
      <c r="P73" s="1"/>
      <c r="Q73" s="1"/>
      <c r="R73" s="1"/>
      <c r="S73" s="1"/>
      <c r="T73" s="1"/>
      <c r="U73" s="1" t="str">
        <f>IF($M73="","",IF( IF(MONTH($U$1)=MONTH($M73),Paid!$C74,0)=0,"", IF(MONTH($U$1)=MONTH($M73),Paid!$C74,0)))</f>
        <v/>
      </c>
      <c r="V73" s="1"/>
      <c r="W73" s="1"/>
      <c r="X73" s="1"/>
      <c r="Y73" s="1"/>
      <c r="Z73" s="1"/>
      <c r="AA73" s="1"/>
    </row>
    <row r="74" spans="13:27">
      <c r="M74" s="19"/>
      <c r="N74" s="1"/>
      <c r="O74" s="1"/>
      <c r="P74" s="1"/>
      <c r="Q74" s="1"/>
      <c r="R74" s="1"/>
      <c r="S74" s="1"/>
      <c r="T74" s="1"/>
      <c r="U74" s="1" t="str">
        <f>IF($M74="","",IF( IF(MONTH($U$1)=MONTH($M74),Paid!$C75,0)=0,"", IF(MONTH($U$1)=MONTH($M74),Paid!$C75,0)))</f>
        <v/>
      </c>
      <c r="V74" s="1"/>
      <c r="W74" s="1"/>
      <c r="X74" s="1"/>
      <c r="Y74" s="1"/>
      <c r="Z74" s="1"/>
      <c r="AA74" s="1"/>
    </row>
    <row r="75" spans="13:27">
      <c r="M75" s="19"/>
      <c r="N75" s="1"/>
      <c r="O75" s="1"/>
      <c r="P75" s="1"/>
      <c r="Q75" s="1"/>
      <c r="R75" s="1"/>
      <c r="S75" s="1"/>
      <c r="T75" s="1"/>
      <c r="U75" s="1" t="str">
        <f>IF($M75="","",IF( IF(MONTH($U$1)=MONTH($M75),Paid!$C76,0)=0,"", IF(MONTH($U$1)=MONTH($M75),Paid!$C76,0)))</f>
        <v/>
      </c>
      <c r="V75" s="1"/>
      <c r="W75" s="1"/>
      <c r="X75" s="1"/>
      <c r="Y75" s="1"/>
      <c r="Z75" s="1"/>
      <c r="AA75" s="1"/>
    </row>
    <row r="76" spans="13:27">
      <c r="M76" s="19"/>
      <c r="N76" s="1"/>
      <c r="O76" s="1"/>
      <c r="P76" s="1"/>
      <c r="Q76" s="1"/>
      <c r="R76" s="1"/>
      <c r="S76" s="1"/>
      <c r="T76" s="1"/>
      <c r="U76" s="1" t="str">
        <f>IF($M76="","",IF( IF(MONTH($U$1)=MONTH($M76),Paid!$C77,0)=0,"", IF(MONTH($U$1)=MONTH($M76),Paid!$C77,0)))</f>
        <v/>
      </c>
      <c r="V76" s="1"/>
      <c r="W76" s="1"/>
      <c r="X76" s="1"/>
      <c r="Y76" s="1"/>
      <c r="Z76" s="1"/>
      <c r="AA76" s="1"/>
    </row>
    <row r="77" spans="13:27">
      <c r="M77" s="19"/>
      <c r="N77" s="1"/>
      <c r="O77" s="1"/>
      <c r="P77" s="1"/>
      <c r="Q77" s="1"/>
      <c r="R77" s="1"/>
      <c r="S77" s="1"/>
      <c r="T77" s="1"/>
      <c r="U77" s="1" t="str">
        <f>IF($M77="","",IF( IF(MONTH($U$1)=MONTH($M77),Paid!$C78,0)=0,"", IF(MONTH($U$1)=MONTH($M77),Paid!$C78,0)))</f>
        <v/>
      </c>
      <c r="V77" s="1"/>
      <c r="W77" s="1"/>
      <c r="X77" s="1"/>
      <c r="Y77" s="1"/>
      <c r="Z77" s="1"/>
      <c r="AA77" s="1"/>
    </row>
    <row r="78" spans="13:27">
      <c r="M78" s="19"/>
      <c r="N78" s="1"/>
      <c r="O78" s="1"/>
      <c r="P78" s="1"/>
      <c r="Q78" s="1"/>
      <c r="R78" s="1"/>
      <c r="S78" s="1"/>
      <c r="T78" s="1"/>
      <c r="U78" s="1" t="str">
        <f>IF($M78="","",IF( IF(MONTH($U$1)=MONTH($M78),Paid!$C79,0)=0,"", IF(MONTH($U$1)=MONTH($M78),Paid!$C79,0)))</f>
        <v/>
      </c>
      <c r="V78" s="1"/>
      <c r="W78" s="1"/>
      <c r="X78" s="1"/>
      <c r="Y78" s="1"/>
      <c r="Z78" s="1"/>
      <c r="AA78" s="1"/>
    </row>
    <row r="79" spans="13:27">
      <c r="M79" s="19"/>
      <c r="N79" s="1" t="str">
        <f>IF( IF(EOMONTH($O$1,0)=EOMONTH(M79,0),Refund!C9,0)=0, "", IF(EOMONTH($O$1,0)=EOMONTH(M79,0),Refund!C9,0))</f>
        <v/>
      </c>
      <c r="O79" s="1" t="str">
        <f>IF( ISNUMBER(SEARCH($P$1,$M$2))*Paid!C36=0,"",ISNUMBER(SEARCH($P$1,$M$2))*Paid!C36)</f>
        <v/>
      </c>
      <c r="P79" s="1" t="str">
        <f>IF( IF(EOMONTH($Q$1,0)=EOMONTH(M79,0),Paid!C36,0)=0, "", IF(EOMONTH($Q$1,0)=EOMONTH(M79,0),Paid!C36,0))</f>
        <v/>
      </c>
      <c r="Q79" s="1" t="str">
        <f>IF( IF(EOMONTH($R$1,0)=EOMONTH(M79,0),Paid!C36,0)=0, "", IF(EOMONTH($R$1,0)=EOMONTH(M79,0),Paid!C36,0))</f>
        <v/>
      </c>
      <c r="R79" s="1"/>
      <c r="S79" s="1"/>
      <c r="T79" s="1"/>
      <c r="U79" s="1" t="str">
        <f>IF($M79="","",IF( IF(MONTH($U$1)=MONTH($M79),Paid!$C80,0)=0,"", IF(MONTH($U$1)=MONTH($M79),Paid!$C80,0)))</f>
        <v/>
      </c>
      <c r="V79" s="1"/>
      <c r="W79" s="1"/>
      <c r="X79" s="1"/>
      <c r="Y79" s="1"/>
      <c r="Z79" s="1"/>
      <c r="AA79" s="1"/>
    </row>
    <row r="80" spans="13:27">
      <c r="M80" s="19"/>
      <c r="N80" s="1" t="str">
        <f>IF( IF(EOMONTH($O$1,0)=EOMONTH(M80,0),Refund!C10,0)=0, "", IF(EOMONTH($O$1,0)=EOMONTH(M80,0),Refund!C10,0))</f>
        <v/>
      </c>
      <c r="O80" s="1"/>
      <c r="P80" s="1" t="str">
        <f>IF( IF(EOMONTH($Q$1,0)=EOMONTH(M80,0),Paid!#REF!,0)=0, "", IF(EOMONTH($Q$1,0)=EOMONTH(M80,0),Paid!#REF!,0))</f>
        <v/>
      </c>
      <c r="Q80" s="1" t="str">
        <f>IF( IF(EOMONTH($R$1,0)=EOMONTH(M80,0),Paid!#REF!,0)=0, "", IF(EOMONTH($R$1,0)=EOMONTH(M80,0),Paid!#REF!,0))</f>
        <v/>
      </c>
      <c r="R80" s="1"/>
      <c r="S80" s="1"/>
      <c r="T80" s="1"/>
      <c r="U80" s="1" t="str">
        <f>IF($M80="","",IF( IF(MONTH($U$1)=MONTH($M80),Paid!$C81,0)=0,"", IF(MONTH($U$1)=MONTH($M80),Paid!$C81,0)))</f>
        <v/>
      </c>
      <c r="V80" s="1"/>
      <c r="W80" s="1"/>
      <c r="X80" s="1"/>
      <c r="Y80" s="1"/>
      <c r="Z80" s="1"/>
      <c r="AA80" s="1"/>
    </row>
    <row r="81" spans="13:27">
      <c r="M81" s="19"/>
      <c r="N81" s="1" t="str">
        <f>IF( IF(EOMONTH($O$1,0)=EOMONTH(M81,0),Refund!C11,0)=0, "", IF(EOMONTH($O$1,0)=EOMONTH(M81,0),Refund!C11,0))</f>
        <v/>
      </c>
      <c r="O81" s="1" t="str">
        <f>IF( ISNUMBER(SEARCH($P$1,$M$2))*Paid!C37=0,"",ISNUMBER(SEARCH($P$1,$M$2))*Paid!C37)</f>
        <v/>
      </c>
      <c r="P81" s="1" t="str">
        <f>IF( IF(EOMONTH($Q$1,0)=EOMONTH(M81,0),Paid!C37,0)=0, "", IF(EOMONTH($Q$1,0)=EOMONTH(M81,0),Paid!C37,0))</f>
        <v/>
      </c>
      <c r="Q81" s="1" t="str">
        <f>IF( IF(EOMONTH($R$1,0)=EOMONTH(M81,0),Paid!C37,0)=0, "", IF(EOMONTH($R$1,0)=EOMONTH(M81,0),Paid!C37,0))</f>
        <v/>
      </c>
      <c r="R81" s="1"/>
      <c r="S81" s="1"/>
      <c r="T81" s="1"/>
      <c r="U81" s="1" t="str">
        <f>IF($M81="","",IF( IF(MONTH($U$1)=MONTH($M81),Paid!$C82,0)=0,"", IF(MONTH($U$1)=MONTH($M81),Paid!$C82,0)))</f>
        <v/>
      </c>
      <c r="V81" s="1"/>
      <c r="W81" s="1"/>
      <c r="X81" s="1"/>
      <c r="Y81" s="1"/>
      <c r="Z81" s="1"/>
      <c r="AA81" s="1"/>
    </row>
    <row r="82" spans="13:27">
      <c r="M82" s="19"/>
      <c r="N82" s="1" t="str">
        <f>IF( IF(EOMONTH($O$1,0)=EOMONTH(M82,0),Refund!C12,0)=0, "", IF(EOMONTH($O$1,0)=EOMONTH(M82,0),Refund!C12,0))</f>
        <v/>
      </c>
      <c r="O82" s="1" t="str">
        <f>IF( ISNUMBER(SEARCH($P$1,$M$2))*Paid!C38=0,"",ISNUMBER(SEARCH($P$1,$M$2))*Paid!C38)</f>
        <v/>
      </c>
      <c r="P82" s="1" t="str">
        <f>IF( IF(EOMONTH($Q$1,0)=EOMONTH(M82,0),Paid!C38,0)=0, "", IF(EOMONTH($Q$1,0)=EOMONTH(M82,0),Paid!C38,0))</f>
        <v/>
      </c>
      <c r="Q82" s="1" t="str">
        <f>IF( IF(EOMONTH($R$1,0)=EOMONTH(M82,0),Paid!C38,0)=0, "", IF(EOMONTH($R$1,0)=EOMONTH(M82,0),Paid!C38,0))</f>
        <v/>
      </c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3:27">
      <c r="M83" s="19"/>
      <c r="N83" s="1" t="str">
        <f>IF( IF(EOMONTH($N$72,0)=EOMONTH(M83,0),Refund!C13,0)=0, "", IF(EOMONTH($N$72,0)=EOMONTH(M83,0),Refund!C13,0))</f>
        <v/>
      </c>
      <c r="O83" s="1" t="str">
        <f>IF( ISNUMBER(SEARCH($P$1,$M$2))*Paid!C40=0,"",ISNUMBER(SEARCH($P$1,$M$2))*Paid!C40)</f>
        <v/>
      </c>
      <c r="P83" s="1" t="str">
        <f>IF( IF(EOMONTH($Q$1,0)=EOMONTH(M83,0),Paid!C40,0)=0, "", IF(EOMONTH($Q$1,0)=EOMONTH(M83,0),Paid!C40,0))</f>
        <v/>
      </c>
      <c r="Q83" s="1" t="str">
        <f>IF( IF(EOMONTH($R$1,0)=EOMONTH(M83,0),Paid!C40,0)=0, "", IF(EOMONTH($R$1,0)=EOMONTH(M83,0),Paid!C40,0))</f>
        <v/>
      </c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3:27">
      <c r="M84" s="19"/>
      <c r="N84" s="1" t="str">
        <f>IF( IF(EOMONTH($N$72,0)=EOMONTH(M84,0),Refund!C14,0)=0, "", IF(EOMONTH($N$72,0)=EOMONTH(M84,0),Refund!C14,0))</f>
        <v/>
      </c>
      <c r="O84" s="1" t="str">
        <f>IF( ISNUMBER(SEARCH($P$1,$M$2))*Paid!C41=0,"",ISNUMBER(SEARCH($P$1,$M$2))*Paid!C41)</f>
        <v/>
      </c>
      <c r="P84" s="1" t="str">
        <f>IF( IF(EOMONTH($Q$1,0)=EOMONTH(M84,0),Paid!C41,0)=0, "", IF(EOMONTH($Q$1,0)=EOMONTH(M84,0),Paid!C41,0))</f>
        <v/>
      </c>
      <c r="Q84" s="1" t="str">
        <f>IF( IF(EOMONTH($R$1,0)=EOMONTH(M84,0),Paid!C41,0)=0, "", IF(EOMONTH($R$1,0)=EOMONTH(M84,0),Paid!C41,0))</f>
        <v/>
      </c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3:27">
      <c r="M85" s="19"/>
      <c r="N85" s="1" t="str">
        <f>IF( IF(EOMONTH($N$72,0)=EOMONTH(M85,0),Refund!C15,0)=0, "", IF(EOMONTH($N$72,0)=EOMONTH(M85,0),Refund!C15,0))</f>
        <v/>
      </c>
      <c r="O85" s="1" t="str">
        <f>IF( ISNUMBER(SEARCH($P$1,$M$2))*Paid!C42=0,"",ISNUMBER(SEARCH($P$1,$M$2))*Paid!C42)</f>
        <v/>
      </c>
      <c r="P85" s="1" t="str">
        <f>IF( IF(EOMONTH($Q$1,0)=EOMONTH(M85,0),Paid!C42,0)=0, "", IF(EOMONTH($Q$1,0)=EOMONTH(M85,0),Paid!C42,0))</f>
        <v/>
      </c>
      <c r="Q85" s="1" t="str">
        <f>IF( IF(EOMONTH($R$1,0)=EOMONTH(M85,0),Paid!C42,0)=0, "", IF(EOMONTH($R$1,0)=EOMONTH(M85,0),Paid!C42,0))</f>
        <v/>
      </c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3:27">
      <c r="M86" s="19"/>
      <c r="N86" s="1" t="str">
        <f>IF( IF(EOMONTH($N$72,0)=EOMONTH(M86,0),Refund!C16,0)=0, "", IF(EOMONTH($N$72,0)=EOMONTH(M86,0),Refund!C16,0))</f>
        <v/>
      </c>
      <c r="O86" s="1" t="str">
        <f>IF( ISNUMBER(SEARCH($P$1,$M$2))*Paid!C43=0,"",ISNUMBER(SEARCH($P$1,$M$2))*Paid!C43)</f>
        <v/>
      </c>
      <c r="P86" s="1" t="str">
        <f>IF( IF(EOMONTH($Q$1,0)=EOMONTH(M86,0),Paid!C43,0)=0, "", IF(EOMONTH($Q$1,0)=EOMONTH(M86,0),Paid!C43,0))</f>
        <v/>
      </c>
      <c r="Q86" s="1" t="str">
        <f>IF( IF(EOMONTH($R$1,0)=EOMONTH(M86,0),Paid!C43,0)=0, "", IF(EOMONTH($R$1,0)=EOMONTH(M86,0),Paid!C43,0))</f>
        <v/>
      </c>
      <c r="R86" s="1"/>
      <c r="S86" s="1"/>
      <c r="T86" s="1"/>
      <c r="U86" s="1"/>
      <c r="V86" s="1"/>
      <c r="W86" s="1"/>
      <c r="X86" s="1"/>
      <c r="Y86" s="1"/>
      <c r="Z86" s="1"/>
      <c r="AA86" s="1"/>
    </row>
  </sheetData>
  <phoneticPr fontId="4" type="noConversion"/>
  <conditionalFormatting sqref="O71:Q71 P42:Q42 N73:N82 P16:P25 AC16:AH42 N47:N71 O16:O46 AC2:AI15 O3:P15 Q3:Q41 R3:R72 S3:S69 V3:AB46 N2:AB2 V47:AA65 V71:AA71 U3:U81 T3:T72">
    <cfRule type="notContainsBlanks" dxfId="18" priority="11">
      <formula>LEN(TRIM(N2))&gt;0</formula>
    </cfRule>
  </conditionalFormatting>
  <conditionalFormatting sqref="L16:L57 M2:M72">
    <cfRule type="notContainsBlanks" dxfId="17" priority="10">
      <formula>LEN(TRIM(L2))&gt;0</formula>
    </cfRule>
  </conditionalFormatting>
  <conditionalFormatting sqref="N1:BL1">
    <cfRule type="notContainsBlanks" dxfId="16" priority="9">
      <formula>LEN(TRIM(N1))&gt;0</formula>
    </cfRule>
  </conditionalFormatting>
  <conditionalFormatting sqref="G2:G100">
    <cfRule type="cellIs" dxfId="15" priority="8" operator="greaterThan">
      <formula>1</formula>
    </cfRule>
  </conditionalFormatting>
  <conditionalFormatting sqref="H2:H5 H7:H100">
    <cfRule type="cellIs" dxfId="14" priority="7" operator="greaterThan">
      <formula>1</formula>
    </cfRule>
  </conditionalFormatting>
  <conditionalFormatting sqref="N83:AA86 O82:AA82 O73:T81 V73:AA81">
    <cfRule type="notContainsBlanks" dxfId="13" priority="6">
      <formula>LEN(TRIM(N73))&gt;0</formula>
    </cfRule>
  </conditionalFormatting>
  <conditionalFormatting sqref="N72:Q72 V72:AA72">
    <cfRule type="notContainsBlanks" dxfId="12" priority="4">
      <formula>LEN(TRIM(N72))&gt;0</formula>
    </cfRule>
  </conditionalFormatting>
  <conditionalFormatting sqref="M73:M86">
    <cfRule type="notContainsBlanks" dxfId="11" priority="3">
      <formula>LEN(TRIM(M73))&gt;0</formula>
    </cfRule>
  </conditionalFormatting>
  <conditionalFormatting sqref="C7">
    <cfRule type="dataBar" priority="2">
      <dataBar>
        <cfvo type="num" val="0"/>
        <cfvo type="num" val="1"/>
        <color rgb="FFFF555A"/>
      </dataBar>
      <extLst>
        <ext xmlns:x14="http://schemas.microsoft.com/office/spreadsheetml/2009/9/main" uri="{B025F937-C7B1-47D3-B67F-A62EFF666E3E}">
          <x14:id>{8DF4D399-E50E-0C42-802F-2B6B13932594}</x14:id>
        </ext>
      </extLst>
    </cfRule>
  </conditionalFormatting>
  <conditionalFormatting sqref="C35">
    <cfRule type="dataBar" priority="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{1B6575E5-AB42-9943-9F00-38219B327ED8}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DF4D399-E50E-0C42-802F-2B6B13932594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C7</xm:sqref>
        </x14:conditionalFormatting>
        <x14:conditionalFormatting xmlns:xm="http://schemas.microsoft.com/office/excel/2006/main">
          <x14:cfRule type="dataBar" id="{1B6575E5-AB42-9943-9F00-38219B327ED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C35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F840-ECE3-9242-A661-4E402E010C71}">
  <dimension ref="A1:Q34"/>
  <sheetViews>
    <sheetView zoomScaleNormal="100" workbookViewId="0">
      <selection activeCell="B9" sqref="B9"/>
    </sheetView>
  </sheetViews>
  <sheetFormatPr defaultColWidth="11" defaultRowHeight="15.75"/>
  <cols>
    <col min="2" max="2" width="23" customWidth="1"/>
    <col min="4" max="4" width="16.625" customWidth="1"/>
    <col min="5" max="5" width="16.875" customWidth="1"/>
    <col min="6" max="6" width="6.625" customWidth="1"/>
  </cols>
  <sheetData>
    <row r="1" spans="1:17">
      <c r="N1" s="20">
        <v>44197</v>
      </c>
      <c r="O1" s="20">
        <v>44228</v>
      </c>
      <c r="P1" s="20">
        <v>44256</v>
      </c>
      <c r="Q1" s="20"/>
    </row>
    <row r="2" spans="1:17">
      <c r="A2" s="32" t="s">
        <v>14</v>
      </c>
      <c r="B2" s="33" t="s">
        <v>15</v>
      </c>
      <c r="C2" s="34" t="s">
        <v>70</v>
      </c>
      <c r="D2" s="49" t="s">
        <v>17</v>
      </c>
      <c r="E2" s="36" t="s">
        <v>48</v>
      </c>
      <c r="F2" s="3" t="s">
        <v>65</v>
      </c>
      <c r="G2" s="35" t="s">
        <v>23</v>
      </c>
      <c r="H2" t="s">
        <v>6</v>
      </c>
      <c r="K2" s="8" t="s">
        <v>87</v>
      </c>
      <c r="M2" s="19">
        <f t="shared" ref="M2:M22" si="0">IF(E3="","",E3)</f>
        <v>44197</v>
      </c>
      <c r="N2" s="1">
        <f>IF( IF(EOMONTH($N$1,0)=EOMONTH(M2,0),$C3,0)=0, "", IF(EOMONTH($N$1,0)=EOMONTH(M2,0),$C3))</f>
        <v>25</v>
      </c>
      <c r="O2" s="1" t="str">
        <f>IF(M2="","",IF( IF(EOMONTH($O$1,0)=EOMONTH($M2,0),$C3,0)=0, "", IF(EOMONTH($O$1,0)=EOMONTH($M2,0),$C3)))</f>
        <v/>
      </c>
      <c r="P2" s="1" t="str">
        <f>IF(M2="","",IF( IF(EOMONTH($P$1,0)=EOMONTH($M2,0),$C3,0)=0, "", IF(EOMONTH($P$1,0)=EOMONTH($M2,0),$C3)))</f>
        <v/>
      </c>
      <c r="Q2" s="1"/>
    </row>
    <row r="3" spans="1:17">
      <c r="A3" s="26" t="s">
        <v>27</v>
      </c>
      <c r="B3" s="26" t="s">
        <v>86</v>
      </c>
      <c r="C3" s="250">
        <v>25</v>
      </c>
      <c r="D3" s="189" t="s">
        <v>88</v>
      </c>
      <c r="E3" s="27">
        <v>44197</v>
      </c>
      <c r="F3" s="61">
        <v>0.50347222222222221</v>
      </c>
      <c r="G3" s="28" t="s">
        <v>78</v>
      </c>
      <c r="H3" t="s">
        <v>6</v>
      </c>
      <c r="J3" s="23">
        <v>44197</v>
      </c>
      <c r="K3" s="42">
        <f>SUM(N$2:N$74)</f>
        <v>80.98</v>
      </c>
      <c r="M3" s="19">
        <f t="shared" si="0"/>
        <v>44201</v>
      </c>
      <c r="N3" s="1">
        <f>IF( IF(EOMONTH($N$1,0)=EOMONTH(M3,0),$C4,0)=0, "", IF(EOMONTH($N$1,0)=EOMONTH(M3,0),$C4))</f>
        <v>27.03</v>
      </c>
      <c r="O3" s="1" t="str">
        <f t="shared" ref="O3:O25" si="1">IF(M3="","",IF( IF(EOMONTH($O$1,0)=EOMONTH($M3,0),$C4,0)=0, "", IF(EOMONTH($O$1,0)=EOMONTH($M3,0),$C4)))</f>
        <v/>
      </c>
      <c r="P3" s="1" t="str">
        <f t="shared" ref="P3:P19" si="2">IF(M3="","",IF( IF(EOMONTH($P$1,0)=EOMONTH($M3,0),$C4,0)=0, "", IF(EOMONTH($P$1,0)=EOMONTH($M3,0),$C4)))</f>
        <v/>
      </c>
      <c r="Q3" s="1"/>
    </row>
    <row r="4" spans="1:17">
      <c r="A4" s="81" t="s">
        <v>1</v>
      </c>
      <c r="B4" s="82" t="s">
        <v>22</v>
      </c>
      <c r="C4" s="251">
        <v>27.03</v>
      </c>
      <c r="D4" s="190" t="s">
        <v>0</v>
      </c>
      <c r="E4" s="83">
        <v>44201</v>
      </c>
      <c r="F4" s="84">
        <v>0.36249999999999999</v>
      </c>
      <c r="G4" s="85" t="s">
        <v>39</v>
      </c>
      <c r="H4" t="s">
        <v>6</v>
      </c>
      <c r="J4" s="23">
        <f>O1</f>
        <v>44228</v>
      </c>
      <c r="K4" s="202">
        <f>SUM(O2:O100)</f>
        <v>66.599999999999994</v>
      </c>
      <c r="M4" s="19">
        <f t="shared" si="0"/>
        <v>44210</v>
      </c>
      <c r="N4" s="1">
        <f>IF( IF(EOMONTH($N$1,0)=EOMONTH(M4,0),$C5,0)=0, "", IF(EOMONTH($N$1,0)=EOMONTH(M4,0),$C5))</f>
        <v>24</v>
      </c>
      <c r="O4" s="1" t="str">
        <f t="shared" si="1"/>
        <v/>
      </c>
      <c r="P4" s="1" t="str">
        <f t="shared" si="2"/>
        <v/>
      </c>
      <c r="Q4" s="1"/>
    </row>
    <row r="5" spans="1:17">
      <c r="A5" s="29" t="s">
        <v>27</v>
      </c>
      <c r="B5" s="26" t="s">
        <v>164</v>
      </c>
      <c r="C5" s="250">
        <v>24</v>
      </c>
      <c r="D5" s="191" t="s">
        <v>0</v>
      </c>
      <c r="E5" s="27">
        <v>44210</v>
      </c>
      <c r="F5" s="61">
        <v>0.18055555555555555</v>
      </c>
      <c r="G5" s="114" t="s">
        <v>37</v>
      </c>
      <c r="H5" t="s">
        <v>6</v>
      </c>
      <c r="I5" s="43"/>
      <c r="J5" s="23">
        <f>P1</f>
        <v>44256</v>
      </c>
      <c r="K5" s="202">
        <f>SUM(P2:P100)</f>
        <v>11.73</v>
      </c>
      <c r="L5" s="1"/>
      <c r="M5" s="19">
        <f t="shared" si="0"/>
        <v>44224</v>
      </c>
      <c r="N5" s="1">
        <f>IF( IF(EOMONTH($N$1,0)=EOMONTH(M5,0),$C6,0)=0, "", IF(EOMONTH($N$1,0)=EOMONTH(M5,0),$C6))</f>
        <v>4.95</v>
      </c>
      <c r="O5" s="1" t="str">
        <f t="shared" si="1"/>
        <v/>
      </c>
      <c r="P5" s="1" t="str">
        <f t="shared" si="2"/>
        <v/>
      </c>
      <c r="Q5" s="1"/>
    </row>
    <row r="6" spans="1:17">
      <c r="A6" s="29" t="s">
        <v>27</v>
      </c>
      <c r="B6" s="166" t="s">
        <v>11</v>
      </c>
      <c r="C6" s="252">
        <v>4.95</v>
      </c>
      <c r="D6" s="105" t="s">
        <v>3</v>
      </c>
      <c r="E6" s="27">
        <v>44224</v>
      </c>
      <c r="F6" s="61">
        <v>0.15138888888888888</v>
      </c>
      <c r="G6" s="28" t="s">
        <v>197</v>
      </c>
      <c r="H6" t="s">
        <v>6</v>
      </c>
      <c r="I6" s="43"/>
      <c r="K6" s="19"/>
      <c r="L6" s="1"/>
      <c r="M6" s="19">
        <f t="shared" si="0"/>
        <v>44229</v>
      </c>
      <c r="N6" s="1" t="str">
        <f>IF( IF(EOMONTH($N$1,0)=EOMONTH(M6,0),$C7,0)=0, "", IF(EOMONTH($N$1,0)=EOMONTH(M6,0),$C7))</f>
        <v/>
      </c>
      <c r="O6" s="1">
        <f t="shared" si="1"/>
        <v>66.599999999999994</v>
      </c>
      <c r="P6" s="1" t="str">
        <f t="shared" si="2"/>
        <v/>
      </c>
      <c r="Q6" s="1"/>
    </row>
    <row r="7" spans="1:17">
      <c r="A7" s="213" t="s">
        <v>27</v>
      </c>
      <c r="B7" s="213" t="s">
        <v>108</v>
      </c>
      <c r="C7" s="253">
        <v>66.599999999999994</v>
      </c>
      <c r="D7" s="214" t="s">
        <v>0</v>
      </c>
      <c r="E7" s="83">
        <v>44229</v>
      </c>
      <c r="F7" s="84">
        <v>0.19305555555555601</v>
      </c>
      <c r="G7" s="215" t="s">
        <v>107</v>
      </c>
      <c r="H7" t="s">
        <v>6</v>
      </c>
      <c r="I7" s="43"/>
      <c r="K7" s="19"/>
      <c r="L7" s="1"/>
      <c r="M7" s="19">
        <f t="shared" si="0"/>
        <v>44266</v>
      </c>
      <c r="N7" s="1" t="str">
        <f>IF(M7="","",IF( IF(EOMONTH($N$1,0)=EOMONTH(M7,0),$C7,0)=0, "", IF(EOMONTH($N$1,0)=EOMONTH(M7,0),$C7)))</f>
        <v/>
      </c>
      <c r="O7" s="1" t="str">
        <f t="shared" si="1"/>
        <v/>
      </c>
      <c r="P7" s="1">
        <f t="shared" si="2"/>
        <v>3.16</v>
      </c>
      <c r="Q7" s="1"/>
    </row>
    <row r="8" spans="1:17" ht="36" customHeight="1">
      <c r="A8" s="254" t="s">
        <v>9</v>
      </c>
      <c r="B8" s="205" t="s">
        <v>311</v>
      </c>
      <c r="C8" s="228">
        <v>3.16</v>
      </c>
      <c r="D8" s="105" t="s">
        <v>3</v>
      </c>
      <c r="E8" s="255">
        <v>44266</v>
      </c>
      <c r="F8" s="61"/>
      <c r="G8" s="168" t="s">
        <v>312</v>
      </c>
      <c r="H8" t="s">
        <v>6</v>
      </c>
      <c r="I8" s="43"/>
      <c r="K8" s="19"/>
      <c r="L8" s="1"/>
      <c r="M8" s="19">
        <f t="shared" si="0"/>
        <v>44268</v>
      </c>
      <c r="N8" s="1" t="str">
        <f t="shared" ref="N8:N22" si="3">IF(M8="","",IF( IF(EOMONTH($N$1,0)=EOMONTH(M8,0),$C9,0)=0, "", IF(EOMONTH($N$1,0)=EOMONTH(M8,0),$C9)))</f>
        <v/>
      </c>
      <c r="O8" s="1" t="str">
        <f t="shared" si="1"/>
        <v/>
      </c>
      <c r="P8" s="1">
        <f t="shared" si="2"/>
        <v>2.4500000000000002</v>
      </c>
      <c r="Q8" s="1"/>
    </row>
    <row r="9" spans="1:17">
      <c r="A9" s="29" t="s">
        <v>18</v>
      </c>
      <c r="B9" s="26" t="s">
        <v>314</v>
      </c>
      <c r="C9" s="250">
        <v>2.4500000000000002</v>
      </c>
      <c r="D9" s="105" t="s">
        <v>3</v>
      </c>
      <c r="E9" s="255">
        <v>44268</v>
      </c>
      <c r="F9" s="26"/>
      <c r="G9" s="26" t="s">
        <v>313</v>
      </c>
      <c r="H9" t="s">
        <v>6</v>
      </c>
      <c r="I9" s="43"/>
      <c r="K9" s="19"/>
      <c r="L9" s="1"/>
      <c r="M9" s="19">
        <f t="shared" si="0"/>
        <v>44267</v>
      </c>
      <c r="N9" s="1" t="str">
        <f t="shared" si="3"/>
        <v/>
      </c>
      <c r="O9" s="1" t="str">
        <f t="shared" si="1"/>
        <v/>
      </c>
      <c r="P9" s="1">
        <f t="shared" si="2"/>
        <v>6.12</v>
      </c>
      <c r="Q9" s="1"/>
    </row>
    <row r="10" spans="1:17">
      <c r="A10" s="29" t="s">
        <v>13</v>
      </c>
      <c r="B10" s="26" t="s">
        <v>12</v>
      </c>
      <c r="C10" s="250">
        <v>6.12</v>
      </c>
      <c r="D10" s="105" t="s">
        <v>3</v>
      </c>
      <c r="E10" s="255">
        <v>44267</v>
      </c>
      <c r="F10" s="26"/>
      <c r="G10" s="26" t="s">
        <v>321</v>
      </c>
      <c r="H10" t="s">
        <v>6</v>
      </c>
      <c r="I10" s="43"/>
      <c r="K10" s="19"/>
      <c r="L10" s="1"/>
      <c r="M10" s="19" t="str">
        <f t="shared" si="0"/>
        <v/>
      </c>
      <c r="N10" s="1" t="str">
        <f t="shared" si="3"/>
        <v/>
      </c>
      <c r="O10" s="1" t="str">
        <f t="shared" si="1"/>
        <v/>
      </c>
      <c r="P10" s="1" t="str">
        <f t="shared" si="2"/>
        <v/>
      </c>
      <c r="Q10" s="1"/>
    </row>
    <row r="11" spans="1:17">
      <c r="C11" s="249"/>
      <c r="G11" t="s">
        <v>6</v>
      </c>
      <c r="H11" s="40"/>
      <c r="I11" s="43"/>
      <c r="K11" s="19"/>
      <c r="L11" s="1"/>
      <c r="M11" s="19" t="str">
        <f t="shared" si="0"/>
        <v/>
      </c>
      <c r="N11" s="1" t="str">
        <f t="shared" si="3"/>
        <v/>
      </c>
      <c r="O11" s="1" t="str">
        <f t="shared" si="1"/>
        <v/>
      </c>
      <c r="P11" s="1" t="str">
        <f t="shared" si="2"/>
        <v/>
      </c>
      <c r="Q11" s="1"/>
    </row>
    <row r="12" spans="1:17">
      <c r="C12" s="249"/>
      <c r="G12" t="s">
        <v>6</v>
      </c>
      <c r="H12" s="40"/>
      <c r="I12" s="43"/>
      <c r="K12" s="19"/>
      <c r="L12" s="1"/>
      <c r="M12" s="19" t="str">
        <f t="shared" si="0"/>
        <v/>
      </c>
      <c r="N12" s="1" t="str">
        <f t="shared" si="3"/>
        <v/>
      </c>
      <c r="O12" s="1" t="str">
        <f t="shared" si="1"/>
        <v/>
      </c>
      <c r="P12" s="1" t="str">
        <f t="shared" si="2"/>
        <v/>
      </c>
      <c r="Q12" s="1"/>
    </row>
    <row r="13" spans="1:17">
      <c r="C13" s="249"/>
      <c r="G13" t="s">
        <v>6</v>
      </c>
      <c r="H13" s="40"/>
      <c r="I13" s="41"/>
      <c r="K13" s="19"/>
      <c r="L13" s="1"/>
      <c r="M13" s="19" t="str">
        <f t="shared" si="0"/>
        <v/>
      </c>
      <c r="N13" s="1" t="str">
        <f t="shared" si="3"/>
        <v/>
      </c>
      <c r="O13" s="1" t="str">
        <f t="shared" si="1"/>
        <v/>
      </c>
      <c r="P13" s="1" t="str">
        <f t="shared" si="2"/>
        <v/>
      </c>
      <c r="Q13" s="1"/>
    </row>
    <row r="14" spans="1:17">
      <c r="C14" s="249"/>
      <c r="G14" t="s">
        <v>6</v>
      </c>
      <c r="H14" s="40"/>
      <c r="I14" s="41"/>
      <c r="K14" s="19"/>
      <c r="L14" s="1"/>
      <c r="M14" s="19" t="str">
        <f t="shared" si="0"/>
        <v/>
      </c>
      <c r="N14" s="1" t="str">
        <f t="shared" si="3"/>
        <v/>
      </c>
      <c r="O14" s="1" t="str">
        <f t="shared" si="1"/>
        <v/>
      </c>
      <c r="P14" s="1" t="str">
        <f t="shared" si="2"/>
        <v/>
      </c>
      <c r="Q14" s="1"/>
    </row>
    <row r="15" spans="1:17">
      <c r="C15" s="249"/>
      <c r="G15" t="s">
        <v>6</v>
      </c>
      <c r="H15" s="40"/>
      <c r="I15" s="41"/>
      <c r="K15" s="19"/>
      <c r="L15" s="1"/>
      <c r="M15" s="19" t="str">
        <f t="shared" si="0"/>
        <v/>
      </c>
      <c r="N15" s="1" t="str">
        <f t="shared" si="3"/>
        <v/>
      </c>
      <c r="O15" s="1" t="str">
        <f t="shared" si="1"/>
        <v/>
      </c>
      <c r="P15" s="1" t="str">
        <f t="shared" si="2"/>
        <v/>
      </c>
      <c r="Q15" s="1"/>
    </row>
    <row r="16" spans="1:17">
      <c r="C16" s="249"/>
      <c r="H16" s="40"/>
      <c r="I16" s="41"/>
      <c r="K16" s="19"/>
      <c r="L16" s="1"/>
      <c r="M16" s="19" t="str">
        <f t="shared" si="0"/>
        <v/>
      </c>
      <c r="N16" s="1" t="str">
        <f t="shared" si="3"/>
        <v/>
      </c>
      <c r="O16" s="1" t="str">
        <f t="shared" si="1"/>
        <v/>
      </c>
      <c r="P16" s="1" t="str">
        <f t="shared" si="2"/>
        <v/>
      </c>
      <c r="Q16" s="1"/>
    </row>
    <row r="17" spans="3:16">
      <c r="C17" s="249"/>
      <c r="K17" s="18"/>
      <c r="M17" s="19" t="str">
        <f t="shared" si="0"/>
        <v/>
      </c>
      <c r="N17" s="1" t="str">
        <f>IF(M17="","",IF( IF(EOMONTH($N$1,0)=EOMONTH(M17,0),$C18,0)=0, "", IF(EOMONTH($N$1,0)=EOMONTH(M17,0),$C18)))</f>
        <v/>
      </c>
      <c r="O17" s="1" t="str">
        <f t="shared" si="1"/>
        <v/>
      </c>
      <c r="P17" s="1" t="str">
        <f t="shared" si="2"/>
        <v/>
      </c>
    </row>
    <row r="18" spans="3:16">
      <c r="C18" s="249"/>
      <c r="M18" s="19" t="str">
        <f t="shared" si="0"/>
        <v/>
      </c>
      <c r="N18" s="1" t="str">
        <f t="shared" si="3"/>
        <v/>
      </c>
      <c r="O18" s="1" t="str">
        <f t="shared" si="1"/>
        <v/>
      </c>
      <c r="P18" s="1" t="str">
        <f t="shared" si="2"/>
        <v/>
      </c>
    </row>
    <row r="19" spans="3:16">
      <c r="C19" s="249"/>
      <c r="M19" s="19" t="str">
        <f t="shared" si="0"/>
        <v/>
      </c>
      <c r="N19" s="1" t="str">
        <f t="shared" si="3"/>
        <v/>
      </c>
      <c r="O19" s="1" t="str">
        <f t="shared" si="1"/>
        <v/>
      </c>
      <c r="P19" s="1" t="str">
        <f t="shared" si="2"/>
        <v/>
      </c>
    </row>
    <row r="20" spans="3:16">
      <c r="C20" s="249"/>
      <c r="M20" s="19" t="str">
        <f t="shared" si="0"/>
        <v/>
      </c>
      <c r="N20" s="1" t="str">
        <f t="shared" si="3"/>
        <v/>
      </c>
      <c r="O20" s="1" t="str">
        <f t="shared" si="1"/>
        <v/>
      </c>
    </row>
    <row r="21" spans="3:16">
      <c r="C21" s="249"/>
      <c r="M21" s="19" t="str">
        <f t="shared" si="0"/>
        <v/>
      </c>
      <c r="N21" s="1" t="str">
        <f t="shared" si="3"/>
        <v/>
      </c>
      <c r="O21" s="1" t="str">
        <f t="shared" si="1"/>
        <v/>
      </c>
    </row>
    <row r="22" spans="3:16">
      <c r="C22" s="249"/>
      <c r="M22" s="19" t="str">
        <f t="shared" si="0"/>
        <v/>
      </c>
      <c r="N22" s="1" t="str">
        <f t="shared" si="3"/>
        <v/>
      </c>
      <c r="O22" s="1" t="str">
        <f t="shared" si="1"/>
        <v/>
      </c>
    </row>
    <row r="23" spans="3:16">
      <c r="C23" s="249"/>
      <c r="O23" s="1" t="str">
        <f t="shared" si="1"/>
        <v/>
      </c>
    </row>
    <row r="24" spans="3:16">
      <c r="C24" s="249"/>
      <c r="O24" s="1" t="str">
        <f t="shared" si="1"/>
        <v/>
      </c>
    </row>
    <row r="25" spans="3:16">
      <c r="C25" s="249"/>
      <c r="O25" s="1" t="str">
        <f t="shared" si="1"/>
        <v/>
      </c>
    </row>
    <row r="26" spans="3:16">
      <c r="C26" s="249"/>
    </row>
    <row r="27" spans="3:16">
      <c r="C27" s="249"/>
    </row>
    <row r="28" spans="3:16">
      <c r="C28" s="249"/>
    </row>
    <row r="29" spans="3:16">
      <c r="C29" s="249"/>
    </row>
    <row r="30" spans="3:16">
      <c r="C30" s="249"/>
    </row>
    <row r="31" spans="3:16">
      <c r="C31" s="249"/>
    </row>
    <row r="32" spans="3:16">
      <c r="C32" s="249"/>
    </row>
    <row r="33" spans="3:3">
      <c r="C33" s="249"/>
    </row>
    <row r="34" spans="3:3">
      <c r="C34" s="249"/>
    </row>
  </sheetData>
  <phoneticPr fontId="4" type="noConversion"/>
  <conditionalFormatting sqref="G3">
    <cfRule type="containsText" dxfId="10" priority="7" operator="containsText" text="ARRIVED">
      <formula>NOT(ISERROR(SEARCH("ARRIVED",G3)))</formula>
    </cfRule>
    <cfRule type="containsText" dxfId="9" priority="8" operator="containsText" text="WAIT">
      <formula>NOT(ISERROR(SEARCH("WAIT",G3)))</formula>
    </cfRule>
  </conditionalFormatting>
  <conditionalFormatting sqref="N2:Q2 N3:N22 O3:O25 L5:L16 P3:Q16 P17:P19">
    <cfRule type="notContainsBlanks" dxfId="8" priority="6">
      <formula>LEN(TRIM(L2))&gt;0</formula>
    </cfRule>
  </conditionalFormatting>
  <conditionalFormatting sqref="K6:K16 M2:M22">
    <cfRule type="notContainsBlanks" dxfId="7" priority="5">
      <formula>LEN(TRIM(K2))&gt;0</formula>
    </cfRule>
  </conditionalFormatting>
  <conditionalFormatting sqref="N1:Q1">
    <cfRule type="notContainsBlanks" dxfId="6" priority="4">
      <formula>LEN(TRIM(N1))&gt;0</formula>
    </cfRule>
  </conditionalFormatting>
  <conditionalFormatting sqref="I5:I16 K3:K5">
    <cfRule type="cellIs" dxfId="5" priority="3" operator="greaterThan">
      <formula>1</formula>
    </cfRule>
  </conditionalFormatting>
  <hyperlinks>
    <hyperlink ref="G3" r:id="rId1" xr:uid="{8FECCA38-BFC6-8E4E-8537-98E5F581B657}"/>
    <hyperlink ref="G4" r:id="rId2" xr:uid="{FC406879-648F-5C48-913A-D96277482155}"/>
    <hyperlink ref="G5" r:id="rId3" xr:uid="{1C7626C2-A265-E247-8585-B370542B6748}"/>
    <hyperlink ref="G6" r:id="rId4" xr:uid="{9BED2B36-C7D1-1E4C-8261-ACE27BC8BE30}"/>
    <hyperlink ref="G7" r:id="rId5" xr:uid="{070F318E-8A75-4245-A7F0-3AB6C2E10034}"/>
    <hyperlink ref="G8" r:id="rId6" xr:uid="{9B276B07-77C7-4538-8AC7-9072F0B8854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9E583-D844-4A44-9ED2-066B8F46EA2A}">
  <sheetPr codeName="Sheet3"/>
  <dimension ref="A1:Q198"/>
  <sheetViews>
    <sheetView topLeftCell="A37" zoomScale="115" zoomScaleNormal="115" workbookViewId="0">
      <selection activeCell="F63" sqref="F63"/>
    </sheetView>
  </sheetViews>
  <sheetFormatPr defaultColWidth="11" defaultRowHeight="15.75"/>
  <cols>
    <col min="1" max="1" width="13.375" customWidth="1"/>
    <col min="2" max="2" width="19.625" customWidth="1"/>
    <col min="3" max="3" width="27.125" customWidth="1"/>
    <col min="4" max="4" width="12.875" customWidth="1"/>
    <col min="5" max="5" width="6.375" customWidth="1"/>
    <col min="6" max="6" width="24.125" customWidth="1"/>
    <col min="13" max="13" width="12.625" customWidth="1"/>
  </cols>
  <sheetData>
    <row r="1" spans="1:17">
      <c r="A1" s="298" t="s">
        <v>45</v>
      </c>
      <c r="B1" s="298"/>
      <c r="C1" s="298"/>
      <c r="D1" s="298"/>
      <c r="E1" s="298"/>
      <c r="F1" s="298"/>
    </row>
    <row r="2" spans="1:17">
      <c r="A2" s="44" t="s">
        <v>23</v>
      </c>
      <c r="B2" s="44"/>
      <c r="C2" s="45" t="s">
        <v>17</v>
      </c>
      <c r="D2" s="46" t="s">
        <v>16</v>
      </c>
      <c r="E2" s="47" t="s">
        <v>53</v>
      </c>
      <c r="F2" s="45" t="s">
        <v>15</v>
      </c>
      <c r="G2" t="s">
        <v>125</v>
      </c>
      <c r="M2" s="54" t="s">
        <v>116</v>
      </c>
      <c r="N2" s="4">
        <f>IF(Logistics!C8=TRUE,SUM(D3:D35),"***")</f>
        <v>152.03119999999998</v>
      </c>
      <c r="O2" s="18"/>
    </row>
    <row r="3" spans="1:17">
      <c r="A3" s="26"/>
      <c r="B3" s="26"/>
      <c r="C3" s="21" t="s">
        <v>100</v>
      </c>
      <c r="D3" s="4">
        <v>80</v>
      </c>
      <c r="E3" s="26"/>
      <c r="F3" s="67" t="s">
        <v>40</v>
      </c>
      <c r="G3" s="64"/>
      <c r="I3" s="65"/>
      <c r="M3" s="63" t="s">
        <v>117</v>
      </c>
      <c r="N3" s="66">
        <f>COUNTIF(D3:D37,"&gt;0.4")</f>
        <v>5</v>
      </c>
      <c r="P3" s="2" t="s">
        <v>206</v>
      </c>
    </row>
    <row r="4" spans="1:17">
      <c r="A4" s="28"/>
      <c r="B4" s="26"/>
      <c r="C4" s="22"/>
      <c r="D4" s="4"/>
      <c r="E4" s="26"/>
      <c r="F4" s="67"/>
      <c r="G4" s="64"/>
      <c r="P4" s="2" t="s">
        <v>318</v>
      </c>
    </row>
    <row r="5" spans="1:17" ht="18">
      <c r="A5" s="26"/>
      <c r="B5" s="26" t="s">
        <v>6</v>
      </c>
      <c r="C5" s="69" t="s">
        <v>119</v>
      </c>
      <c r="D5" s="4">
        <f>skeletos!K3</f>
        <v>41.431200000000004</v>
      </c>
      <c r="E5" s="26"/>
      <c r="F5" s="67" t="s">
        <v>41</v>
      </c>
      <c r="G5" s="64"/>
      <c r="N5" s="1"/>
      <c r="P5" s="39" t="s">
        <v>83</v>
      </c>
      <c r="Q5" t="s">
        <v>96</v>
      </c>
    </row>
    <row r="6" spans="1:17">
      <c r="A6" s="145" t="s">
        <v>284</v>
      </c>
      <c r="B6" s="62"/>
      <c r="C6" s="105" t="s">
        <v>3</v>
      </c>
      <c r="D6" s="146">
        <v>10</v>
      </c>
      <c r="F6" s="147" t="s">
        <v>285</v>
      </c>
      <c r="G6" s="64"/>
      <c r="P6" t="s">
        <v>278</v>
      </c>
    </row>
    <row r="7" spans="1:17">
      <c r="A7" s="26" t="s">
        <v>256</v>
      </c>
      <c r="B7" s="29" t="s">
        <v>6</v>
      </c>
      <c r="C7" s="105" t="s">
        <v>3</v>
      </c>
      <c r="D7" s="150">
        <v>5.6</v>
      </c>
      <c r="E7" s="26"/>
      <c r="F7" s="67" t="s">
        <v>257</v>
      </c>
      <c r="G7" s="64"/>
    </row>
    <row r="8" spans="1:17">
      <c r="A8" s="28" t="s">
        <v>165</v>
      </c>
      <c r="B8" s="26" t="s">
        <v>6</v>
      </c>
      <c r="C8" s="22" t="s">
        <v>3</v>
      </c>
      <c r="D8" s="4">
        <v>15</v>
      </c>
      <c r="E8" s="27"/>
      <c r="F8" s="230" t="s">
        <v>166</v>
      </c>
      <c r="H8" s="2"/>
    </row>
    <row r="9" spans="1:17">
      <c r="G9" s="64"/>
      <c r="J9" t="s">
        <v>6</v>
      </c>
      <c r="L9" t="s">
        <v>6</v>
      </c>
    </row>
    <row r="10" spans="1:17">
      <c r="A10" s="245"/>
      <c r="B10" s="13"/>
      <c r="C10" s="244"/>
      <c r="D10" s="243"/>
      <c r="E10" s="246"/>
      <c r="F10" s="247"/>
      <c r="H10" s="148"/>
      <c r="I10" s="149"/>
      <c r="L10" t="s">
        <v>6</v>
      </c>
    </row>
    <row r="11" spans="1:17">
      <c r="A11" s="13"/>
      <c r="B11" s="13"/>
      <c r="C11" s="244"/>
      <c r="D11" s="243"/>
      <c r="E11" s="13"/>
      <c r="F11" s="231"/>
      <c r="G11" s="64"/>
      <c r="L11" t="s">
        <v>6</v>
      </c>
    </row>
    <row r="12" spans="1:17">
      <c r="A12" s="13"/>
      <c r="B12" s="13"/>
      <c r="C12" s="147"/>
      <c r="D12" s="243"/>
      <c r="E12" s="13"/>
      <c r="F12" s="231"/>
    </row>
    <row r="13" spans="1:17">
      <c r="A13" s="197"/>
      <c r="B13" s="13"/>
      <c r="C13" s="244"/>
      <c r="D13" s="243"/>
      <c r="E13" s="13"/>
      <c r="F13" s="248"/>
      <c r="G13" s="64"/>
      <c r="H13" t="s">
        <v>6</v>
      </c>
    </row>
    <row r="14" spans="1:17">
      <c r="A14" s="13"/>
      <c r="B14" s="13"/>
      <c r="C14" s="13"/>
      <c r="D14" s="13"/>
      <c r="E14" s="13"/>
      <c r="F14" s="13"/>
      <c r="G14" s="64"/>
      <c r="I14" t="s">
        <v>6</v>
      </c>
    </row>
    <row r="15" spans="1:17">
      <c r="A15" s="13"/>
      <c r="B15" s="13"/>
      <c r="C15" s="244"/>
      <c r="D15" s="13"/>
      <c r="E15" s="13"/>
      <c r="F15" s="231"/>
      <c r="G15" s="64"/>
      <c r="I15" t="s">
        <v>6</v>
      </c>
    </row>
    <row r="16" spans="1:17">
      <c r="A16" s="13"/>
      <c r="B16" s="13" t="s">
        <v>6</v>
      </c>
      <c r="C16" s="147"/>
      <c r="D16" s="13"/>
      <c r="E16" s="13"/>
      <c r="F16" s="13"/>
      <c r="G16" s="64"/>
    </row>
    <row r="17" spans="1:8">
      <c r="A17" s="197"/>
      <c r="B17" s="13"/>
      <c r="C17" s="244"/>
      <c r="D17" s="13"/>
      <c r="E17" s="13"/>
      <c r="F17" s="231"/>
      <c r="G17" s="64"/>
    </row>
    <row r="18" spans="1:8">
      <c r="A18" s="197"/>
      <c r="B18" s="13"/>
      <c r="C18" s="244"/>
      <c r="D18" s="13"/>
      <c r="E18" s="13"/>
      <c r="F18" s="231"/>
      <c r="G18" s="64"/>
    </row>
    <row r="19" spans="1:8">
      <c r="A19" s="13"/>
      <c r="B19" s="13"/>
      <c r="C19" s="13"/>
      <c r="D19" s="13"/>
      <c r="E19" s="13"/>
      <c r="F19" s="13"/>
      <c r="G19" s="64"/>
    </row>
    <row r="20" spans="1:8">
      <c r="A20" s="13"/>
      <c r="B20" s="13"/>
      <c r="C20" s="13"/>
      <c r="D20" s="13"/>
      <c r="E20" s="13"/>
      <c r="F20" s="13"/>
      <c r="G20" s="64"/>
    </row>
    <row r="21" spans="1:8">
      <c r="A21" s="197"/>
      <c r="B21" s="13"/>
      <c r="C21" s="244"/>
      <c r="D21" s="14"/>
      <c r="E21" s="13"/>
      <c r="F21" s="231"/>
      <c r="G21" s="64"/>
    </row>
    <row r="22" spans="1:8">
      <c r="A22" s="197"/>
      <c r="B22" s="13"/>
      <c r="C22" s="244"/>
      <c r="D22" s="13"/>
      <c r="E22" s="13"/>
      <c r="F22" s="231"/>
      <c r="G22" s="64"/>
    </row>
    <row r="23" spans="1:8" ht="15.95" customHeight="1">
      <c r="A23" s="13"/>
      <c r="B23" s="13"/>
      <c r="C23" s="244"/>
      <c r="D23" s="13"/>
      <c r="E23" s="13"/>
      <c r="F23" s="13"/>
      <c r="G23" s="64"/>
      <c r="H23" s="38"/>
    </row>
    <row r="24" spans="1:8">
      <c r="A24" s="62"/>
      <c r="B24" s="13" t="s">
        <v>6</v>
      </c>
      <c r="C24" s="62"/>
      <c r="G24" s="64" t="str">
        <f>IF(D24="","",1+G23)</f>
        <v/>
      </c>
    </row>
    <row r="25" spans="1:8">
      <c r="A25" s="62"/>
      <c r="B25" s="13" t="s">
        <v>6</v>
      </c>
      <c r="C25" s="62"/>
      <c r="G25" s="64" t="str">
        <f>IF(D25="","",1+G24)</f>
        <v/>
      </c>
    </row>
    <row r="26" spans="1:8">
      <c r="A26" s="62"/>
      <c r="B26" s="13" t="s">
        <v>6</v>
      </c>
      <c r="C26" s="62"/>
      <c r="G26" s="64" t="str">
        <f>IF(D26="","",1+G25)</f>
        <v/>
      </c>
    </row>
    <row r="27" spans="1:8">
      <c r="A27" s="62"/>
      <c r="B27" s="13" t="s">
        <v>6</v>
      </c>
    </row>
    <row r="28" spans="1:8">
      <c r="A28" s="62"/>
      <c r="B28" s="13" t="s">
        <v>6</v>
      </c>
    </row>
    <row r="29" spans="1:8">
      <c r="A29" s="62"/>
      <c r="B29" s="13" t="s">
        <v>6</v>
      </c>
    </row>
    <row r="30" spans="1:8">
      <c r="A30" s="62"/>
      <c r="B30" s="13" t="s">
        <v>6</v>
      </c>
    </row>
    <row r="31" spans="1:8">
      <c r="A31" s="62"/>
      <c r="B31" s="13" t="s">
        <v>6</v>
      </c>
    </row>
    <row r="32" spans="1:8">
      <c r="A32" s="62"/>
      <c r="B32" s="13" t="s">
        <v>6</v>
      </c>
    </row>
    <row r="33" spans="1:6">
      <c r="A33" s="62"/>
      <c r="B33" s="13" t="s">
        <v>6</v>
      </c>
    </row>
    <row r="34" spans="1:6">
      <c r="A34" s="62"/>
      <c r="B34" s="13" t="s">
        <v>6</v>
      </c>
    </row>
    <row r="35" spans="1:6">
      <c r="A35" s="62"/>
      <c r="B35" s="13" t="s">
        <v>6</v>
      </c>
    </row>
    <row r="36" spans="1:6">
      <c r="A36" s="62"/>
      <c r="B36" s="13" t="s">
        <v>6</v>
      </c>
    </row>
    <row r="37" spans="1:6">
      <c r="A37" s="62"/>
      <c r="B37" s="13" t="s">
        <v>6</v>
      </c>
      <c r="C37" s="62"/>
      <c r="D37" s="62"/>
    </row>
    <row r="38" spans="1:6">
      <c r="A38" t="s">
        <v>60</v>
      </c>
    </row>
    <row r="39" spans="1:6">
      <c r="A39" s="26" t="s">
        <v>61</v>
      </c>
      <c r="B39" s="26" t="s">
        <v>6</v>
      </c>
      <c r="C39" s="26" t="s">
        <v>62</v>
      </c>
      <c r="D39" s="26">
        <v>12</v>
      </c>
    </row>
    <row r="40" spans="1:6">
      <c r="A40" s="28" t="s">
        <v>82</v>
      </c>
      <c r="B40" s="26" t="s">
        <v>6</v>
      </c>
      <c r="C40" s="26" t="s">
        <v>85</v>
      </c>
      <c r="D40" s="26"/>
    </row>
    <row r="41" spans="1:6">
      <c r="A41" s="28" t="s">
        <v>114</v>
      </c>
      <c r="B41" s="26" t="s">
        <v>6</v>
      </c>
      <c r="C41" s="26" t="s">
        <v>84</v>
      </c>
      <c r="D41" s="26"/>
    </row>
    <row r="42" spans="1:6">
      <c r="A42" s="28" t="s">
        <v>98</v>
      </c>
      <c r="B42" s="26" t="s">
        <v>6</v>
      </c>
      <c r="C42" s="26" t="s">
        <v>90</v>
      </c>
      <c r="D42" s="26">
        <v>16</v>
      </c>
    </row>
    <row r="43" spans="1:6">
      <c r="A43" s="26" t="s">
        <v>91</v>
      </c>
      <c r="B43" s="26" t="s">
        <v>6</v>
      </c>
      <c r="C43" s="26" t="s">
        <v>90</v>
      </c>
      <c r="D43" s="26">
        <v>16</v>
      </c>
    </row>
    <row r="44" spans="1:6">
      <c r="A44" s="28" t="s">
        <v>106</v>
      </c>
      <c r="B44" s="26" t="s">
        <v>6</v>
      </c>
      <c r="C44" s="6" t="s">
        <v>0</v>
      </c>
      <c r="D44" s="59">
        <v>16</v>
      </c>
      <c r="E44" s="26"/>
      <c r="F44" s="24" t="s">
        <v>99</v>
      </c>
    </row>
    <row r="46" spans="1:6">
      <c r="A46" s="2" t="s">
        <v>101</v>
      </c>
      <c r="B46" s="56" t="s">
        <v>6</v>
      </c>
      <c r="C46" s="5" t="s">
        <v>3</v>
      </c>
      <c r="D46" s="57">
        <v>5</v>
      </c>
      <c r="F46" s="58" t="s">
        <v>102</v>
      </c>
    </row>
    <row r="47" spans="1:6">
      <c r="A47" s="2" t="s">
        <v>105</v>
      </c>
      <c r="B47" s="56" t="s">
        <v>6</v>
      </c>
      <c r="C47" s="5" t="s">
        <v>3</v>
      </c>
      <c r="D47" s="57">
        <v>4</v>
      </c>
      <c r="F47" s="60" t="s">
        <v>103</v>
      </c>
    </row>
    <row r="48" spans="1:6">
      <c r="A48" t="s">
        <v>104</v>
      </c>
      <c r="B48" s="56" t="s">
        <v>6</v>
      </c>
    </row>
    <row r="49" spans="1:6">
      <c r="A49" s="2" t="s">
        <v>120</v>
      </c>
      <c r="B49" s="56" t="s">
        <v>6</v>
      </c>
      <c r="C49" s="5" t="s">
        <v>3</v>
      </c>
    </row>
    <row r="50" spans="1:6">
      <c r="A50" t="s">
        <v>143</v>
      </c>
      <c r="B50" s="56" t="s">
        <v>6</v>
      </c>
      <c r="C50" s="5" t="s">
        <v>3</v>
      </c>
      <c r="D50">
        <v>13</v>
      </c>
      <c r="F50" t="s">
        <v>144</v>
      </c>
    </row>
    <row r="52" spans="1:6">
      <c r="A52" s="28" t="s">
        <v>89</v>
      </c>
      <c r="B52" s="26" t="s">
        <v>6</v>
      </c>
      <c r="C52" s="22" t="s">
        <v>3</v>
      </c>
      <c r="D52" s="59">
        <v>16</v>
      </c>
      <c r="E52" s="26"/>
      <c r="F52" s="67" t="s">
        <v>90</v>
      </c>
    </row>
    <row r="53" spans="1:6">
      <c r="A53" s="28"/>
      <c r="B53" s="26"/>
      <c r="C53" s="22"/>
      <c r="D53" s="4"/>
      <c r="E53" s="26"/>
      <c r="F53" s="68"/>
    </row>
    <row r="54" spans="1:6">
      <c r="A54" t="s">
        <v>145</v>
      </c>
      <c r="B54" s="26" t="s">
        <v>6</v>
      </c>
      <c r="C54" s="22" t="s">
        <v>3</v>
      </c>
      <c r="D54">
        <v>6</v>
      </c>
      <c r="F54" t="s">
        <v>146</v>
      </c>
    </row>
    <row r="55" spans="1:6">
      <c r="A55" s="2" t="s">
        <v>154</v>
      </c>
      <c r="B55" s="81" t="s">
        <v>6</v>
      </c>
      <c r="C55" s="104" t="s">
        <v>3</v>
      </c>
      <c r="D55">
        <v>7</v>
      </c>
      <c r="F55" t="s">
        <v>149</v>
      </c>
    </row>
    <row r="56" spans="1:6">
      <c r="A56" t="s">
        <v>193</v>
      </c>
      <c r="B56" s="62" t="s">
        <v>6</v>
      </c>
      <c r="C56" s="62"/>
      <c r="D56">
        <v>3</v>
      </c>
      <c r="F56" t="s">
        <v>194</v>
      </c>
    </row>
    <row r="57" spans="1:6">
      <c r="A57" t="s">
        <v>195</v>
      </c>
      <c r="B57" s="62" t="s">
        <v>6</v>
      </c>
      <c r="C57" s="62"/>
      <c r="D57">
        <v>50</v>
      </c>
    </row>
    <row r="58" spans="1:6">
      <c r="A58" t="s">
        <v>279</v>
      </c>
      <c r="B58" s="62" t="s">
        <v>6</v>
      </c>
      <c r="C58" s="62"/>
      <c r="F58" t="s">
        <v>280</v>
      </c>
    </row>
    <row r="59" spans="1:6">
      <c r="A59" s="62" t="s">
        <v>281</v>
      </c>
      <c r="B59" s="13"/>
      <c r="C59" s="105" t="s">
        <v>3</v>
      </c>
      <c r="D59" s="62"/>
      <c r="F59" s="231" t="s">
        <v>282</v>
      </c>
    </row>
    <row r="60" spans="1:6">
      <c r="B60" s="62" t="s">
        <v>6</v>
      </c>
      <c r="C60" s="62"/>
    </row>
    <row r="61" spans="1:6">
      <c r="A61" s="28" t="s">
        <v>115</v>
      </c>
      <c r="B61" s="26" t="s">
        <v>6</v>
      </c>
      <c r="C61" s="22" t="s">
        <v>3</v>
      </c>
      <c r="D61" s="4">
        <v>6</v>
      </c>
      <c r="E61" s="26"/>
      <c r="F61" s="68" t="s">
        <v>67</v>
      </c>
    </row>
    <row r="62" spans="1:6">
      <c r="A62" t="s">
        <v>322</v>
      </c>
      <c r="B62" s="62" t="s">
        <v>6</v>
      </c>
      <c r="C62" s="22" t="s">
        <v>3</v>
      </c>
      <c r="F62" t="s">
        <v>323</v>
      </c>
    </row>
    <row r="63" spans="1:6">
      <c r="B63" s="62" t="s">
        <v>6</v>
      </c>
      <c r="C63" s="62"/>
    </row>
    <row r="64" spans="1:6">
      <c r="B64" s="62" t="s">
        <v>6</v>
      </c>
      <c r="C64" s="62"/>
    </row>
    <row r="65" spans="2:3">
      <c r="B65" s="62" t="s">
        <v>6</v>
      </c>
      <c r="C65" s="62"/>
    </row>
    <row r="66" spans="2:3">
      <c r="B66" s="62" t="s">
        <v>6</v>
      </c>
      <c r="C66" s="62"/>
    </row>
    <row r="67" spans="2:3">
      <c r="B67" s="62" t="s">
        <v>6</v>
      </c>
      <c r="C67" s="62"/>
    </row>
    <row r="68" spans="2:3">
      <c r="B68" s="62" t="s">
        <v>6</v>
      </c>
      <c r="C68" s="62"/>
    </row>
    <row r="69" spans="2:3">
      <c r="B69" s="62" t="s">
        <v>6</v>
      </c>
      <c r="C69" s="62"/>
    </row>
    <row r="70" spans="2:3">
      <c r="B70" s="62" t="s">
        <v>6</v>
      </c>
      <c r="C70" s="62"/>
    </row>
    <row r="71" spans="2:3">
      <c r="B71" s="62" t="s">
        <v>6</v>
      </c>
      <c r="C71" s="62"/>
    </row>
    <row r="72" spans="2:3">
      <c r="B72" s="62" t="s">
        <v>6</v>
      </c>
      <c r="C72" s="62"/>
    </row>
    <row r="73" spans="2:3">
      <c r="B73" s="62" t="s">
        <v>6</v>
      </c>
      <c r="C73" s="62"/>
    </row>
    <row r="74" spans="2:3">
      <c r="B74" s="62" t="s">
        <v>6</v>
      </c>
      <c r="C74" s="62"/>
    </row>
    <row r="75" spans="2:3">
      <c r="B75" s="62" t="s">
        <v>6</v>
      </c>
      <c r="C75" s="62"/>
    </row>
    <row r="76" spans="2:3">
      <c r="B76" s="62" t="s">
        <v>6</v>
      </c>
      <c r="C76" s="62"/>
    </row>
    <row r="77" spans="2:3">
      <c r="B77" s="62" t="s">
        <v>6</v>
      </c>
      <c r="C77" s="62"/>
    </row>
    <row r="78" spans="2:3">
      <c r="B78" s="62" t="s">
        <v>6</v>
      </c>
      <c r="C78" s="62"/>
    </row>
    <row r="79" spans="2:3">
      <c r="B79" s="62" t="s">
        <v>6</v>
      </c>
      <c r="C79" s="62"/>
    </row>
    <row r="80" spans="2:3">
      <c r="B80" s="62" t="s">
        <v>6</v>
      </c>
      <c r="C80" s="62"/>
    </row>
    <row r="81" spans="2:3">
      <c r="B81" s="62" t="s">
        <v>6</v>
      </c>
      <c r="C81" s="62"/>
    </row>
    <row r="82" spans="2:3">
      <c r="B82" s="62" t="s">
        <v>6</v>
      </c>
      <c r="C82" s="62"/>
    </row>
    <row r="83" spans="2:3">
      <c r="B83" s="62" t="s">
        <v>6</v>
      </c>
      <c r="C83" s="62"/>
    </row>
    <row r="84" spans="2:3">
      <c r="B84" s="62" t="s">
        <v>6</v>
      </c>
      <c r="C84" s="62"/>
    </row>
    <row r="85" spans="2:3">
      <c r="B85" s="62" t="s">
        <v>6</v>
      </c>
      <c r="C85" s="62"/>
    </row>
    <row r="86" spans="2:3">
      <c r="B86" s="62" t="s">
        <v>6</v>
      </c>
      <c r="C86" s="62"/>
    </row>
    <row r="87" spans="2:3">
      <c r="B87" s="62" t="s">
        <v>6</v>
      </c>
      <c r="C87" s="62"/>
    </row>
    <row r="88" spans="2:3">
      <c r="B88" s="62" t="s">
        <v>6</v>
      </c>
      <c r="C88" s="62"/>
    </row>
    <row r="89" spans="2:3">
      <c r="B89" s="62" t="s">
        <v>6</v>
      </c>
      <c r="C89" s="62"/>
    </row>
    <row r="90" spans="2:3">
      <c r="B90" s="62" t="s">
        <v>6</v>
      </c>
      <c r="C90" s="62"/>
    </row>
    <row r="91" spans="2:3">
      <c r="B91" s="62" t="s">
        <v>6</v>
      </c>
      <c r="C91" s="62"/>
    </row>
    <row r="92" spans="2:3">
      <c r="B92" s="62" t="s">
        <v>6</v>
      </c>
      <c r="C92" s="62"/>
    </row>
    <row r="93" spans="2:3">
      <c r="B93" s="62" t="s">
        <v>6</v>
      </c>
      <c r="C93" s="62"/>
    </row>
    <row r="94" spans="2:3">
      <c r="B94" s="62" t="s">
        <v>6</v>
      </c>
      <c r="C94" s="62"/>
    </row>
    <row r="95" spans="2:3">
      <c r="B95" s="62" t="s">
        <v>6</v>
      </c>
      <c r="C95" s="62"/>
    </row>
    <row r="96" spans="2:3">
      <c r="B96" s="62" t="s">
        <v>6</v>
      </c>
      <c r="C96" s="62"/>
    </row>
    <row r="97" spans="2:3">
      <c r="B97" s="62" t="s">
        <v>6</v>
      </c>
      <c r="C97" s="62"/>
    </row>
    <row r="98" spans="2:3">
      <c r="B98" s="62" t="s">
        <v>6</v>
      </c>
      <c r="C98" s="62"/>
    </row>
    <row r="99" spans="2:3">
      <c r="B99" s="62" t="s">
        <v>6</v>
      </c>
      <c r="C99" s="62"/>
    </row>
    <row r="100" spans="2:3">
      <c r="B100" s="62" t="s">
        <v>6</v>
      </c>
      <c r="C100" s="62"/>
    </row>
    <row r="101" spans="2:3">
      <c r="B101" s="62" t="s">
        <v>6</v>
      </c>
      <c r="C101" s="62"/>
    </row>
    <row r="102" spans="2:3">
      <c r="B102" s="62" t="s">
        <v>6</v>
      </c>
      <c r="C102" s="62"/>
    </row>
    <row r="103" spans="2:3">
      <c r="B103" s="62" t="s">
        <v>6</v>
      </c>
      <c r="C103" s="62"/>
    </row>
    <row r="104" spans="2:3">
      <c r="B104" s="62" t="s">
        <v>6</v>
      </c>
      <c r="C104" s="62"/>
    </row>
    <row r="105" spans="2:3">
      <c r="B105" s="62" t="s">
        <v>6</v>
      </c>
      <c r="C105" s="62"/>
    </row>
    <row r="106" spans="2:3">
      <c r="B106" s="62" t="s">
        <v>6</v>
      </c>
      <c r="C106" s="62"/>
    </row>
    <row r="107" spans="2:3">
      <c r="B107" s="62" t="s">
        <v>6</v>
      </c>
      <c r="C107" s="62"/>
    </row>
    <row r="108" spans="2:3">
      <c r="B108" s="62" t="s">
        <v>6</v>
      </c>
      <c r="C108" s="62"/>
    </row>
    <row r="109" spans="2:3">
      <c r="B109" s="62" t="s">
        <v>6</v>
      </c>
      <c r="C109" s="62"/>
    </row>
    <row r="110" spans="2:3">
      <c r="B110" s="62" t="s">
        <v>6</v>
      </c>
      <c r="C110" s="62"/>
    </row>
    <row r="111" spans="2:3">
      <c r="B111" s="62" t="s">
        <v>6</v>
      </c>
      <c r="C111" s="62"/>
    </row>
    <row r="112" spans="2:3">
      <c r="B112" s="62" t="s">
        <v>6</v>
      </c>
      <c r="C112" s="62"/>
    </row>
    <row r="113" spans="2:3">
      <c r="B113" s="62" t="s">
        <v>6</v>
      </c>
      <c r="C113" s="62"/>
    </row>
    <row r="114" spans="2:3">
      <c r="B114" s="62" t="s">
        <v>6</v>
      </c>
      <c r="C114" s="62"/>
    </row>
    <row r="115" spans="2:3">
      <c r="B115" s="62" t="s">
        <v>6</v>
      </c>
      <c r="C115" s="62"/>
    </row>
    <row r="116" spans="2:3">
      <c r="B116" s="62" t="s">
        <v>6</v>
      </c>
      <c r="C116" s="62"/>
    </row>
    <row r="117" spans="2:3">
      <c r="B117" s="62" t="s">
        <v>6</v>
      </c>
      <c r="C117" s="62"/>
    </row>
    <row r="118" spans="2:3">
      <c r="B118" s="62" t="s">
        <v>6</v>
      </c>
      <c r="C118" s="62"/>
    </row>
    <row r="119" spans="2:3">
      <c r="B119" s="62" t="s">
        <v>6</v>
      </c>
      <c r="C119" s="62"/>
    </row>
    <row r="120" spans="2:3">
      <c r="B120" s="62" t="s">
        <v>6</v>
      </c>
      <c r="C120" s="62"/>
    </row>
    <row r="121" spans="2:3">
      <c r="B121" s="62" t="s">
        <v>6</v>
      </c>
      <c r="C121" s="62"/>
    </row>
    <row r="122" spans="2:3">
      <c r="B122" s="62" t="s">
        <v>6</v>
      </c>
      <c r="C122" s="62"/>
    </row>
    <row r="123" spans="2:3">
      <c r="B123" s="62" t="s">
        <v>6</v>
      </c>
      <c r="C123" s="62"/>
    </row>
    <row r="124" spans="2:3">
      <c r="B124" s="62" t="s">
        <v>6</v>
      </c>
      <c r="C124" s="62"/>
    </row>
    <row r="125" spans="2:3">
      <c r="B125" s="62" t="s">
        <v>6</v>
      </c>
      <c r="C125" s="62"/>
    </row>
    <row r="126" spans="2:3">
      <c r="B126" s="62" t="s">
        <v>6</v>
      </c>
      <c r="C126" s="62"/>
    </row>
    <row r="127" spans="2:3">
      <c r="B127" s="62" t="s">
        <v>6</v>
      </c>
      <c r="C127" s="62"/>
    </row>
    <row r="128" spans="2:3">
      <c r="B128" s="62" t="s">
        <v>6</v>
      </c>
      <c r="C128" s="62"/>
    </row>
    <row r="129" spans="2:3">
      <c r="B129" s="62" t="s">
        <v>6</v>
      </c>
      <c r="C129" s="62"/>
    </row>
    <row r="130" spans="2:3">
      <c r="B130" s="62" t="s">
        <v>6</v>
      </c>
      <c r="C130" s="62"/>
    </row>
    <row r="131" spans="2:3">
      <c r="B131" s="62" t="s">
        <v>6</v>
      </c>
      <c r="C131" s="62"/>
    </row>
    <row r="132" spans="2:3">
      <c r="B132" s="62" t="s">
        <v>6</v>
      </c>
      <c r="C132" s="62"/>
    </row>
    <row r="133" spans="2:3">
      <c r="B133" s="62" t="s">
        <v>6</v>
      </c>
      <c r="C133" s="62"/>
    </row>
    <row r="134" spans="2:3">
      <c r="B134" s="62" t="s">
        <v>6</v>
      </c>
      <c r="C134" s="62"/>
    </row>
    <row r="135" spans="2:3">
      <c r="B135" s="62" t="s">
        <v>6</v>
      </c>
      <c r="C135" s="62"/>
    </row>
    <row r="136" spans="2:3">
      <c r="B136" s="62" t="s">
        <v>6</v>
      </c>
      <c r="C136" s="62"/>
    </row>
    <row r="137" spans="2:3">
      <c r="B137" s="62" t="s">
        <v>6</v>
      </c>
      <c r="C137" s="62"/>
    </row>
    <row r="138" spans="2:3">
      <c r="B138" s="62" t="s">
        <v>6</v>
      </c>
      <c r="C138" s="62"/>
    </row>
    <row r="139" spans="2:3">
      <c r="B139" s="62" t="s">
        <v>6</v>
      </c>
      <c r="C139" s="62"/>
    </row>
    <row r="140" spans="2:3">
      <c r="B140" s="62" t="s">
        <v>6</v>
      </c>
      <c r="C140" s="62"/>
    </row>
    <row r="141" spans="2:3">
      <c r="B141" s="62" t="s">
        <v>6</v>
      </c>
      <c r="C141" s="62"/>
    </row>
    <row r="142" spans="2:3">
      <c r="B142" s="62" t="s">
        <v>6</v>
      </c>
      <c r="C142" s="62"/>
    </row>
    <row r="143" spans="2:3">
      <c r="B143" s="62" t="s">
        <v>6</v>
      </c>
      <c r="C143" s="62"/>
    </row>
    <row r="144" spans="2:3">
      <c r="B144" s="62" t="s">
        <v>6</v>
      </c>
      <c r="C144" s="62"/>
    </row>
    <row r="145" spans="2:3">
      <c r="B145" s="62" t="s">
        <v>6</v>
      </c>
      <c r="C145" s="62"/>
    </row>
    <row r="146" spans="2:3">
      <c r="B146" s="62" t="s">
        <v>6</v>
      </c>
      <c r="C146" s="62"/>
    </row>
    <row r="147" spans="2:3">
      <c r="B147" s="62" t="s">
        <v>6</v>
      </c>
      <c r="C147" s="62"/>
    </row>
    <row r="148" spans="2:3">
      <c r="B148" s="62" t="s">
        <v>6</v>
      </c>
      <c r="C148" s="62"/>
    </row>
    <row r="149" spans="2:3">
      <c r="B149" s="62" t="s">
        <v>6</v>
      </c>
      <c r="C149" s="62"/>
    </row>
    <row r="150" spans="2:3">
      <c r="B150" s="62" t="s">
        <v>6</v>
      </c>
      <c r="C150" s="62"/>
    </row>
    <row r="151" spans="2:3">
      <c r="B151" s="62" t="s">
        <v>6</v>
      </c>
      <c r="C151" s="62"/>
    </row>
    <row r="152" spans="2:3">
      <c r="B152" s="62" t="s">
        <v>6</v>
      </c>
      <c r="C152" s="62"/>
    </row>
    <row r="153" spans="2:3">
      <c r="B153" s="62" t="s">
        <v>6</v>
      </c>
      <c r="C153" s="62"/>
    </row>
    <row r="154" spans="2:3">
      <c r="B154" s="62" t="s">
        <v>6</v>
      </c>
      <c r="C154" s="62"/>
    </row>
    <row r="155" spans="2:3">
      <c r="B155" s="62" t="s">
        <v>6</v>
      </c>
      <c r="C155" s="62"/>
    </row>
    <row r="156" spans="2:3">
      <c r="B156" s="62" t="s">
        <v>6</v>
      </c>
      <c r="C156" s="62"/>
    </row>
    <row r="157" spans="2:3">
      <c r="B157" s="62" t="s">
        <v>6</v>
      </c>
      <c r="C157" s="62"/>
    </row>
    <row r="158" spans="2:3">
      <c r="B158" s="62" t="s">
        <v>6</v>
      </c>
      <c r="C158" s="62"/>
    </row>
    <row r="159" spans="2:3">
      <c r="B159" s="62" t="s">
        <v>6</v>
      </c>
      <c r="C159" s="62"/>
    </row>
    <row r="160" spans="2:3">
      <c r="B160" s="62" t="s">
        <v>6</v>
      </c>
      <c r="C160" s="62"/>
    </row>
    <row r="161" spans="2:3">
      <c r="B161" s="62" t="s">
        <v>6</v>
      </c>
      <c r="C161" s="62"/>
    </row>
    <row r="162" spans="2:3">
      <c r="B162" s="62" t="s">
        <v>6</v>
      </c>
      <c r="C162" s="62"/>
    </row>
    <row r="163" spans="2:3">
      <c r="B163" s="62" t="s">
        <v>6</v>
      </c>
      <c r="C163" s="62"/>
    </row>
    <row r="164" spans="2:3">
      <c r="B164" s="62" t="s">
        <v>6</v>
      </c>
      <c r="C164" s="62"/>
    </row>
    <row r="165" spans="2:3">
      <c r="B165" s="62" t="s">
        <v>6</v>
      </c>
      <c r="C165" s="62"/>
    </row>
    <row r="166" spans="2:3">
      <c r="B166" s="62" t="s">
        <v>6</v>
      </c>
      <c r="C166" s="62"/>
    </row>
    <row r="167" spans="2:3">
      <c r="B167" s="62" t="s">
        <v>6</v>
      </c>
      <c r="C167" s="62"/>
    </row>
    <row r="168" spans="2:3">
      <c r="B168" s="62" t="s">
        <v>6</v>
      </c>
      <c r="C168" s="62"/>
    </row>
    <row r="169" spans="2:3">
      <c r="B169" s="62" t="s">
        <v>6</v>
      </c>
      <c r="C169" s="62"/>
    </row>
    <row r="170" spans="2:3">
      <c r="B170" s="62" t="s">
        <v>6</v>
      </c>
      <c r="C170" s="62"/>
    </row>
    <row r="171" spans="2:3">
      <c r="B171" s="62" t="s">
        <v>6</v>
      </c>
      <c r="C171" s="62"/>
    </row>
    <row r="172" spans="2:3">
      <c r="B172" s="62" t="s">
        <v>6</v>
      </c>
      <c r="C172" s="62"/>
    </row>
    <row r="173" spans="2:3">
      <c r="B173" s="62" t="s">
        <v>6</v>
      </c>
      <c r="C173" s="62"/>
    </row>
    <row r="174" spans="2:3">
      <c r="B174" s="62" t="s">
        <v>6</v>
      </c>
      <c r="C174" s="62"/>
    </row>
    <row r="175" spans="2:3">
      <c r="B175" s="62" t="s">
        <v>6</v>
      </c>
      <c r="C175" s="62"/>
    </row>
    <row r="176" spans="2:3">
      <c r="B176" s="62" t="s">
        <v>6</v>
      </c>
      <c r="C176" s="62"/>
    </row>
    <row r="177" spans="2:3">
      <c r="B177" s="62" t="s">
        <v>6</v>
      </c>
      <c r="C177" s="62"/>
    </row>
    <row r="178" spans="2:3">
      <c r="B178" s="62" t="s">
        <v>6</v>
      </c>
      <c r="C178" s="62"/>
    </row>
    <row r="179" spans="2:3">
      <c r="B179" s="62" t="s">
        <v>6</v>
      </c>
      <c r="C179" s="62"/>
    </row>
    <row r="180" spans="2:3">
      <c r="B180" s="62" t="s">
        <v>6</v>
      </c>
      <c r="C180" s="62"/>
    </row>
    <row r="181" spans="2:3">
      <c r="B181" s="62" t="s">
        <v>6</v>
      </c>
      <c r="C181" s="62"/>
    </row>
    <row r="182" spans="2:3">
      <c r="B182" s="62" t="s">
        <v>6</v>
      </c>
      <c r="C182" s="62"/>
    </row>
    <row r="183" spans="2:3">
      <c r="B183" s="62" t="s">
        <v>6</v>
      </c>
      <c r="C183" s="62"/>
    </row>
    <row r="184" spans="2:3">
      <c r="B184" s="62" t="s">
        <v>6</v>
      </c>
      <c r="C184" s="62"/>
    </row>
    <row r="185" spans="2:3">
      <c r="B185" s="62" t="s">
        <v>6</v>
      </c>
      <c r="C185" s="62"/>
    </row>
    <row r="186" spans="2:3">
      <c r="B186" s="62" t="s">
        <v>6</v>
      </c>
      <c r="C186" s="62"/>
    </row>
    <row r="187" spans="2:3">
      <c r="B187" s="62" t="s">
        <v>6</v>
      </c>
      <c r="C187" s="62"/>
    </row>
    <row r="188" spans="2:3">
      <c r="B188" s="62" t="s">
        <v>6</v>
      </c>
      <c r="C188" s="62"/>
    </row>
    <row r="189" spans="2:3">
      <c r="B189" s="62" t="s">
        <v>6</v>
      </c>
      <c r="C189" s="62"/>
    </row>
    <row r="190" spans="2:3">
      <c r="B190" s="62" t="s">
        <v>6</v>
      </c>
      <c r="C190" s="62"/>
    </row>
    <row r="191" spans="2:3">
      <c r="B191" s="62" t="s">
        <v>6</v>
      </c>
      <c r="C191" s="62"/>
    </row>
    <row r="192" spans="2:3">
      <c r="B192" s="62" t="s">
        <v>6</v>
      </c>
      <c r="C192" s="62"/>
    </row>
    <row r="193" spans="2:3">
      <c r="B193" s="62" t="s">
        <v>6</v>
      </c>
      <c r="C193" s="62"/>
    </row>
    <row r="194" spans="2:3">
      <c r="B194" s="62" t="s">
        <v>6</v>
      </c>
      <c r="C194" s="62"/>
    </row>
    <row r="195" spans="2:3">
      <c r="B195" s="62" t="s">
        <v>6</v>
      </c>
      <c r="C195" s="62"/>
    </row>
    <row r="196" spans="2:3">
      <c r="B196" s="62" t="s">
        <v>6</v>
      </c>
      <c r="C196" s="62"/>
    </row>
    <row r="197" spans="2:3">
      <c r="B197" s="62" t="s">
        <v>6</v>
      </c>
      <c r="C197" s="62"/>
    </row>
    <row r="198" spans="2:3">
      <c r="B198" s="62" t="s">
        <v>6</v>
      </c>
      <c r="C198" s="62"/>
    </row>
  </sheetData>
  <sortState xmlns:xlrd2="http://schemas.microsoft.com/office/spreadsheetml/2017/richdata2" ref="A3:E12">
    <sortCondition ref="E12"/>
  </sortState>
  <mergeCells count="1">
    <mergeCell ref="A1:F1"/>
  </mergeCells>
  <conditionalFormatting sqref="H10:I10">
    <cfRule type="containsText" dxfId="4" priority="4" operator="containsText" text="ARRIVED">
      <formula>NOT(ISERROR(SEARCH("ARRIVED",H10)))</formula>
    </cfRule>
    <cfRule type="containsText" dxfId="3" priority="5" operator="containsText" text="WAIT">
      <formula>NOT(ISERROR(SEARCH("WAIT",H10)))</formula>
    </cfRule>
  </conditionalFormatting>
  <conditionalFormatting sqref="I10">
    <cfRule type="cellIs" dxfId="2" priority="2" operator="between">
      <formula>90</formula>
      <formula>1</formula>
    </cfRule>
    <cfRule type="cellIs" dxfId="1" priority="3" operator="greaterThan">
      <formula>90</formula>
    </cfRule>
  </conditionalFormatting>
  <conditionalFormatting sqref="I10">
    <cfRule type="expression" dxfId="0" priority="1">
      <formula>AND($N9&gt;1,$H10="ARRIVED")</formula>
    </cfRule>
  </conditionalFormatting>
  <hyperlinks>
    <hyperlink ref="A40" r:id="rId1" xr:uid="{70BE828B-6CD6-AE49-9D91-851859040E82}"/>
    <hyperlink ref="A42" r:id="rId2" display="https://www.aliexpress.com/item/4000641003381.html?spm=a2g0o.productlist.0.0.3e5748b2LL0jGr&amp;algo_pvid=19397d42-08c8-4a05-9806-bf156c5d6683&amp;algo_expid=19397d42-08c8-4a05-9806-bf156c5d6683-9&amp;btsid=0bb0623916096259479757554e3392&amp;ws_ab_test=searchweb0_0,searchweb201602_,searchweb201603_ " xr:uid="{2530C3B5-2AD6-6043-9D9F-532DC5D6C1A3}"/>
    <hyperlink ref="A47" r:id="rId3" xr:uid="{31CD600D-A5C6-6041-AEAA-5882EE2ED26F}"/>
    <hyperlink ref="A41" r:id="rId4" xr:uid="{D86B58FF-A280-3A46-B6A9-E01BB401E738}"/>
    <hyperlink ref="A61" r:id="rId5" display="https://www.aliexpress.com/item/32866986097.html?spm=a2g0o.productlist.0.0.77c81cf1cDSgsZ&amp;algo_pvid=3c9962d1-91a7-4c7f-8800-3cf841a54ff5&amp;algo_expid=3c9962d1-91a7-4c7f-8800-3cf841a54ff5-2&amp;btsid=0b0a556116085096299856434e5605&amp;ws_ab_test=searchweb0_0,searchweb201602_,searchweb201603 " xr:uid="{FF509DDC-025D-5642-B867-7986EDEBFD7B}"/>
    <hyperlink ref="A44" r:id="rId6" xr:uid="{C0174105-D2CB-D448-95E4-BD659ED28D36}"/>
    <hyperlink ref="A55" r:id="rId7" xr:uid="{BBD1C3FF-A150-0B43-923A-318ACC6AA4CC}"/>
    <hyperlink ref="A6" r:id="rId8" display="https://www.aliexpress.com/item/32997682731.html?spm=a2g0o.productlist.0.0.5b004a65V1gASL&amp;algo_pvid=f6282cc2-7015-40dc-b4fb-4253cecae879&amp;algo_expid=f6282cc2-7015-40dc-b4fb-4253cecae879-3&amp;btsid=0bb0624716147327089776878ea5e1&amp;ws_ab_test=searchweb0_0,searchweb201602_,searchweb201603_" xr:uid="{12CC3EAD-58AD-4C21-A330-532C7D1B6614}"/>
    <hyperlink ref="P3" r:id="rId9" xr:uid="{4F02B5F6-6F0A-4F1E-8DF6-C29BDD1305EB}"/>
    <hyperlink ref="P4" r:id="rId10" location="preview" xr:uid="{D1748565-D2E8-4F0C-8EB1-62AB55874D84}"/>
    <hyperlink ref="A46" r:id="rId11" display="https://www.aliexpress.com/item/4001121807581.html?spm=a2g0o.productlist.0.0.2025b0b90Y3FC0&amp;algo_pvid=e6920286-f9a0-496b-aecb-fba300713a5d&amp;algo_expid=e6920286-f9a0-496b-aecb-fba300713a5d-14&amp;btsid=0b0a556b16097102145412739e7787&amp;ws_ab_test=searchweb0_0,searchweb201602_,searchweb201603_" xr:uid="{7861F537-24A8-4810-86F8-24075250C4B9}"/>
    <hyperlink ref="A49" r:id="rId12" xr:uid="{CD563140-A000-4FAB-BDB1-981DDDE0BD0E}"/>
  </hyperlinks>
  <pageMargins left="0.7" right="0.7" top="0.75" bottom="0.75" header="0.3" footer="0.3"/>
  <pageSetup paperSize="9" orientation="portrait" horizontalDpi="0" verticalDpi="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A225-335B-034B-8ED9-EC9FC562C89F}">
  <dimension ref="A1:K9"/>
  <sheetViews>
    <sheetView zoomScale="115" zoomScaleNormal="115" workbookViewId="0">
      <selection activeCell="F8" sqref="F8"/>
    </sheetView>
  </sheetViews>
  <sheetFormatPr defaultColWidth="11" defaultRowHeight="15.75"/>
  <cols>
    <col min="4" max="4" width="25" customWidth="1"/>
    <col min="7" max="7" width="13.5" customWidth="1"/>
    <col min="8" max="8" width="12.5" customWidth="1"/>
    <col min="10" max="10" width="10.375" customWidth="1"/>
    <col min="11" max="11" width="9.125" customWidth="1"/>
  </cols>
  <sheetData>
    <row r="1" spans="1:11">
      <c r="A1">
        <v>4</v>
      </c>
      <c r="B1" s="50">
        <v>690</v>
      </c>
      <c r="C1">
        <v>2040</v>
      </c>
      <c r="D1" t="s">
        <v>54</v>
      </c>
      <c r="E1" s="50">
        <f>B1*A1</f>
        <v>2760</v>
      </c>
      <c r="G1" s="54" t="s">
        <v>58</v>
      </c>
      <c r="H1" s="54" t="s">
        <v>59</v>
      </c>
    </row>
    <row r="2" spans="1:11">
      <c r="B2" s="50"/>
      <c r="E2" s="50"/>
      <c r="G2" s="52">
        <v>0.69</v>
      </c>
      <c r="H2" s="52">
        <v>0.32</v>
      </c>
    </row>
    <row r="3" spans="1:11">
      <c r="B3" s="50"/>
      <c r="E3" s="50"/>
      <c r="G3" s="53" t="s">
        <v>92</v>
      </c>
      <c r="H3" s="53" t="s">
        <v>93</v>
      </c>
      <c r="J3" s="55" t="s">
        <v>94</v>
      </c>
      <c r="K3" s="37">
        <f>H4+G4</f>
        <v>41.431200000000004</v>
      </c>
    </row>
    <row r="4" spans="1:11">
      <c r="B4" s="50"/>
      <c r="E4" s="50"/>
      <c r="G4" s="51">
        <f>SUM(E1:E3)/100*G2</f>
        <v>19.044</v>
      </c>
      <c r="H4" s="51">
        <f>SUM(E5:E9)/100*H2</f>
        <v>22.3872</v>
      </c>
    </row>
    <row r="5" spans="1:11">
      <c r="A5">
        <v>4</v>
      </c>
      <c r="B5" s="50">
        <v>660</v>
      </c>
      <c r="C5">
        <v>2020</v>
      </c>
      <c r="D5" t="s">
        <v>55</v>
      </c>
      <c r="E5" s="50">
        <f>B5*A5</f>
        <v>2640</v>
      </c>
    </row>
    <row r="6" spans="1:11">
      <c r="A6">
        <v>6</v>
      </c>
      <c r="B6" s="50">
        <v>461</v>
      </c>
      <c r="C6">
        <v>2020</v>
      </c>
      <c r="D6" t="s">
        <v>56</v>
      </c>
      <c r="E6" s="50">
        <f>B6*A6</f>
        <v>2766</v>
      </c>
    </row>
    <row r="7" spans="1:11">
      <c r="A7">
        <v>3</v>
      </c>
      <c r="B7" s="50">
        <v>530</v>
      </c>
      <c r="C7">
        <v>2020</v>
      </c>
      <c r="D7" t="s">
        <v>57</v>
      </c>
      <c r="E7" s="50">
        <f>B7*A7</f>
        <v>1590</v>
      </c>
    </row>
    <row r="8" spans="1:11">
      <c r="B8" s="50"/>
      <c r="E8" s="50"/>
    </row>
    <row r="9" spans="1:11">
      <c r="B9" s="50"/>
      <c r="E9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Καθορισμένες περιοχές</vt:lpstr>
      </vt:variant>
      <vt:variant>
        <vt:i4>6</vt:i4>
      </vt:variant>
    </vt:vector>
  </HeadingPairs>
  <TitlesOfParts>
    <vt:vector size="12" baseType="lpstr">
      <vt:lpstr>Paid</vt:lpstr>
      <vt:lpstr>Φύλλο1</vt:lpstr>
      <vt:lpstr>Logistics</vt:lpstr>
      <vt:lpstr>Refund</vt:lpstr>
      <vt:lpstr>Whishlist</vt:lpstr>
      <vt:lpstr>skeletos</vt:lpstr>
      <vt:lpstr>comet_hellas</vt:lpstr>
      <vt:lpstr>DHL</vt:lpstr>
      <vt:lpstr>Elta</vt:lpstr>
      <vt:lpstr>Elta_EN</vt:lpstr>
      <vt:lpstr>parcel_app</vt:lpstr>
      <vt:lpstr>tracmyshipment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microsoft863</dc:creator>
  <cp:lastModifiedBy>kostas lazaridis</cp:lastModifiedBy>
  <dcterms:created xsi:type="dcterms:W3CDTF">2020-12-04T19:17:43Z</dcterms:created>
  <dcterms:modified xsi:type="dcterms:W3CDTF">2021-03-28T17:58:15Z</dcterms:modified>
</cp:coreProperties>
</file>