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book/Documents/Exercises and Datasets/"/>
    </mc:Choice>
  </mc:AlternateContent>
  <xr:revisionPtr revIDLastSave="0" documentId="8_{3298F2F4-0900-744E-9D77-72EF79C6CF55}" xr6:coauthVersionLast="47" xr6:coauthVersionMax="47" xr10:uidLastSave="{00000000-0000-0000-0000-000000000000}"/>
  <bookViews>
    <workbookView xWindow="0" yWindow="480" windowWidth="28800" windowHeight="17520" xr2:uid="{4FDF45FB-1CFF-4C45-826A-662E4B25C150}"/>
  </bookViews>
  <sheets>
    <sheet name="Analysis" sheetId="1" r:id="rId1"/>
  </sheets>
  <definedNames>
    <definedName name="AcquisitionCapRate" comment="The capitalization rate assumed for determining the purchase price of the property.">Analysis!$F$3</definedName>
    <definedName name="Cost_Growth">Analysis!$B$9</definedName>
    <definedName name="CostGrowth" comment="The rate at which estimated costs will grow each year.">Analysis!$B$9</definedName>
    <definedName name="Holding_Period">Analysis!$F$6</definedName>
    <definedName name="PurchasePrice" comment="The purchase price of the property.">Analysis!$F$2</definedName>
    <definedName name="Rent_Growth">Analysis!$B$10</definedName>
    <definedName name="Units" comment="The number of units the property has.">Analysis!$B$3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8" i="1" l="1"/>
  <c r="F48" i="1"/>
  <c r="F51" i="1" s="1"/>
  <c r="G48" i="1"/>
  <c r="G51" i="1" s="1"/>
  <c r="H48" i="1"/>
  <c r="H51" i="1" s="1"/>
  <c r="I48" i="1"/>
  <c r="I51" i="1" s="1"/>
  <c r="J48" i="1"/>
  <c r="J51" i="1" s="1"/>
  <c r="L48" i="1"/>
  <c r="M48" i="1"/>
  <c r="M51" i="1" s="1"/>
  <c r="E49" i="1"/>
  <c r="D48" i="1"/>
  <c r="G18" i="1"/>
  <c r="H18" i="1"/>
  <c r="I18" i="1"/>
  <c r="J18" i="1"/>
  <c r="K18" i="1"/>
  <c r="L18" i="1"/>
  <c r="M18" i="1"/>
  <c r="N18" i="1"/>
  <c r="F18" i="1"/>
  <c r="G19" i="1"/>
  <c r="H19" i="1" s="1"/>
  <c r="I19" i="1" s="1"/>
  <c r="J19" i="1" s="1"/>
  <c r="K19" i="1" s="1"/>
  <c r="L19" i="1" s="1"/>
  <c r="M19" i="1" s="1"/>
  <c r="N19" i="1" s="1"/>
  <c r="E18" i="1"/>
  <c r="C53" i="1"/>
  <c r="C51" i="1"/>
  <c r="L51" i="1"/>
  <c r="C46" i="1"/>
  <c r="D46" i="1"/>
  <c r="C44" i="1"/>
  <c r="D44" i="1"/>
  <c r="C28" i="1"/>
  <c r="D28" i="1"/>
  <c r="L16" i="1"/>
  <c r="M16" i="1"/>
  <c r="N16" i="1" s="1"/>
  <c r="I16" i="1"/>
  <c r="J16" i="1" s="1"/>
  <c r="K16" i="1" s="1"/>
  <c r="G16" i="1"/>
  <c r="H16" i="1"/>
  <c r="F16" i="1"/>
  <c r="E16" i="1"/>
  <c r="F37" i="1"/>
  <c r="F36" i="1" s="1"/>
  <c r="E36" i="1"/>
  <c r="B51" i="1"/>
  <c r="B44" i="1"/>
  <c r="B28" i="1"/>
  <c r="B46" i="1" s="1"/>
  <c r="F2" i="1" s="1"/>
  <c r="D21" i="1"/>
  <c r="E51" i="1" l="1"/>
  <c r="G37" i="1"/>
  <c r="B53" i="1"/>
  <c r="L23" i="1"/>
  <c r="M23" i="1"/>
  <c r="N23" i="1"/>
  <c r="K23" i="1"/>
  <c r="J23" i="1"/>
  <c r="I23" i="1"/>
  <c r="H23" i="1"/>
  <c r="G23" i="1"/>
  <c r="F23" i="1"/>
  <c r="E23" i="1"/>
  <c r="E39" i="1"/>
  <c r="D51" i="1" l="1"/>
  <c r="D53" i="1" s="1"/>
  <c r="E42" i="1"/>
  <c r="G36" i="1"/>
  <c r="H37" i="1"/>
  <c r="F39" i="1"/>
  <c r="E40" i="1" l="1"/>
  <c r="F42" i="1"/>
  <c r="H36" i="1"/>
  <c r="I37" i="1"/>
  <c r="G39" i="1"/>
  <c r="E21" i="1"/>
  <c r="E30" i="1" l="1"/>
  <c r="E33" i="1"/>
  <c r="F40" i="1"/>
  <c r="G42" i="1"/>
  <c r="I36" i="1"/>
  <c r="J37" i="1"/>
  <c r="H39" i="1"/>
  <c r="E25" i="1"/>
  <c r="E28" i="1" s="1"/>
  <c r="E44" i="1" l="1"/>
  <c r="E46" i="1" s="1"/>
  <c r="E53" i="1" s="1"/>
  <c r="H42" i="1"/>
  <c r="G40" i="1"/>
  <c r="J36" i="1"/>
  <c r="K37" i="1"/>
  <c r="I39" i="1"/>
  <c r="F21" i="1"/>
  <c r="F33" i="1" l="1"/>
  <c r="F30" i="1"/>
  <c r="H40" i="1"/>
  <c r="I42" i="1"/>
  <c r="K36" i="1"/>
  <c r="L37" i="1"/>
  <c r="J39" i="1"/>
  <c r="F25" i="1"/>
  <c r="F28" i="1" s="1"/>
  <c r="F44" i="1" l="1"/>
  <c r="F46" i="1" s="1"/>
  <c r="F53" i="1" s="1"/>
  <c r="I40" i="1"/>
  <c r="J42" i="1"/>
  <c r="M37" i="1"/>
  <c r="L36" i="1"/>
  <c r="K39" i="1"/>
  <c r="J40" i="1" l="1"/>
  <c r="K42" i="1"/>
  <c r="N37" i="1"/>
  <c r="N36" i="1" s="1"/>
  <c r="M36" i="1"/>
  <c r="L39" i="1"/>
  <c r="K40" i="1" l="1"/>
  <c r="L42" i="1"/>
  <c r="M39" i="1"/>
  <c r="L40" i="1" l="1"/>
  <c r="M42" i="1"/>
  <c r="N39" i="1"/>
  <c r="M40" i="1" l="1"/>
  <c r="N42" i="1"/>
  <c r="N40" i="1" s="1"/>
  <c r="G21" i="1"/>
  <c r="G25" i="1" s="1"/>
  <c r="G30" i="1" l="1"/>
  <c r="G28" i="1"/>
  <c r="G33" i="1"/>
  <c r="G44" i="1" l="1"/>
  <c r="G46" i="1" s="1"/>
  <c r="G53" i="1" s="1"/>
  <c r="H21" i="1"/>
  <c r="H25" i="1" s="1"/>
  <c r="I21" i="1"/>
  <c r="I25" i="1" s="1"/>
  <c r="I30" i="1" l="1"/>
  <c r="H30" i="1"/>
  <c r="H33" i="1"/>
  <c r="I33" i="1"/>
  <c r="I28" i="1"/>
  <c r="H28" i="1"/>
  <c r="J21" i="1"/>
  <c r="J25" i="1" s="1"/>
  <c r="H44" i="1" l="1"/>
  <c r="I44" i="1"/>
  <c r="I46" i="1" s="1"/>
  <c r="I53" i="1" s="1"/>
  <c r="H46" i="1"/>
  <c r="H53" i="1" s="1"/>
  <c r="J33" i="1"/>
  <c r="J28" i="1"/>
  <c r="J30" i="1"/>
  <c r="K21" i="1"/>
  <c r="K25" i="1" s="1"/>
  <c r="J44" i="1" l="1"/>
  <c r="K33" i="1"/>
  <c r="J46" i="1"/>
  <c r="J53" i="1" s="1"/>
  <c r="K28" i="1"/>
  <c r="L21" i="1"/>
  <c r="L25" i="1" s="1"/>
  <c r="K30" i="1"/>
  <c r="K44" i="1" s="1"/>
  <c r="K46" i="1" l="1"/>
  <c r="L28" i="1"/>
  <c r="N21" i="1"/>
  <c r="N25" i="1" s="1"/>
  <c r="N28" i="1" s="1"/>
  <c r="L33" i="1"/>
  <c r="M21" i="1"/>
  <c r="M25" i="1" s="1"/>
  <c r="L30" i="1"/>
  <c r="M30" i="1" l="1"/>
  <c r="M33" i="1"/>
  <c r="N33" i="1"/>
  <c r="L44" i="1"/>
  <c r="L46" i="1" s="1"/>
  <c r="L53" i="1" s="1"/>
  <c r="M28" i="1"/>
  <c r="N30" i="1"/>
  <c r="N44" i="1" l="1"/>
  <c r="N46" i="1" s="1"/>
  <c r="M44" i="1"/>
  <c r="M46" i="1" s="1"/>
  <c r="M53" i="1" s="1"/>
  <c r="F8" i="1" l="1"/>
  <c r="K48" i="1" l="1"/>
  <c r="K51" i="1" s="1"/>
  <c r="K53" i="1" s="1"/>
  <c r="N48" i="1"/>
  <c r="N51" i="1" s="1"/>
  <c r="N53" i="1" s="1"/>
</calcChain>
</file>

<file path=xl/sharedStrings.xml><?xml version="1.0" encoding="utf-8"?>
<sst xmlns="http://schemas.openxmlformats.org/spreadsheetml/2006/main" count="45" uniqueCount="45">
  <si>
    <t>Units</t>
  </si>
  <si>
    <t>Year Built</t>
  </si>
  <si>
    <t>Effective Monthly Rent / Unit</t>
  </si>
  <si>
    <t>Total Rental Income</t>
  </si>
  <si>
    <t>Delinquency %</t>
  </si>
  <si>
    <t>Repairs &amp; Maintenance</t>
  </si>
  <si>
    <t>Utilities (Vacancy)</t>
  </si>
  <si>
    <t>Taxes</t>
  </si>
  <si>
    <t>Total Operating Expenses</t>
  </si>
  <si>
    <t>Net Operating Income</t>
  </si>
  <si>
    <t>Renovations</t>
  </si>
  <si>
    <t>Total Capital Expenditures</t>
  </si>
  <si>
    <t>Community Name</t>
  </si>
  <si>
    <t>West Ridge North</t>
  </si>
  <si>
    <t>Tax rate</t>
  </si>
  <si>
    <t>Assessed value</t>
  </si>
  <si>
    <t>Avg. Occupancy</t>
  </si>
  <si>
    <t>R&amp;M Ratio</t>
  </si>
  <si>
    <t>Asset Details</t>
  </si>
  <si>
    <t>Turn Ratio</t>
  </si>
  <si>
    <t>Avg. Utilities Cost / Vacant Unit</t>
  </si>
  <si>
    <t>Net Income</t>
  </si>
  <si>
    <t>Last Remodeled</t>
  </si>
  <si>
    <t>N/A</t>
  </si>
  <si>
    <t>Avg. Occupied Units</t>
  </si>
  <si>
    <t>Acquisition Details</t>
  </si>
  <si>
    <t>Purchase Price</t>
  </si>
  <si>
    <t>Cap Rate</t>
  </si>
  <si>
    <t>Sale Details</t>
  </si>
  <si>
    <t>Sale Price</t>
  </si>
  <si>
    <t>Net Potential Rent</t>
  </si>
  <si>
    <t>Vacancy</t>
  </si>
  <si>
    <t>Cash Flow Analysis</t>
  </si>
  <si>
    <t>Delinquency</t>
  </si>
  <si>
    <t>Salaries and Wages</t>
  </si>
  <si>
    <t>Last Year Financials</t>
  </si>
  <si>
    <t>Operational Assumptions</t>
  </si>
  <si>
    <t>Rent Growth %</t>
  </si>
  <si>
    <t>Cost Growth %</t>
  </si>
  <si>
    <t>Exit Cap Rate</t>
  </si>
  <si>
    <t>Holding Period (Years)</t>
  </si>
  <si>
    <t>Seller</t>
  </si>
  <si>
    <t>Shady Tree Mgmt</t>
  </si>
  <si>
    <t>Property (Purchase) Sale</t>
  </si>
  <si>
    <t>Turn &amp; Marketing Expenses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</si>
</sst>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&quot;$&quot;* #,##0.00_);_(&quot;$&quot;* \(#,##0.00\);_(&quot;$&quot;* &quot;-&quot;??_);_(@_)"/>
    <numFmt numFmtId="165" formatCode="&quot;Year&quot;\ 0"/>
    <numFmt numFmtId="166" formatCode="_(* #,##0_);_(* \(#,##0\);_(* &quot;-&quot;??_);_(@_)"/>
    <numFmt numFmtId="167" formatCode="_(* #,##0_);_(* \(#,##0\);_(* &quot;-&quot;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  <font>
      <i/>
      <sz val="1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CE7F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0">
    <xf numFmtId="0" fontId="0" fillId="0" borderId="0" xfId="0"/>
    <xf numFmtId="165" fontId="0" fillId="0" borderId="0" xfId="0" applyNumberFormat="1"/>
    <xf numFmtId="0" fontId="3" fillId="0" borderId="0" xfId="0" applyFont="1"/>
    <xf numFmtId="0" fontId="2" fillId="0" borderId="1" xfId="0" applyFont="1" applyBorder="1"/>
    <xf numFmtId="0" fontId="2" fillId="2" borderId="0" xfId="0" applyFont="1" applyFill="1"/>
    <xf numFmtId="0" fontId="0" fillId="2" borderId="0" xfId="0" applyFill="1"/>
    <xf numFmtId="0" fontId="0" fillId="3" borderId="0" xfId="0" applyFill="1"/>
    <xf numFmtId="167" fontId="6" fillId="0" borderId="0" xfId="0" applyNumberFormat="1" applyFont="1"/>
    <xf numFmtId="166" fontId="6" fillId="0" borderId="0" xfId="1" applyNumberFormat="1" applyFont="1"/>
    <xf numFmtId="10" fontId="7" fillId="0" borderId="0" xfId="0" applyNumberFormat="1" applyFont="1"/>
    <xf numFmtId="10" fontId="6" fillId="0" borderId="0" xfId="2" applyNumberFormat="1" applyFont="1"/>
    <xf numFmtId="43" fontId="0" fillId="0" borderId="0" xfId="0" applyNumberFormat="1"/>
    <xf numFmtId="0" fontId="4" fillId="0" borderId="0" xfId="0" applyFont="1" applyAlignment="1">
      <alignment horizontal="right"/>
    </xf>
    <xf numFmtId="0" fontId="4" fillId="3" borderId="0" xfId="0" applyFont="1" applyFill="1" applyAlignment="1">
      <alignment horizontal="right"/>
    </xf>
    <xf numFmtId="0" fontId="4" fillId="0" borderId="0" xfId="0" applyFont="1"/>
    <xf numFmtId="0" fontId="4" fillId="2" borderId="0" xfId="0" applyFont="1" applyFill="1"/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166" fontId="4" fillId="0" borderId="0" xfId="1" applyNumberFormat="1" applyFont="1" applyAlignment="1">
      <alignment horizontal="center"/>
    </xf>
    <xf numFmtId="166" fontId="4" fillId="0" borderId="0" xfId="1" applyNumberFormat="1" applyFont="1"/>
    <xf numFmtId="166" fontId="4" fillId="0" borderId="0" xfId="0" applyNumberFormat="1" applyFont="1"/>
    <xf numFmtId="166" fontId="5" fillId="0" borderId="1" xfId="0" applyNumberFormat="1" applyFont="1" applyBorder="1"/>
    <xf numFmtId="167" fontId="4" fillId="0" borderId="0" xfId="0" applyNumberFormat="1" applyFont="1"/>
    <xf numFmtId="10" fontId="8" fillId="0" borderId="0" xfId="2" applyNumberFormat="1" applyFont="1"/>
    <xf numFmtId="167" fontId="8" fillId="0" borderId="0" xfId="0" applyNumberFormat="1" applyFont="1"/>
    <xf numFmtId="167" fontId="5" fillId="0" borderId="1" xfId="0" applyNumberFormat="1" applyFont="1" applyBorder="1"/>
    <xf numFmtId="10" fontId="6" fillId="0" borderId="0" xfId="0" applyNumberFormat="1" applyFont="1"/>
    <xf numFmtId="0" fontId="3" fillId="0" borderId="0" xfId="0" applyFont="1" applyAlignment="1">
      <alignment horizontal="right"/>
    </xf>
    <xf numFmtId="10" fontId="0" fillId="0" borderId="0" xfId="0" applyNumberFormat="1"/>
    <xf numFmtId="1" fontId="0" fillId="0" borderId="0" xfId="0" applyNumberFormat="1"/>
    <xf numFmtId="164" fontId="0" fillId="0" borderId="0" xfId="0" applyNumberFormat="1"/>
    <xf numFmtId="10" fontId="6" fillId="3" borderId="0" xfId="2" applyNumberFormat="1" applyFont="1" applyFill="1"/>
    <xf numFmtId="166" fontId="6" fillId="0" borderId="0" xfId="1" applyNumberFormat="1" applyFont="1" applyAlignment="1">
      <alignment horizontal="center"/>
    </xf>
    <xf numFmtId="10" fontId="4" fillId="0" borderId="0" xfId="0" applyNumberFormat="1" applyFont="1"/>
    <xf numFmtId="9" fontId="6" fillId="0" borderId="0" xfId="0" applyNumberFormat="1" applyFont="1"/>
    <xf numFmtId="166" fontId="0" fillId="0" borderId="0" xfId="0" applyNumberFormat="1"/>
    <xf numFmtId="0" fontId="5" fillId="4" borderId="0" xfId="0" applyFont="1" applyFill="1" applyAlignment="1">
      <alignment horizontal="centerContinuous"/>
    </xf>
    <xf numFmtId="0" fontId="6" fillId="0" borderId="0" xfId="0" applyFont="1"/>
    <xf numFmtId="166" fontId="0" fillId="0" borderId="0" xfId="1" applyNumberFormat="1" applyFont="1"/>
    <xf numFmtId="165" fontId="0" fillId="0" borderId="1" xfId="1" applyNumberFormat="1" applyFont="1" applyBorder="1" applyAlignment="1">
      <alignment horizontal="center"/>
    </xf>
  </cellXfs>
  <cellStyles count="3">
    <cellStyle name="Comma" xfId="1" builtinId="3"/>
    <cellStyle name="Normal" xfId="0" builtinId="0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487680</xdr:colOff>
      <xdr:row>0</xdr:row>
      <xdr:rowOff>0</xdr:rowOff>
    </xdr:from>
    <xdr:to>
      <xdr:col>13</xdr:col>
      <xdr:colOff>598070</xdr:colOff>
      <xdr:row>9</xdr:row>
      <xdr:rowOff>152332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543DF29-3BBE-4603-8B17-F12D04496D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77300" y="0"/>
          <a:ext cx="3958490" cy="17982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57A92-7447-413E-AB34-D9282C61BBCD}">
  <dimension ref="A1:O57"/>
  <sheetViews>
    <sheetView showGridLines="0" tabSelected="1" zoomScale="120" zoomScaleNormal="120" workbookViewId="0">
      <selection activeCell="G3" sqref="G3"/>
    </sheetView>
  </sheetViews>
  <sheetFormatPr baseColWidth="10" defaultColWidth="8.83203125" defaultRowHeight="15" x14ac:dyDescent="0.2"/>
  <cols>
    <col min="1" max="1" width="29.5" customWidth="1"/>
    <col min="2" max="2" width="16.6640625" style="14" bestFit="1" customWidth="1"/>
    <col min="3" max="3" width="14.6640625" customWidth="1"/>
    <col min="4" max="4" width="13.33203125" bestFit="1" customWidth="1"/>
    <col min="5" max="13" width="11.33203125" bestFit="1" customWidth="1"/>
    <col min="14" max="14" width="10.6640625" bestFit="1" customWidth="1"/>
  </cols>
  <sheetData>
    <row r="1" spans="1:14" x14ac:dyDescent="0.2">
      <c r="A1" s="36" t="s">
        <v>18</v>
      </c>
      <c r="B1" s="36"/>
      <c r="D1" s="36" t="s">
        <v>25</v>
      </c>
      <c r="E1" s="36"/>
      <c r="F1" s="36"/>
    </row>
    <row r="2" spans="1:14" x14ac:dyDescent="0.2">
      <c r="A2" t="s">
        <v>12</v>
      </c>
      <c r="B2" s="12" t="s">
        <v>13</v>
      </c>
      <c r="D2" t="s">
        <v>26</v>
      </c>
      <c r="F2" s="35">
        <f>B46/AcquisitionCapRate</f>
        <v>7288683.333333334</v>
      </c>
    </row>
    <row r="3" spans="1:14" x14ac:dyDescent="0.2">
      <c r="A3" s="6" t="s">
        <v>0</v>
      </c>
      <c r="B3" s="13">
        <v>80</v>
      </c>
      <c r="D3" s="6" t="s">
        <v>27</v>
      </c>
      <c r="E3" s="6"/>
      <c r="F3" s="31">
        <v>0.06</v>
      </c>
      <c r="K3" s="29"/>
    </row>
    <row r="4" spans="1:14" x14ac:dyDescent="0.2">
      <c r="A4" t="s">
        <v>1</v>
      </c>
      <c r="B4" s="12">
        <v>1994</v>
      </c>
    </row>
    <row r="5" spans="1:14" x14ac:dyDescent="0.2">
      <c r="A5" s="6" t="s">
        <v>22</v>
      </c>
      <c r="B5" s="13" t="s">
        <v>23</v>
      </c>
      <c r="D5" s="36" t="s">
        <v>28</v>
      </c>
      <c r="E5" s="36"/>
      <c r="F5" s="36"/>
      <c r="J5" s="9"/>
    </row>
    <row r="6" spans="1:14" x14ac:dyDescent="0.2">
      <c r="A6" t="s">
        <v>41</v>
      </c>
      <c r="B6" s="12" t="s">
        <v>42</v>
      </c>
      <c r="D6" t="s">
        <v>40</v>
      </c>
      <c r="F6" s="37">
        <v>10</v>
      </c>
      <c r="J6" s="30"/>
    </row>
    <row r="7" spans="1:14" x14ac:dyDescent="0.2">
      <c r="D7" s="6" t="s">
        <v>39</v>
      </c>
      <c r="E7" s="6"/>
      <c r="F7" s="31">
        <v>0.06</v>
      </c>
      <c r="J7" s="34"/>
    </row>
    <row r="8" spans="1:14" x14ac:dyDescent="0.2">
      <c r="A8" s="36" t="s">
        <v>36</v>
      </c>
      <c r="B8" s="36"/>
      <c r="D8" t="s">
        <v>29</v>
      </c>
      <c r="F8" s="38">
        <f>HLOOKUP(Holding_Period, D16:N46, 31,FALSE)/F7</f>
        <v>49249718.660108991</v>
      </c>
    </row>
    <row r="9" spans="1:14" x14ac:dyDescent="0.2">
      <c r="A9" s="28" t="s">
        <v>38</v>
      </c>
      <c r="B9" s="10">
        <v>0.02</v>
      </c>
    </row>
    <row r="10" spans="1:14" x14ac:dyDescent="0.2">
      <c r="A10" s="6" t="s">
        <v>37</v>
      </c>
      <c r="B10" s="31">
        <v>0.05</v>
      </c>
    </row>
    <row r="14" spans="1:14" x14ac:dyDescent="0.2">
      <c r="A14" s="4" t="s">
        <v>32</v>
      </c>
      <c r="B14" s="1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</row>
    <row r="15" spans="1:14" x14ac:dyDescent="0.2">
      <c r="D15" s="1"/>
      <c r="E15" s="1"/>
      <c r="F15" s="1"/>
    </row>
    <row r="16" spans="1:14" x14ac:dyDescent="0.2">
      <c r="B16" s="16" t="s">
        <v>35</v>
      </c>
      <c r="C16" s="1"/>
      <c r="D16" s="39">
        <v>0</v>
      </c>
      <c r="E16" s="39">
        <f>D16+1</f>
        <v>1</v>
      </c>
      <c r="F16" s="39">
        <f>E16+1</f>
        <v>2</v>
      </c>
      <c r="G16" s="39">
        <f>F16+1</f>
        <v>3</v>
      </c>
      <c r="H16" s="39">
        <f>G16+1</f>
        <v>4</v>
      </c>
      <c r="I16" s="39">
        <f>H16+1</f>
        <v>5</v>
      </c>
      <c r="J16" s="39">
        <f>I16+1</f>
        <v>6</v>
      </c>
      <c r="K16" s="39">
        <f>J16+1</f>
        <v>7</v>
      </c>
      <c r="L16" s="39">
        <f>K16+1</f>
        <v>8</v>
      </c>
      <c r="M16" s="39">
        <f>L16+1</f>
        <v>9</v>
      </c>
      <c r="N16" s="39">
        <f>M16+1</f>
        <v>10</v>
      </c>
    </row>
    <row r="17" spans="1:15" x14ac:dyDescent="0.2">
      <c r="B17" s="17"/>
      <c r="G17" s="1"/>
      <c r="H17" s="1"/>
      <c r="I17" s="1"/>
      <c r="J17" s="1"/>
    </row>
    <row r="18" spans="1:15" x14ac:dyDescent="0.2">
      <c r="A18" t="s">
        <v>30</v>
      </c>
      <c r="B18" s="18">
        <v>1493760</v>
      </c>
      <c r="D18" s="18">
        <v>0</v>
      </c>
      <c r="E18" s="18">
        <f>E19*Units*12</f>
        <v>0</v>
      </c>
      <c r="F18" s="18">
        <f>F19*Units*12</f>
        <v>2208000</v>
      </c>
      <c r="G18" s="18">
        <f>G19*Units*12</f>
        <v>2318400</v>
      </c>
      <c r="H18" s="18">
        <f>H19*Units*12</f>
        <v>2434320</v>
      </c>
      <c r="I18" s="18">
        <f>I19*Units*12</f>
        <v>2556036</v>
      </c>
      <c r="J18" s="18">
        <f>J19*Units*12</f>
        <v>2683837.7999999998</v>
      </c>
      <c r="K18" s="18">
        <f>K19*Units*12</f>
        <v>2818029.69</v>
      </c>
      <c r="L18" s="18">
        <f>L19*Units*12</f>
        <v>2958931.1745000007</v>
      </c>
      <c r="M18" s="18">
        <f>M19*Units*12</f>
        <v>3106877.7332250006</v>
      </c>
      <c r="N18" s="18">
        <f>N19*Units*12</f>
        <v>3262221.6198862512</v>
      </c>
    </row>
    <row r="19" spans="1:15" x14ac:dyDescent="0.2">
      <c r="A19" s="27" t="s">
        <v>2</v>
      </c>
      <c r="B19" s="8"/>
      <c r="D19" s="8"/>
      <c r="E19" s="8"/>
      <c r="F19" s="8">
        <v>2300</v>
      </c>
      <c r="G19" s="8">
        <f>F19*(1+Rent_Growth)</f>
        <v>2415</v>
      </c>
      <c r="H19" s="8">
        <f>G19*(1+Rent_Growth)</f>
        <v>2535.75</v>
      </c>
      <c r="I19" s="8">
        <f>H19*(1+Rent_Growth)</f>
        <v>2662.5374999999999</v>
      </c>
      <c r="J19" s="8">
        <f>I19*(1+Rent_Growth)</f>
        <v>2795.6643749999998</v>
      </c>
      <c r="K19" s="8">
        <f>J19*(1+Rent_Growth)</f>
        <v>2935.4475937500001</v>
      </c>
      <c r="L19" s="8">
        <f>K19*(1+Rent_Growth)</f>
        <v>3082.2199734375004</v>
      </c>
      <c r="M19" s="8">
        <f>L19*(1+Rent_Growth)</f>
        <v>3236.3309721093756</v>
      </c>
      <c r="N19" s="8">
        <f>M19*(1+Rent_Growth)</f>
        <v>3398.1475207148446</v>
      </c>
    </row>
    <row r="20" spans="1:15" x14ac:dyDescent="0.2">
      <c r="B20" s="18"/>
      <c r="D20" s="18"/>
      <c r="E20" s="32"/>
      <c r="F20" s="32"/>
      <c r="G20" s="32"/>
      <c r="H20" s="32"/>
      <c r="I20" s="32"/>
      <c r="J20" s="32"/>
      <c r="K20" s="32"/>
      <c r="L20" s="32"/>
      <c r="M20" s="32"/>
      <c r="N20" s="32"/>
    </row>
    <row r="21" spans="1:15" x14ac:dyDescent="0.2">
      <c r="A21" t="s">
        <v>31</v>
      </c>
      <c r="B21" s="19">
        <v>-410784.00000000006</v>
      </c>
      <c r="D21" s="19">
        <f t="shared" ref="D21:N21" si="0">-D18*(1-D23)</f>
        <v>0</v>
      </c>
      <c r="E21" s="19">
        <f t="shared" si="0"/>
        <v>0</v>
      </c>
      <c r="F21" s="19">
        <f t="shared" si="0"/>
        <v>-552000</v>
      </c>
      <c r="G21" s="19">
        <f t="shared" si="0"/>
        <v>-115920.0000000001</v>
      </c>
      <c r="H21" s="19">
        <f t="shared" si="0"/>
        <v>-121716.0000000001</v>
      </c>
      <c r="I21" s="19">
        <f t="shared" si="0"/>
        <v>-127801.80000000012</v>
      </c>
      <c r="J21" s="19">
        <f t="shared" si="0"/>
        <v>-134191.8900000001</v>
      </c>
      <c r="K21" s="19">
        <f t="shared" si="0"/>
        <v>-140901.48450000011</v>
      </c>
      <c r="L21" s="19">
        <f t="shared" si="0"/>
        <v>-147946.55872500016</v>
      </c>
      <c r="M21" s="19">
        <f t="shared" si="0"/>
        <v>-155343.88666125017</v>
      </c>
      <c r="N21" s="19">
        <f t="shared" si="0"/>
        <v>-163111.08099431271</v>
      </c>
    </row>
    <row r="22" spans="1:15" x14ac:dyDescent="0.2">
      <c r="A22" s="27" t="s">
        <v>24</v>
      </c>
      <c r="B22" s="8"/>
      <c r="D22" s="8"/>
      <c r="E22" s="8">
        <v>0</v>
      </c>
      <c r="F22" s="8">
        <v>60</v>
      </c>
      <c r="G22" s="8">
        <v>76</v>
      </c>
      <c r="H22" s="8">
        <v>76</v>
      </c>
      <c r="I22" s="8">
        <v>76</v>
      </c>
      <c r="J22" s="8">
        <v>76</v>
      </c>
      <c r="K22" s="8">
        <v>76</v>
      </c>
      <c r="L22" s="8">
        <v>76</v>
      </c>
      <c r="M22" s="8">
        <v>76</v>
      </c>
      <c r="N22" s="8">
        <v>76</v>
      </c>
      <c r="O22" s="8"/>
    </row>
    <row r="23" spans="1:15" x14ac:dyDescent="0.2">
      <c r="A23" s="27" t="s">
        <v>16</v>
      </c>
      <c r="B23" s="26"/>
      <c r="D23" s="33"/>
      <c r="E23" s="33">
        <f t="shared" ref="E23:N23" si="1">E22/Units</f>
        <v>0</v>
      </c>
      <c r="F23" s="33">
        <f t="shared" si="1"/>
        <v>0.75</v>
      </c>
      <c r="G23" s="33">
        <f t="shared" si="1"/>
        <v>0.95</v>
      </c>
      <c r="H23" s="33">
        <f t="shared" si="1"/>
        <v>0.95</v>
      </c>
      <c r="I23" s="33">
        <f t="shared" si="1"/>
        <v>0.95</v>
      </c>
      <c r="J23" s="33">
        <f t="shared" si="1"/>
        <v>0.95</v>
      </c>
      <c r="K23" s="33">
        <f t="shared" si="1"/>
        <v>0.95</v>
      </c>
      <c r="L23" s="33">
        <f t="shared" si="1"/>
        <v>0.95</v>
      </c>
      <c r="M23" s="33">
        <f t="shared" si="1"/>
        <v>0.95</v>
      </c>
      <c r="N23" s="33">
        <f t="shared" si="1"/>
        <v>0.95</v>
      </c>
    </row>
    <row r="24" spans="1:15" x14ac:dyDescent="0.2">
      <c r="A24" s="27"/>
      <c r="B24" s="26"/>
      <c r="D24" s="26"/>
      <c r="E24" s="9"/>
      <c r="F24" s="9"/>
      <c r="G24" s="9"/>
      <c r="H24" s="9"/>
      <c r="I24" s="9"/>
      <c r="J24" s="9"/>
      <c r="K24" s="9"/>
      <c r="L24" s="9"/>
      <c r="M24" s="9"/>
      <c r="N24" s="9"/>
    </row>
    <row r="25" spans="1:15" x14ac:dyDescent="0.2">
      <c r="A25" t="s">
        <v>33</v>
      </c>
      <c r="B25" s="20">
        <v>-179251</v>
      </c>
      <c r="D25" s="20">
        <v>0</v>
      </c>
      <c r="E25" s="20">
        <f t="shared" ref="E25:N25" si="2">SUM(E21,E18)*E26</f>
        <v>0</v>
      </c>
      <c r="F25" s="20">
        <f t="shared" si="2"/>
        <v>99360</v>
      </c>
      <c r="G25" s="20">
        <f t="shared" si="2"/>
        <v>88099.199999999997</v>
      </c>
      <c r="H25" s="20">
        <f t="shared" si="2"/>
        <v>92504.16</v>
      </c>
      <c r="I25" s="20">
        <f t="shared" si="2"/>
        <v>97129.367999999988</v>
      </c>
      <c r="J25" s="20">
        <f t="shared" si="2"/>
        <v>101985.83639999999</v>
      </c>
      <c r="K25" s="20">
        <f t="shared" si="2"/>
        <v>107085.12821999998</v>
      </c>
      <c r="L25" s="20">
        <f t="shared" si="2"/>
        <v>112439.38463100001</v>
      </c>
      <c r="M25" s="20">
        <f t="shared" si="2"/>
        <v>118061.35386255002</v>
      </c>
      <c r="N25" s="20">
        <f t="shared" si="2"/>
        <v>123964.42155567755</v>
      </c>
    </row>
    <row r="26" spans="1:15" x14ac:dyDescent="0.2">
      <c r="A26" s="27" t="s">
        <v>4</v>
      </c>
      <c r="B26" s="9"/>
      <c r="D26" s="9"/>
      <c r="E26" s="9">
        <v>0.12</v>
      </c>
      <c r="F26" s="9">
        <v>0.06</v>
      </c>
      <c r="G26" s="9">
        <v>0.04</v>
      </c>
      <c r="H26" s="9">
        <v>0.04</v>
      </c>
      <c r="I26" s="9">
        <v>0.04</v>
      </c>
      <c r="J26" s="9">
        <v>0.04</v>
      </c>
      <c r="K26" s="9">
        <v>0.04</v>
      </c>
      <c r="L26" s="9">
        <v>0.04</v>
      </c>
      <c r="M26" s="9">
        <v>0.04</v>
      </c>
      <c r="N26" s="9">
        <v>0.04</v>
      </c>
    </row>
    <row r="27" spans="1:15" x14ac:dyDescent="0.2">
      <c r="B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</row>
    <row r="28" spans="1:15" x14ac:dyDescent="0.2">
      <c r="A28" s="3" t="s">
        <v>3</v>
      </c>
      <c r="B28" s="21">
        <f>SUM(B18,B21,B25)</f>
        <v>903725</v>
      </c>
      <c r="C28" s="21">
        <f t="shared" ref="C28:N28" si="3">SUM(C18,C21,C25)</f>
        <v>0</v>
      </c>
      <c r="D28" s="21">
        <f t="shared" si="3"/>
        <v>0</v>
      </c>
      <c r="E28" s="21">
        <f t="shared" si="3"/>
        <v>0</v>
      </c>
      <c r="F28" s="21">
        <f t="shared" si="3"/>
        <v>1755360</v>
      </c>
      <c r="G28" s="21">
        <f t="shared" si="3"/>
        <v>2290579.2000000002</v>
      </c>
      <c r="H28" s="21">
        <f t="shared" si="3"/>
        <v>2405108.16</v>
      </c>
      <c r="I28" s="21">
        <f t="shared" si="3"/>
        <v>2525363.5679999995</v>
      </c>
      <c r="J28" s="21">
        <f t="shared" si="3"/>
        <v>2651631.7463999996</v>
      </c>
      <c r="K28" s="21">
        <f t="shared" si="3"/>
        <v>2784213.3337199995</v>
      </c>
      <c r="L28" s="21">
        <f t="shared" si="3"/>
        <v>2923424.0004060003</v>
      </c>
      <c r="M28" s="21">
        <f t="shared" si="3"/>
        <v>3069595.2004263005</v>
      </c>
      <c r="N28" s="21">
        <f t="shared" si="3"/>
        <v>3223074.9604476159</v>
      </c>
    </row>
    <row r="29" spans="1:15" x14ac:dyDescent="0.2"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</row>
    <row r="30" spans="1:15" x14ac:dyDescent="0.2">
      <c r="A30" t="s">
        <v>5</v>
      </c>
      <c r="B30" s="22">
        <v>-58742</v>
      </c>
      <c r="D30" s="22">
        <v>0</v>
      </c>
      <c r="E30" s="22">
        <f>SUM(E$18+E$21)*E31</f>
        <v>0</v>
      </c>
      <c r="F30" s="22">
        <f t="shared" ref="F30:N30" si="4">SUM(F18+F21)*F31</f>
        <v>82800</v>
      </c>
      <c r="G30" s="22">
        <f t="shared" si="4"/>
        <v>110124</v>
      </c>
      <c r="H30" s="22">
        <f t="shared" si="4"/>
        <v>115630.20000000001</v>
      </c>
      <c r="I30" s="22">
        <f t="shared" si="4"/>
        <v>121411.70999999999</v>
      </c>
      <c r="J30" s="22">
        <f t="shared" si="4"/>
        <v>127482.29549999999</v>
      </c>
      <c r="K30" s="22">
        <f t="shared" si="4"/>
        <v>133856.410275</v>
      </c>
      <c r="L30" s="22">
        <f t="shared" si="4"/>
        <v>140549.23078875002</v>
      </c>
      <c r="M30" s="22">
        <f t="shared" si="4"/>
        <v>147576.69232818752</v>
      </c>
      <c r="N30" s="22">
        <f t="shared" si="4"/>
        <v>154955.52694459693</v>
      </c>
    </row>
    <row r="31" spans="1:15" x14ac:dyDescent="0.2">
      <c r="A31" s="27" t="s">
        <v>17</v>
      </c>
      <c r="B31" s="10"/>
      <c r="D31" s="10"/>
      <c r="E31" s="10">
        <v>0.05</v>
      </c>
      <c r="F31" s="10">
        <v>0.05</v>
      </c>
      <c r="G31" s="10">
        <v>0.05</v>
      </c>
      <c r="H31" s="10">
        <v>0.05</v>
      </c>
      <c r="I31" s="10">
        <v>0.05</v>
      </c>
      <c r="J31" s="10">
        <v>0.05</v>
      </c>
      <c r="K31" s="10">
        <v>0.05</v>
      </c>
      <c r="L31" s="10">
        <v>0.05</v>
      </c>
      <c r="M31" s="10">
        <v>0.05</v>
      </c>
      <c r="N31" s="10">
        <v>0.05</v>
      </c>
    </row>
    <row r="32" spans="1:15" x14ac:dyDescent="0.2">
      <c r="A32" s="2"/>
      <c r="B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</row>
    <row r="33" spans="1:14" x14ac:dyDescent="0.2">
      <c r="A33" t="s">
        <v>44</v>
      </c>
      <c r="B33" s="22">
        <v>-27111</v>
      </c>
      <c r="D33" s="22">
        <v>0</v>
      </c>
      <c r="E33" s="22">
        <f t="shared" ref="E33:N33" si="5">SUM(E$18+E$21)*E34</f>
        <v>0</v>
      </c>
      <c r="F33" s="22">
        <f t="shared" si="5"/>
        <v>49680</v>
      </c>
      <c r="G33" s="22">
        <f t="shared" si="5"/>
        <v>66074.399999999994</v>
      </c>
      <c r="H33" s="22">
        <f t="shared" si="5"/>
        <v>69378.12</v>
      </c>
      <c r="I33" s="22">
        <f t="shared" si="5"/>
        <v>72847.025999999983</v>
      </c>
      <c r="J33" s="22">
        <f t="shared" si="5"/>
        <v>76489.377299999993</v>
      </c>
      <c r="K33" s="22">
        <f t="shared" si="5"/>
        <v>80313.846164999981</v>
      </c>
      <c r="L33" s="22">
        <f t="shared" si="5"/>
        <v>84329.53847325001</v>
      </c>
      <c r="M33" s="22">
        <f t="shared" si="5"/>
        <v>88546.015396912509</v>
      </c>
      <c r="N33" s="22">
        <f t="shared" si="5"/>
        <v>92973.316166758159</v>
      </c>
    </row>
    <row r="34" spans="1:14" x14ac:dyDescent="0.2">
      <c r="A34" s="27" t="s">
        <v>19</v>
      </c>
      <c r="B34" s="10"/>
      <c r="D34" s="10"/>
      <c r="E34" s="10">
        <v>0.03</v>
      </c>
      <c r="F34" s="10">
        <v>0.03</v>
      </c>
      <c r="G34" s="10">
        <v>0.03</v>
      </c>
      <c r="H34" s="10">
        <v>0.03</v>
      </c>
      <c r="I34" s="10">
        <v>0.03</v>
      </c>
      <c r="J34" s="10">
        <v>0.03</v>
      </c>
      <c r="K34" s="10">
        <v>0.03</v>
      </c>
      <c r="L34" s="10">
        <v>0.03</v>
      </c>
      <c r="M34" s="10">
        <v>0.03</v>
      </c>
      <c r="N34" s="10">
        <v>0.03</v>
      </c>
    </row>
    <row r="35" spans="1:14" x14ac:dyDescent="0.2">
      <c r="B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</row>
    <row r="36" spans="1:14" x14ac:dyDescent="0.2">
      <c r="A36" t="s">
        <v>6</v>
      </c>
      <c r="B36" s="22">
        <v>-7304</v>
      </c>
      <c r="D36" s="22">
        <v>0</v>
      </c>
      <c r="E36" s="22">
        <f t="shared" ref="E36:N36" si="6">(Units-E22)*E37</f>
        <v>24000</v>
      </c>
      <c r="F36" s="22">
        <f t="shared" si="6"/>
        <v>6120</v>
      </c>
      <c r="G36" s="22">
        <f t="shared" si="6"/>
        <v>1248.48</v>
      </c>
      <c r="H36" s="22">
        <f t="shared" si="6"/>
        <v>1273.4496000000001</v>
      </c>
      <c r="I36" s="22">
        <f t="shared" si="6"/>
        <v>1298.9185920000002</v>
      </c>
      <c r="J36" s="22">
        <f t="shared" si="6"/>
        <v>1324.8969638400004</v>
      </c>
      <c r="K36" s="22">
        <f t="shared" si="6"/>
        <v>1351.3949031168004</v>
      </c>
      <c r="L36" s="22">
        <f t="shared" si="6"/>
        <v>1378.4228011791365</v>
      </c>
      <c r="M36" s="22">
        <f t="shared" si="6"/>
        <v>1405.9912572027192</v>
      </c>
      <c r="N36" s="22">
        <f t="shared" si="6"/>
        <v>1434.1110823467736</v>
      </c>
    </row>
    <row r="37" spans="1:14" x14ac:dyDescent="0.2">
      <c r="A37" s="27" t="s">
        <v>20</v>
      </c>
      <c r="B37" s="7"/>
      <c r="D37" s="7"/>
      <c r="E37" s="7">
        <v>300</v>
      </c>
      <c r="F37" s="7">
        <f t="shared" ref="F37:N37" si="7">E37*(1+CostGrowth)</f>
        <v>306</v>
      </c>
      <c r="G37" s="7">
        <f t="shared" si="7"/>
        <v>312.12</v>
      </c>
      <c r="H37" s="7">
        <f t="shared" si="7"/>
        <v>318.36240000000004</v>
      </c>
      <c r="I37" s="7">
        <f t="shared" si="7"/>
        <v>324.72964800000005</v>
      </c>
      <c r="J37" s="7">
        <f t="shared" si="7"/>
        <v>331.22424096000009</v>
      </c>
      <c r="K37" s="7">
        <f t="shared" si="7"/>
        <v>337.84872577920009</v>
      </c>
      <c r="L37" s="7">
        <f t="shared" si="7"/>
        <v>344.60570029478413</v>
      </c>
      <c r="M37" s="7">
        <f t="shared" si="7"/>
        <v>351.49781430067981</v>
      </c>
      <c r="N37" s="7">
        <f t="shared" si="7"/>
        <v>358.52777058669341</v>
      </c>
    </row>
    <row r="38" spans="1:14" x14ac:dyDescent="0.2">
      <c r="B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</row>
    <row r="39" spans="1:14" x14ac:dyDescent="0.2">
      <c r="A39" t="s">
        <v>34</v>
      </c>
      <c r="B39" s="22">
        <v>-212582</v>
      </c>
      <c r="D39" s="22">
        <v>0</v>
      </c>
      <c r="E39" s="22">
        <f t="shared" ref="E39:N39" si="8">$B$39*(1+CostGrowth^E16)</f>
        <v>-216833.64</v>
      </c>
      <c r="F39" s="22">
        <f t="shared" si="8"/>
        <v>-212667.03279999999</v>
      </c>
      <c r="G39" s="22">
        <f t="shared" si="8"/>
        <v>-212583.700656</v>
      </c>
      <c r="H39" s="22">
        <f t="shared" si="8"/>
        <v>-212582.03401311999</v>
      </c>
      <c r="I39" s="22">
        <f t="shared" si="8"/>
        <v>-212582.0006802624</v>
      </c>
      <c r="J39" s="22">
        <f t="shared" si="8"/>
        <v>-212582.00001360523</v>
      </c>
      <c r="K39" s="22">
        <f t="shared" si="8"/>
        <v>-212582.00000027212</v>
      </c>
      <c r="L39" s="22">
        <f t="shared" si="8"/>
        <v>-212582.00000000544</v>
      </c>
      <c r="M39" s="22">
        <f t="shared" si="8"/>
        <v>-212582.00000000009</v>
      </c>
      <c r="N39" s="22">
        <f t="shared" si="8"/>
        <v>-212582</v>
      </c>
    </row>
    <row r="40" spans="1:14" x14ac:dyDescent="0.2">
      <c r="A40" t="s">
        <v>7</v>
      </c>
      <c r="B40" s="22">
        <v>-160665</v>
      </c>
      <c r="D40" s="22">
        <v>0</v>
      </c>
      <c r="E40" s="22">
        <f>-E41*E42</f>
        <v>-255103.91666666672</v>
      </c>
      <c r="F40" s="22">
        <f t="shared" ref="F40:N40" si="9">-F41*F42</f>
        <v>-260205.99500000005</v>
      </c>
      <c r="G40" s="22">
        <f t="shared" si="9"/>
        <v>-265410.1149000001</v>
      </c>
      <c r="H40" s="22">
        <f t="shared" si="9"/>
        <v>-270718.31719800009</v>
      </c>
      <c r="I40" s="22">
        <f t="shared" si="9"/>
        <v>-276132.68354196008</v>
      </c>
      <c r="J40" s="22">
        <f t="shared" si="9"/>
        <v>-281655.33721279929</v>
      </c>
      <c r="K40" s="22">
        <f t="shared" si="9"/>
        <v>-287288.44395705522</v>
      </c>
      <c r="L40" s="22">
        <f t="shared" si="9"/>
        <v>-293034.21283619636</v>
      </c>
      <c r="M40" s="22">
        <f t="shared" si="9"/>
        <v>-298894.89709292026</v>
      </c>
      <c r="N40" s="22">
        <f t="shared" si="9"/>
        <v>-304872.79503477871</v>
      </c>
    </row>
    <row r="41" spans="1:14" x14ac:dyDescent="0.2">
      <c r="A41" s="27" t="s">
        <v>14</v>
      </c>
      <c r="B41" s="10"/>
      <c r="D41" s="10"/>
      <c r="E41" s="10">
        <v>3.5000000000000003E-2</v>
      </c>
      <c r="F41" s="10">
        <v>3.5000000000000003E-2</v>
      </c>
      <c r="G41" s="10">
        <v>3.5000000000000003E-2</v>
      </c>
      <c r="H41" s="10">
        <v>3.5000000000000003E-2</v>
      </c>
      <c r="I41" s="10">
        <v>3.5000000000000003E-2</v>
      </c>
      <c r="J41" s="10">
        <v>3.5000000000000003E-2</v>
      </c>
      <c r="K41" s="10">
        <v>3.5000000000000003E-2</v>
      </c>
      <c r="L41" s="10">
        <v>3.5000000000000003E-2</v>
      </c>
      <c r="M41" s="10">
        <v>3.5000000000000003E-2</v>
      </c>
      <c r="N41" s="10">
        <v>3.5000000000000003E-2</v>
      </c>
    </row>
    <row r="42" spans="1:14" x14ac:dyDescent="0.2">
      <c r="A42" s="27" t="s">
        <v>15</v>
      </c>
      <c r="B42" s="7"/>
      <c r="D42" s="7"/>
      <c r="E42" s="7">
        <f>-D48</f>
        <v>7288683.333333334</v>
      </c>
      <c r="F42" s="7">
        <f t="shared" ref="F42:N42" si="10">E42*(1+CostGrowth)</f>
        <v>7434457.0000000009</v>
      </c>
      <c r="G42" s="7">
        <f t="shared" si="10"/>
        <v>7583146.1400000015</v>
      </c>
      <c r="H42" s="7">
        <f t="shared" si="10"/>
        <v>7734809.0628000014</v>
      </c>
      <c r="I42" s="7">
        <f t="shared" si="10"/>
        <v>7889505.2440560013</v>
      </c>
      <c r="J42" s="7">
        <f t="shared" si="10"/>
        <v>8047295.3489371212</v>
      </c>
      <c r="K42" s="7">
        <f t="shared" si="10"/>
        <v>8208241.2559158634</v>
      </c>
      <c r="L42" s="7">
        <f t="shared" si="10"/>
        <v>8372406.0810341807</v>
      </c>
      <c r="M42" s="7">
        <f t="shared" si="10"/>
        <v>8539854.2026548646</v>
      </c>
      <c r="N42" s="7">
        <f t="shared" si="10"/>
        <v>8710651.2867079619</v>
      </c>
    </row>
    <row r="43" spans="1:14" x14ac:dyDescent="0.2">
      <c r="A43" s="2"/>
      <c r="B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</row>
    <row r="44" spans="1:14" x14ac:dyDescent="0.2">
      <c r="A44" s="3" t="s">
        <v>8</v>
      </c>
      <c r="B44" s="25">
        <f>SUM(B30,B33,B36,B39,B40)</f>
        <v>-466404</v>
      </c>
      <c r="C44" s="25">
        <f t="shared" ref="C44:N44" si="11">SUM(C30,C33,C36,C39,C40)</f>
        <v>0</v>
      </c>
      <c r="D44" s="25">
        <f t="shared" si="11"/>
        <v>0</v>
      </c>
      <c r="E44" s="25">
        <f t="shared" si="11"/>
        <v>-447937.55666666676</v>
      </c>
      <c r="F44" s="25">
        <f t="shared" si="11"/>
        <v>-334273.02780000004</v>
      </c>
      <c r="G44" s="25">
        <f t="shared" si="11"/>
        <v>-300546.9355560001</v>
      </c>
      <c r="H44" s="25">
        <f t="shared" si="11"/>
        <v>-297018.58161112008</v>
      </c>
      <c r="I44" s="25">
        <f t="shared" si="11"/>
        <v>-293157.02963022247</v>
      </c>
      <c r="J44" s="25">
        <f t="shared" si="11"/>
        <v>-288940.76746256452</v>
      </c>
      <c r="K44" s="25">
        <f t="shared" si="11"/>
        <v>-284348.79261421057</v>
      </c>
      <c r="L44" s="25">
        <f t="shared" si="11"/>
        <v>-279359.02077302261</v>
      </c>
      <c r="M44" s="25">
        <f t="shared" si="11"/>
        <v>-273948.19811061758</v>
      </c>
      <c r="N44" s="25">
        <f t="shared" si="11"/>
        <v>-268091.84084107686</v>
      </c>
    </row>
    <row r="45" spans="1:14" x14ac:dyDescent="0.2"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</row>
    <row r="46" spans="1:14" x14ac:dyDescent="0.2">
      <c r="A46" s="3" t="s">
        <v>9</v>
      </c>
      <c r="B46" s="21">
        <f>SUM(B28,B44)</f>
        <v>437321</v>
      </c>
      <c r="C46" s="21">
        <f t="shared" ref="C46:N46" si="12">SUM(C28,C44)</f>
        <v>0</v>
      </c>
      <c r="D46" s="21">
        <f t="shared" si="12"/>
        <v>0</v>
      </c>
      <c r="E46" s="21">
        <f t="shared" si="12"/>
        <v>-447937.55666666676</v>
      </c>
      <c r="F46" s="21">
        <f t="shared" si="12"/>
        <v>1421086.9722</v>
      </c>
      <c r="G46" s="21">
        <f t="shared" si="12"/>
        <v>1990032.2644440001</v>
      </c>
      <c r="H46" s="21">
        <f t="shared" si="12"/>
        <v>2108089.57838888</v>
      </c>
      <c r="I46" s="21">
        <f t="shared" si="12"/>
        <v>2232206.5383697771</v>
      </c>
      <c r="J46" s="21">
        <f t="shared" si="12"/>
        <v>2362690.978937435</v>
      </c>
      <c r="K46" s="21">
        <f t="shared" si="12"/>
        <v>2499864.5411057891</v>
      </c>
      <c r="L46" s="21">
        <f t="shared" si="12"/>
        <v>2644064.9796329779</v>
      </c>
      <c r="M46" s="21">
        <f t="shared" si="12"/>
        <v>2795647.0023156828</v>
      </c>
      <c r="N46" s="21">
        <f t="shared" si="12"/>
        <v>2954983.1196065391</v>
      </c>
    </row>
    <row r="47" spans="1:14" x14ac:dyDescent="0.2"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</row>
    <row r="48" spans="1:14" x14ac:dyDescent="0.2">
      <c r="A48" t="s">
        <v>43</v>
      </c>
      <c r="B48" s="22">
        <v>-1000</v>
      </c>
      <c r="D48" s="22">
        <f>-PurchasePrice</f>
        <v>-7288683.333333334</v>
      </c>
      <c r="E48" s="22">
        <f>IF($F$6=E16,$F$8,0)</f>
        <v>0</v>
      </c>
      <c r="F48" s="22">
        <f t="shared" ref="F48:N48" si="13">IF($F$6=F16,$F$8,0)</f>
        <v>0</v>
      </c>
      <c r="G48" s="22">
        <f t="shared" si="13"/>
        <v>0</v>
      </c>
      <c r="H48" s="22">
        <f t="shared" si="13"/>
        <v>0</v>
      </c>
      <c r="I48" s="22">
        <f t="shared" si="13"/>
        <v>0</v>
      </c>
      <c r="J48" s="22">
        <f t="shared" si="13"/>
        <v>0</v>
      </c>
      <c r="K48" s="22">
        <f t="shared" si="13"/>
        <v>0</v>
      </c>
      <c r="L48" s="22">
        <f t="shared" si="13"/>
        <v>0</v>
      </c>
      <c r="M48" s="22">
        <f t="shared" si="13"/>
        <v>0</v>
      </c>
      <c r="N48" s="22">
        <f t="shared" si="13"/>
        <v>49249718.660108991</v>
      </c>
    </row>
    <row r="49" spans="1:14" x14ac:dyDescent="0.2">
      <c r="A49" t="s">
        <v>10</v>
      </c>
      <c r="B49" s="22">
        <v>-20182</v>
      </c>
      <c r="D49" s="22">
        <v>0</v>
      </c>
      <c r="E49" s="22">
        <f>Units*-25000</f>
        <v>-2000000</v>
      </c>
      <c r="F49" s="22">
        <v>0</v>
      </c>
      <c r="G49" s="22">
        <v>0</v>
      </c>
      <c r="H49" s="22">
        <v>0</v>
      </c>
      <c r="I49" s="22">
        <v>0</v>
      </c>
      <c r="J49" s="22">
        <v>0</v>
      </c>
      <c r="K49" s="22">
        <v>0</v>
      </c>
      <c r="L49" s="22">
        <v>0</v>
      </c>
      <c r="M49" s="22">
        <v>0</v>
      </c>
      <c r="N49" s="22">
        <v>0</v>
      </c>
    </row>
    <row r="50" spans="1:14" x14ac:dyDescent="0.2">
      <c r="B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</row>
    <row r="51" spans="1:14" x14ac:dyDescent="0.2">
      <c r="A51" s="3" t="s">
        <v>11</v>
      </c>
      <c r="B51" s="21">
        <f>SUM(B48:B49)</f>
        <v>-21182</v>
      </c>
      <c r="C51" s="21">
        <f t="shared" ref="C51:N51" si="14">SUM(C48:C49)</f>
        <v>0</v>
      </c>
      <c r="D51" s="21">
        <f t="shared" si="14"/>
        <v>-7288683.333333334</v>
      </c>
      <c r="E51" s="21">
        <f t="shared" si="14"/>
        <v>-2000000</v>
      </c>
      <c r="F51" s="21">
        <f t="shared" si="14"/>
        <v>0</v>
      </c>
      <c r="G51" s="21">
        <f t="shared" si="14"/>
        <v>0</v>
      </c>
      <c r="H51" s="21">
        <f t="shared" si="14"/>
        <v>0</v>
      </c>
      <c r="I51" s="21">
        <f t="shared" si="14"/>
        <v>0</v>
      </c>
      <c r="J51" s="21">
        <f t="shared" si="14"/>
        <v>0</v>
      </c>
      <c r="K51" s="21">
        <f t="shared" si="14"/>
        <v>0</v>
      </c>
      <c r="L51" s="21">
        <f t="shared" si="14"/>
        <v>0</v>
      </c>
      <c r="M51" s="21">
        <f t="shared" si="14"/>
        <v>0</v>
      </c>
      <c r="N51" s="21">
        <f t="shared" si="14"/>
        <v>49249718.660108991</v>
      </c>
    </row>
    <row r="52" spans="1:14" x14ac:dyDescent="0.2"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</row>
    <row r="53" spans="1:14" x14ac:dyDescent="0.2">
      <c r="A53" s="3" t="s">
        <v>21</v>
      </c>
      <c r="B53" s="21">
        <f>SUM(B46,B51)</f>
        <v>416139</v>
      </c>
      <c r="C53" s="21">
        <f t="shared" ref="C53:N53" si="15">SUM(C46,C51)</f>
        <v>0</v>
      </c>
      <c r="D53" s="21">
        <f t="shared" si="15"/>
        <v>-7288683.333333334</v>
      </c>
      <c r="E53" s="21">
        <f t="shared" si="15"/>
        <v>-2447937.5566666666</v>
      </c>
      <c r="F53" s="21">
        <f t="shared" si="15"/>
        <v>1421086.9722</v>
      </c>
      <c r="G53" s="21">
        <f t="shared" si="15"/>
        <v>1990032.2644440001</v>
      </c>
      <c r="H53" s="21">
        <f t="shared" si="15"/>
        <v>2108089.57838888</v>
      </c>
      <c r="I53" s="21">
        <f t="shared" si="15"/>
        <v>2232206.5383697771</v>
      </c>
      <c r="J53" s="21">
        <f t="shared" si="15"/>
        <v>2362690.978937435</v>
      </c>
      <c r="K53" s="21">
        <f t="shared" si="15"/>
        <v>2499864.5411057891</v>
      </c>
      <c r="L53" s="21">
        <f t="shared" si="15"/>
        <v>2644064.9796329779</v>
      </c>
      <c r="M53" s="21">
        <f t="shared" si="15"/>
        <v>2795647.0023156828</v>
      </c>
      <c r="N53" s="21">
        <f t="shared" si="15"/>
        <v>52204701.779715531</v>
      </c>
    </row>
    <row r="57" spans="1:14" x14ac:dyDescent="0.2">
      <c r="B57" s="11"/>
      <c r="C57" s="35"/>
      <c r="N57" s="11"/>
    </row>
  </sheetData>
  <phoneticPr fontId="9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7</vt:i4>
      </vt:variant>
    </vt:vector>
  </HeadingPairs>
  <TitlesOfParts>
    <vt:vector size="8" baseType="lpstr">
      <vt:lpstr>Analysis</vt:lpstr>
      <vt:lpstr>AcquisitionCapRate</vt:lpstr>
      <vt:lpstr>Cost_Growth</vt:lpstr>
      <vt:lpstr>CostGrowth</vt:lpstr>
      <vt:lpstr>Holding_Period</vt:lpstr>
      <vt:lpstr>PurchasePrice</vt:lpstr>
      <vt:lpstr>Rent_Growth</vt:lpstr>
      <vt:lpstr>Units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Edwards</dc:creator>
  <cp:lastModifiedBy>Костянтин Восковцов</cp:lastModifiedBy>
  <dcterms:created xsi:type="dcterms:W3CDTF">2023-09-18T02:06:14Z</dcterms:created>
  <dcterms:modified xsi:type="dcterms:W3CDTF">2024-12-08T10:27:11Z</dcterms:modified>
</cp:coreProperties>
</file>