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iMacSATA/G Drive/apps/RobotParlor/"/>
    </mc:Choice>
  </mc:AlternateContent>
  <xr:revisionPtr revIDLastSave="0" documentId="13_ncr:1_{2AD912BF-FD27-6F4C-97FF-CBA8D0EECC53}" xr6:coauthVersionLast="36" xr6:coauthVersionMax="36" xr10:uidLastSave="{00000000-0000-0000-0000-000000000000}"/>
  <bookViews>
    <workbookView xWindow="8240" yWindow="1540" windowWidth="30160" windowHeight="19360" tabRatio="712" xr2:uid="{00000000-000D-0000-FFFF-FFFF00000000}"/>
  </bookViews>
  <sheets>
    <sheet name="Contents" sheetId="9" r:id="rId1"/>
    <sheet name="Data" sheetId="11" r:id="rId2"/>
    <sheet name="Results" sheetId="10" r:id="rId3"/>
    <sheet name="Sensitivity" sheetId="4" r:id="rId4"/>
    <sheet name="Cashflow" sheetId="1" r:id="rId5"/>
    <sheet name="Revenue Cost" sheetId="5" r:id="rId6"/>
    <sheet name="Debt" sheetId="2" r:id="rId7"/>
    <sheet name="Depreciation" sheetId="3" r:id="rId8"/>
    <sheet name="Warning Criteria" sheetId="8" r:id="rId9"/>
    <sheet name="About" sheetId="12" r:id="rId10"/>
  </sheets>
  <definedNames>
    <definedName name="_xlnm._FilterDatabase" localSheetId="1" hidden="1">Data!$H$13:$I$14</definedName>
    <definedName name="Additional_repair_cost">Sensitivity!$C$199:$G$216</definedName>
    <definedName name="Lifespan">Sensitivity!$C$109:$G$126</definedName>
    <definedName name="projected_milk_production">Sensitivity!$C$49:$G$65</definedName>
    <definedName name="Projected_milking_chore_labor">Sensitivity!$C$79:$G$96</definedName>
    <definedName name="SensitivityTableData" localSheetId="3">OFFSET(Sensitivity!$C$13,0,0,COUNTIF(Sensitivity!$C$13:$C$24,"&lt;&gt;#N/A"),1)</definedName>
    <definedName name="SensitivityTableParlor">OFFSET('Warning Criteria'!$D$31,0,0,COUNTIF(Sensitivity!$C$13:$C$24,"&lt;&gt;#N/A"),1)</definedName>
    <definedName name="SensitivityTableX" localSheetId="3">OFFSET(Sensitivity!$B$13,0,0,COUNTIF(Sensitivity!$B$13:$B$24,"&lt;&gt;#N/A"),1)</definedName>
    <definedName name="Total_barn_cost">Sensitivity!$C$169:$G$186</definedName>
    <definedName name="Total_cost_of_milking_system">Sensitivity!$C$139:$G$156</definedName>
  </definedName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2" i="4" l="1"/>
  <c r="E201" i="4"/>
  <c r="H11" i="5" s="1"/>
  <c r="I16" i="11"/>
  <c r="C14" i="5"/>
  <c r="D14" i="5"/>
  <c r="C13" i="5"/>
  <c r="D13" i="5"/>
  <c r="G11" i="5"/>
  <c r="I11" i="5"/>
  <c r="G12" i="5"/>
  <c r="H12" i="5"/>
  <c r="I12" i="5"/>
  <c r="J13" i="11"/>
  <c r="J11" i="5" s="1"/>
  <c r="J14" i="11"/>
  <c r="J12" i="5" s="1"/>
  <c r="J42" i="8" l="1"/>
  <c r="D16" i="8" s="1"/>
  <c r="E111" i="4"/>
  <c r="J12" i="11" s="1"/>
  <c r="J10" i="5" s="1"/>
  <c r="H21" i="11"/>
  <c r="C12" i="2" s="1"/>
  <c r="D8" i="5"/>
  <c r="I15" i="5"/>
  <c r="D10" i="5"/>
  <c r="D9" i="5"/>
  <c r="D27" i="5"/>
  <c r="I16" i="5"/>
  <c r="I17" i="5"/>
  <c r="D36" i="5"/>
  <c r="D31" i="5"/>
  <c r="I21" i="11"/>
  <c r="D11" i="5"/>
  <c r="I14" i="5"/>
  <c r="D19" i="5"/>
  <c r="D32" i="5"/>
  <c r="I15" i="11"/>
  <c r="I13" i="5" s="1"/>
  <c r="D33" i="5"/>
  <c r="I10" i="5"/>
  <c r="D34" i="5"/>
  <c r="I8" i="5"/>
  <c r="I9" i="5"/>
  <c r="D18" i="5"/>
  <c r="I18" i="5"/>
  <c r="I25" i="5" s="1"/>
  <c r="D12" i="5"/>
  <c r="H24" i="5" s="1"/>
  <c r="I11" i="2"/>
  <c r="I8" i="2"/>
  <c r="I7" i="2"/>
  <c r="I6" i="2"/>
  <c r="K8" i="2"/>
  <c r="K7" i="2"/>
  <c r="K6" i="2"/>
  <c r="G9" i="3"/>
  <c r="H9" i="3"/>
  <c r="D15" i="5"/>
  <c r="D41" i="5"/>
  <c r="D44" i="5"/>
  <c r="D42" i="5"/>
  <c r="D43" i="5"/>
  <c r="D45" i="5"/>
  <c r="D46" i="5"/>
  <c r="D47" i="5"/>
  <c r="AC8" i="1"/>
  <c r="G10" i="3"/>
  <c r="H10" i="3"/>
  <c r="AC9" i="1"/>
  <c r="G11" i="3"/>
  <c r="H11" i="3"/>
  <c r="AC10" i="1"/>
  <c r="G12" i="3"/>
  <c r="H12" i="3"/>
  <c r="AC11" i="1"/>
  <c r="G13" i="3"/>
  <c r="H13" i="3"/>
  <c r="AC12" i="1"/>
  <c r="G14" i="3"/>
  <c r="H14" i="3"/>
  <c r="AC13" i="1"/>
  <c r="G15" i="3"/>
  <c r="H15" i="3"/>
  <c r="AC14" i="1"/>
  <c r="G16" i="3"/>
  <c r="H16" i="3"/>
  <c r="AC15" i="1"/>
  <c r="G17" i="3"/>
  <c r="H17" i="3"/>
  <c r="AC16" i="1"/>
  <c r="G18" i="3"/>
  <c r="H18" i="3"/>
  <c r="AC17" i="1"/>
  <c r="G19" i="3"/>
  <c r="H19" i="3"/>
  <c r="AC18" i="1"/>
  <c r="G20" i="3"/>
  <c r="H20" i="3"/>
  <c r="AC19" i="1"/>
  <c r="G21" i="3"/>
  <c r="H21" i="3"/>
  <c r="AC20" i="1"/>
  <c r="G22" i="3"/>
  <c r="H22" i="3"/>
  <c r="AC21" i="1"/>
  <c r="G23" i="3"/>
  <c r="H23" i="3"/>
  <c r="AC22" i="1"/>
  <c r="H24" i="3"/>
  <c r="AC23" i="1"/>
  <c r="H25" i="3"/>
  <c r="AC24" i="1"/>
  <c r="H26" i="3"/>
  <c r="AC25" i="1"/>
  <c r="H27" i="3"/>
  <c r="AC26" i="1"/>
  <c r="H28" i="3"/>
  <c r="AC27" i="1"/>
  <c r="H29" i="3"/>
  <c r="AC28" i="1"/>
  <c r="H30" i="3"/>
  <c r="AC29" i="1"/>
  <c r="H31" i="3"/>
  <c r="AC30" i="1"/>
  <c r="H32" i="3"/>
  <c r="AC31" i="1"/>
  <c r="H33" i="3"/>
  <c r="AC32" i="1"/>
  <c r="H34" i="3"/>
  <c r="AC33" i="1"/>
  <c r="H35" i="3"/>
  <c r="AC34" i="1"/>
  <c r="H36" i="3"/>
  <c r="AC35" i="1"/>
  <c r="H37" i="3"/>
  <c r="AC36" i="1"/>
  <c r="H38" i="3"/>
  <c r="Y37" i="1"/>
  <c r="AC37" i="1"/>
  <c r="I23" i="11"/>
  <c r="AC7" i="1"/>
  <c r="AE7" i="1" s="1"/>
  <c r="E141" i="4"/>
  <c r="E171" i="4"/>
  <c r="H9" i="5" s="1"/>
  <c r="E81" i="4"/>
  <c r="H14" i="5" s="1"/>
  <c r="L38" i="3"/>
  <c r="D38" i="3"/>
  <c r="L37" i="3"/>
  <c r="D37" i="3"/>
  <c r="L36" i="3"/>
  <c r="D36" i="3"/>
  <c r="L35" i="3"/>
  <c r="D35" i="3"/>
  <c r="L34" i="3"/>
  <c r="D34" i="3"/>
  <c r="L33" i="3"/>
  <c r="D33" i="3"/>
  <c r="L32" i="3"/>
  <c r="D32" i="3"/>
  <c r="L31" i="3"/>
  <c r="D31" i="3"/>
  <c r="L30" i="3"/>
  <c r="D30" i="3"/>
  <c r="L29" i="3"/>
  <c r="D29" i="3"/>
  <c r="L28" i="3"/>
  <c r="D28" i="3"/>
  <c r="L27" i="3"/>
  <c r="D27" i="3"/>
  <c r="L26" i="3"/>
  <c r="D26" i="3"/>
  <c r="L25" i="3"/>
  <c r="D25" i="3"/>
  <c r="L24" i="3"/>
  <c r="D24" i="3"/>
  <c r="D23" i="3"/>
  <c r="D22" i="3"/>
  <c r="D21" i="3"/>
  <c r="D20" i="3"/>
  <c r="D19" i="3"/>
  <c r="L37" i="1"/>
  <c r="E51" i="4"/>
  <c r="H15" i="5" s="1"/>
  <c r="H18" i="5"/>
  <c r="H25" i="5" s="1"/>
  <c r="H16" i="5"/>
  <c r="H17" i="5"/>
  <c r="C46" i="5"/>
  <c r="C47" i="5"/>
  <c r="C40" i="5"/>
  <c r="C41" i="5"/>
  <c r="C42" i="5"/>
  <c r="C43" i="5"/>
  <c r="C44" i="5"/>
  <c r="C45" i="5"/>
  <c r="H15" i="11"/>
  <c r="H13" i="5" s="1"/>
  <c r="G13" i="5"/>
  <c r="C8" i="2"/>
  <c r="C7" i="2"/>
  <c r="E8" i="2"/>
  <c r="E36" i="2" s="1"/>
  <c r="E7" i="2"/>
  <c r="C10" i="2"/>
  <c r="C15" i="5"/>
  <c r="C12" i="5"/>
  <c r="G17" i="5"/>
  <c r="J19" i="11"/>
  <c r="J17" i="5" s="1"/>
  <c r="C10" i="5"/>
  <c r="S10" i="3"/>
  <c r="S11" i="3"/>
  <c r="B53" i="10"/>
  <c r="B47" i="10"/>
  <c r="G18" i="5"/>
  <c r="G19" i="5"/>
  <c r="G20" i="5"/>
  <c r="G21" i="5"/>
  <c r="G16" i="5"/>
  <c r="G14" i="5"/>
  <c r="G15" i="5"/>
  <c r="G8" i="5"/>
  <c r="G9" i="5"/>
  <c r="G10" i="5"/>
  <c r="C32" i="5"/>
  <c r="C33" i="5"/>
  <c r="C34" i="5"/>
  <c r="C35" i="5"/>
  <c r="C25" i="5"/>
  <c r="C26" i="5"/>
  <c r="C27" i="5"/>
  <c r="C28" i="5"/>
  <c r="C36" i="5"/>
  <c r="C31" i="5"/>
  <c r="D30" i="5"/>
  <c r="D35" i="5"/>
  <c r="D25" i="5"/>
  <c r="D26" i="5"/>
  <c r="D28" i="5"/>
  <c r="C8" i="5"/>
  <c r="C11" i="5"/>
  <c r="C9" i="5"/>
  <c r="C18" i="5"/>
  <c r="C19" i="5"/>
  <c r="C21" i="5"/>
  <c r="C22" i="5"/>
  <c r="C23" i="5"/>
  <c r="C24" i="5"/>
  <c r="C20" i="5"/>
  <c r="D21" i="5"/>
  <c r="E62" i="4"/>
  <c r="E63" i="4"/>
  <c r="B24" i="4"/>
  <c r="E61" i="4"/>
  <c r="B23" i="4"/>
  <c r="E60" i="4"/>
  <c r="B22" i="4"/>
  <c r="E59" i="4"/>
  <c r="B21" i="4"/>
  <c r="E58" i="4"/>
  <c r="B20" i="4"/>
  <c r="E57" i="4"/>
  <c r="B19" i="4"/>
  <c r="E56" i="4"/>
  <c r="B18" i="4"/>
  <c r="E55" i="4"/>
  <c r="B17" i="4"/>
  <c r="E54" i="4"/>
  <c r="B16" i="4"/>
  <c r="E53" i="4"/>
  <c r="B15" i="4"/>
  <c r="E52" i="4"/>
  <c r="B14" i="4"/>
  <c r="C24" i="4"/>
  <c r="C23" i="4"/>
  <c r="C22" i="4"/>
  <c r="C21" i="4"/>
  <c r="C20" i="4"/>
  <c r="C19" i="4"/>
  <c r="C18" i="4"/>
  <c r="C17" i="4"/>
  <c r="C16" i="4"/>
  <c r="C15" i="4"/>
  <c r="C14" i="4"/>
  <c r="C13" i="4"/>
  <c r="G10" i="4"/>
  <c r="B13" i="4"/>
  <c r="C11" i="4"/>
  <c r="B11" i="4"/>
  <c r="B12" i="4"/>
  <c r="H10" i="4"/>
  <c r="J20" i="11"/>
  <c r="J18" i="5" s="1"/>
  <c r="J18" i="11"/>
  <c r="J16" i="5" s="1"/>
  <c r="R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9" i="3"/>
  <c r="E113" i="4"/>
  <c r="E114" i="4"/>
  <c r="E115" i="4"/>
  <c r="E116" i="4"/>
  <c r="E117" i="4"/>
  <c r="E118" i="4"/>
  <c r="E119" i="4"/>
  <c r="E120" i="4"/>
  <c r="E112" i="4"/>
  <c r="D20" i="5"/>
  <c r="D22" i="5"/>
  <c r="D23" i="5"/>
  <c r="D24" i="5"/>
  <c r="K10" i="2"/>
  <c r="I10" i="2"/>
  <c r="E10" i="2"/>
  <c r="E90" i="4" l="1"/>
  <c r="E86" i="4"/>
  <c r="E149" i="4"/>
  <c r="E145" i="4"/>
  <c r="E182" i="4"/>
  <c r="E178" i="4"/>
  <c r="E174" i="4"/>
  <c r="E206" i="4"/>
  <c r="C16" i="8"/>
  <c r="C22" i="8" s="1"/>
  <c r="D18" i="8"/>
  <c r="J40" i="11" s="1"/>
  <c r="E89" i="4"/>
  <c r="E85" i="4"/>
  <c r="E142" i="4"/>
  <c r="E148" i="4"/>
  <c r="E144" i="4"/>
  <c r="E181" i="4"/>
  <c r="E177" i="4"/>
  <c r="E173" i="4"/>
  <c r="E203" i="4"/>
  <c r="E207" i="4"/>
  <c r="C17" i="8"/>
  <c r="D22" i="8" s="1"/>
  <c r="E82" i="4"/>
  <c r="E88" i="4"/>
  <c r="E84" i="4"/>
  <c r="E151" i="4"/>
  <c r="E147" i="4"/>
  <c r="E143" i="4"/>
  <c r="E180" i="4"/>
  <c r="E176" i="4"/>
  <c r="E183" i="4"/>
  <c r="E204" i="4"/>
  <c r="E208" i="4"/>
  <c r="E18" i="8"/>
  <c r="E24" i="8" s="1"/>
  <c r="E91" i="4"/>
  <c r="E87" i="4"/>
  <c r="E83" i="4"/>
  <c r="E150" i="4"/>
  <c r="E146" i="4"/>
  <c r="E172" i="4"/>
  <c r="E179" i="4"/>
  <c r="E175" i="4"/>
  <c r="E205" i="4"/>
  <c r="E17" i="8"/>
  <c r="D24" i="8" s="1"/>
  <c r="D17" i="8"/>
  <c r="J39" i="11" s="1"/>
  <c r="H19" i="5"/>
  <c r="AD7" i="1"/>
  <c r="AF7" i="1"/>
  <c r="X11" i="1"/>
  <c r="I32" i="5"/>
  <c r="K32" i="2"/>
  <c r="E43" i="2"/>
  <c r="E38" i="2"/>
  <c r="F44" i="2"/>
  <c r="F39" i="2"/>
  <c r="C23" i="8"/>
  <c r="J38" i="11"/>
  <c r="I38" i="11" s="1"/>
  <c r="G17" i="10" s="1"/>
  <c r="F43" i="2"/>
  <c r="F37" i="2"/>
  <c r="E42" i="2"/>
  <c r="E37" i="2"/>
  <c r="I24" i="5"/>
  <c r="J24" i="5" s="1"/>
  <c r="F41" i="2"/>
  <c r="F36" i="2"/>
  <c r="E41" i="2"/>
  <c r="C18" i="8"/>
  <c r="E22" i="8" s="1"/>
  <c r="E16" i="8"/>
  <c r="C24" i="8" s="1"/>
  <c r="F45" i="2"/>
  <c r="F40" i="2"/>
  <c r="E45" i="2"/>
  <c r="E39" i="2"/>
  <c r="H10" i="5"/>
  <c r="H27" i="1" s="1"/>
  <c r="K35" i="2"/>
  <c r="X20" i="1"/>
  <c r="I31" i="5"/>
  <c r="X17" i="1"/>
  <c r="H42" i="5"/>
  <c r="D38" i="5"/>
  <c r="I41" i="5"/>
  <c r="J17" i="11"/>
  <c r="J15" i="5" s="1"/>
  <c r="K45" i="2"/>
  <c r="K44" i="2"/>
  <c r="K43" i="2"/>
  <c r="K42" i="2"/>
  <c r="K41" i="2"/>
  <c r="K40" i="2"/>
  <c r="K39" i="2"/>
  <c r="K38" i="2"/>
  <c r="K37" i="2"/>
  <c r="K36" i="2"/>
  <c r="X19" i="1"/>
  <c r="X18" i="1"/>
  <c r="X12" i="1"/>
  <c r="H43" i="5"/>
  <c r="X8" i="1"/>
  <c r="D23" i="8"/>
  <c r="L45" i="2"/>
  <c r="K31" i="2"/>
  <c r="K30" i="2"/>
  <c r="K29" i="2"/>
  <c r="K28" i="2"/>
  <c r="K27" i="2"/>
  <c r="X9" i="1"/>
  <c r="K21" i="2"/>
  <c r="I9" i="2"/>
  <c r="I21" i="5"/>
  <c r="F42" i="2"/>
  <c r="F38" i="2"/>
  <c r="E44" i="2"/>
  <c r="E40" i="2"/>
  <c r="H31" i="5"/>
  <c r="L44" i="2"/>
  <c r="L43" i="2"/>
  <c r="L42" i="2"/>
  <c r="L41" i="2"/>
  <c r="L40" i="2"/>
  <c r="L39" i="2"/>
  <c r="L38" i="2"/>
  <c r="L37" i="2"/>
  <c r="L36" i="2"/>
  <c r="X10" i="1"/>
  <c r="I36" i="5"/>
  <c r="K20" i="2"/>
  <c r="K18" i="2"/>
  <c r="J15" i="11"/>
  <c r="J13" i="5" s="1"/>
  <c r="H36" i="5"/>
  <c r="K33" i="2"/>
  <c r="K26" i="2"/>
  <c r="X16" i="1"/>
  <c r="X15" i="1"/>
  <c r="X14" i="1"/>
  <c r="X13" i="1"/>
  <c r="I38" i="5"/>
  <c r="H22" i="11"/>
  <c r="J11" i="11"/>
  <c r="J9" i="5" s="1"/>
  <c r="K34" i="2"/>
  <c r="X21" i="1"/>
  <c r="K25" i="2"/>
  <c r="K24" i="2"/>
  <c r="K23" i="2"/>
  <c r="K22" i="2"/>
  <c r="H39" i="5"/>
  <c r="I39" i="5"/>
  <c r="H41" i="5"/>
  <c r="I42" i="5"/>
  <c r="H38" i="5"/>
  <c r="I43" i="5"/>
  <c r="D12" i="3"/>
  <c r="L17" i="3"/>
  <c r="L9" i="3"/>
  <c r="D16" i="3"/>
  <c r="L19" i="3"/>
  <c r="L13" i="3"/>
  <c r="J16" i="11"/>
  <c r="J14" i="5" s="1"/>
  <c r="H32" i="5"/>
  <c r="H40" i="5" s="1"/>
  <c r="I22" i="11"/>
  <c r="Y14" i="1"/>
  <c r="Y16" i="1"/>
  <c r="Y18" i="1"/>
  <c r="Y20" i="1"/>
  <c r="Y22" i="1"/>
  <c r="Y9" i="1"/>
  <c r="Y19" i="1"/>
  <c r="G25" i="3"/>
  <c r="X24" i="1" s="1"/>
  <c r="G27" i="3"/>
  <c r="X26" i="1" s="1"/>
  <c r="Y13" i="1"/>
  <c r="I12" i="2"/>
  <c r="Y8" i="1"/>
  <c r="Y15" i="1"/>
  <c r="Y21" i="1"/>
  <c r="G24" i="3"/>
  <c r="X23" i="1" s="1"/>
  <c r="G26" i="3"/>
  <c r="X25" i="1" s="1"/>
  <c r="G28" i="3"/>
  <c r="X27" i="1" s="1"/>
  <c r="G30" i="3"/>
  <c r="X29" i="1" s="1"/>
  <c r="G32" i="3"/>
  <c r="X31" i="1" s="1"/>
  <c r="G34" i="3"/>
  <c r="X33" i="1" s="1"/>
  <c r="G36" i="3"/>
  <c r="X35" i="1" s="1"/>
  <c r="G38" i="3"/>
  <c r="X37" i="1" s="1"/>
  <c r="Y10" i="1"/>
  <c r="Y11" i="1"/>
  <c r="Y28" i="1"/>
  <c r="Y30" i="1"/>
  <c r="Y32" i="1"/>
  <c r="Y34" i="1"/>
  <c r="Y36" i="1"/>
  <c r="Y12" i="1"/>
  <c r="Y23" i="1"/>
  <c r="Y24" i="1"/>
  <c r="Y25" i="1"/>
  <c r="Y26" i="1"/>
  <c r="Y31" i="1"/>
  <c r="Y35" i="1"/>
  <c r="Y27" i="1"/>
  <c r="G29" i="3"/>
  <c r="X28" i="1" s="1"/>
  <c r="G33" i="3"/>
  <c r="X32" i="1" s="1"/>
  <c r="G37" i="3"/>
  <c r="X36" i="1" s="1"/>
  <c r="Y17" i="1"/>
  <c r="Y29" i="1"/>
  <c r="Y33" i="1"/>
  <c r="G31" i="3"/>
  <c r="X30" i="1" s="1"/>
  <c r="G35" i="3"/>
  <c r="X34" i="1" s="1"/>
  <c r="B17" i="10"/>
  <c r="B123" i="10"/>
  <c r="J21" i="11"/>
  <c r="J19" i="5" s="1"/>
  <c r="I33" i="5"/>
  <c r="I35" i="5" s="1"/>
  <c r="I40" i="5"/>
  <c r="I19" i="5"/>
  <c r="AC39" i="1"/>
  <c r="E6" i="2"/>
  <c r="E29" i="2" s="1"/>
  <c r="D17" i="3"/>
  <c r="D15" i="3"/>
  <c r="D13" i="3"/>
  <c r="D11" i="3"/>
  <c r="D9" i="3"/>
  <c r="L22" i="3"/>
  <c r="L20" i="3"/>
  <c r="L18" i="3"/>
  <c r="L16" i="3"/>
  <c r="L14" i="3"/>
  <c r="L12" i="3"/>
  <c r="L10" i="3"/>
  <c r="J25" i="5"/>
  <c r="D10" i="3"/>
  <c r="D14" i="3"/>
  <c r="D18" i="3"/>
  <c r="L23" i="3"/>
  <c r="J10" i="11"/>
  <c r="J8" i="5" s="1"/>
  <c r="H23" i="11"/>
  <c r="H8" i="5"/>
  <c r="L11" i="3"/>
  <c r="L15" i="3"/>
  <c r="L21" i="3"/>
  <c r="X22" i="1"/>
  <c r="K9" i="2"/>
  <c r="K17" i="2"/>
  <c r="K19" i="2"/>
  <c r="K16" i="2"/>
  <c r="L20" i="1" l="1"/>
  <c r="E23" i="8"/>
  <c r="C36" i="3"/>
  <c r="G35" i="1" s="1"/>
  <c r="C33" i="3"/>
  <c r="G32" i="1" s="1"/>
  <c r="C35" i="3"/>
  <c r="G34" i="1" s="1"/>
  <c r="H19" i="1"/>
  <c r="L12" i="1"/>
  <c r="L23" i="1"/>
  <c r="L13" i="1"/>
  <c r="C11" i="2"/>
  <c r="D27" i="2" s="1"/>
  <c r="H10" i="1"/>
  <c r="C37" i="3"/>
  <c r="G36" i="1" s="1"/>
  <c r="H28" i="1"/>
  <c r="H8" i="1"/>
  <c r="C22" i="3"/>
  <c r="G21" i="1" s="1"/>
  <c r="H17" i="1"/>
  <c r="C20" i="3"/>
  <c r="G19" i="1" s="1"/>
  <c r="C23" i="3"/>
  <c r="G22" i="1" s="1"/>
  <c r="L27" i="1"/>
  <c r="H14" i="1"/>
  <c r="H31" i="1"/>
  <c r="C31" i="3"/>
  <c r="G30" i="1" s="1"/>
  <c r="L19" i="1"/>
  <c r="C17" i="3"/>
  <c r="G16" i="1" s="1"/>
  <c r="L26" i="1"/>
  <c r="H25" i="1"/>
  <c r="L24" i="1"/>
  <c r="H26" i="1"/>
  <c r="L11" i="1"/>
  <c r="H9" i="1"/>
  <c r="K23" i="3"/>
  <c r="L16" i="1"/>
  <c r="H32" i="1"/>
  <c r="L17" i="1"/>
  <c r="L21" i="1"/>
  <c r="C21" i="3"/>
  <c r="G20" i="1" s="1"/>
  <c r="H18" i="1"/>
  <c r="L25" i="1"/>
  <c r="L9" i="1"/>
  <c r="L32" i="1"/>
  <c r="H30" i="1"/>
  <c r="L34" i="1"/>
  <c r="H33" i="1"/>
  <c r="L28" i="1"/>
  <c r="H21" i="1"/>
  <c r="L33" i="1"/>
  <c r="C34" i="3"/>
  <c r="G33" i="1" s="1"/>
  <c r="H15" i="1"/>
  <c r="C16" i="3"/>
  <c r="G15" i="1" s="1"/>
  <c r="H29" i="1"/>
  <c r="L36" i="1"/>
  <c r="L10" i="1"/>
  <c r="L14" i="1"/>
  <c r="L31" i="1"/>
  <c r="H35" i="1"/>
  <c r="C18" i="3"/>
  <c r="G17" i="1" s="1"/>
  <c r="C19" i="3"/>
  <c r="G18" i="1" s="1"/>
  <c r="L18" i="1"/>
  <c r="L35" i="1"/>
  <c r="H23" i="1"/>
  <c r="C38" i="3"/>
  <c r="G37" i="1" s="1"/>
  <c r="L8" i="1"/>
  <c r="L30" i="1"/>
  <c r="L15" i="1"/>
  <c r="H13" i="1"/>
  <c r="H36" i="1"/>
  <c r="C32" i="3"/>
  <c r="G31" i="1" s="1"/>
  <c r="H11" i="1"/>
  <c r="H16" i="1"/>
  <c r="H34" i="1"/>
  <c r="H12" i="1"/>
  <c r="L29" i="1"/>
  <c r="H24" i="1"/>
  <c r="H20" i="1"/>
  <c r="E34" i="2"/>
  <c r="E16" i="2"/>
  <c r="E25" i="2"/>
  <c r="H33" i="5"/>
  <c r="H35" i="5" s="1"/>
  <c r="E26" i="2"/>
  <c r="E20" i="2"/>
  <c r="E30" i="2"/>
  <c r="E18" i="2"/>
  <c r="K35" i="3"/>
  <c r="E32" i="2"/>
  <c r="E22" i="2"/>
  <c r="K20" i="3"/>
  <c r="K36" i="3"/>
  <c r="K21" i="3"/>
  <c r="K34" i="3"/>
  <c r="K38" i="3"/>
  <c r="X39" i="1"/>
  <c r="H20" i="5"/>
  <c r="S13" i="5" s="1"/>
  <c r="K22" i="3"/>
  <c r="K19" i="3"/>
  <c r="C14" i="10"/>
  <c r="K37" i="3"/>
  <c r="L28" i="2"/>
  <c r="L17" i="2"/>
  <c r="L22" i="2"/>
  <c r="L19" i="2"/>
  <c r="L20" i="2"/>
  <c r="L26" i="2"/>
  <c r="L35" i="2"/>
  <c r="L24" i="2"/>
  <c r="L30" i="2"/>
  <c r="L32" i="2"/>
  <c r="L34" i="2"/>
  <c r="L18" i="2"/>
  <c r="L33" i="2"/>
  <c r="L31" i="2"/>
  <c r="J18" i="2"/>
  <c r="J20" i="2"/>
  <c r="I21" i="2"/>
  <c r="W13" i="1" s="1"/>
  <c r="I23" i="2"/>
  <c r="W15" i="1" s="1"/>
  <c r="I25" i="2"/>
  <c r="W17" i="1" s="1"/>
  <c r="I27" i="2"/>
  <c r="W19" i="1" s="1"/>
  <c r="I29" i="2"/>
  <c r="W21" i="1" s="1"/>
  <c r="I16" i="2"/>
  <c r="W8" i="1" s="1"/>
  <c r="J17" i="2"/>
  <c r="I22" i="2"/>
  <c r="W14" i="1" s="1"/>
  <c r="J22" i="2"/>
  <c r="J27" i="2"/>
  <c r="I30" i="2"/>
  <c r="W22" i="1" s="1"/>
  <c r="J30" i="2"/>
  <c r="J32" i="2"/>
  <c r="J34" i="2"/>
  <c r="I18" i="2"/>
  <c r="W10" i="1" s="1"/>
  <c r="I20" i="2"/>
  <c r="W12" i="1" s="1"/>
  <c r="J21" i="2"/>
  <c r="I24" i="2"/>
  <c r="W16" i="1" s="1"/>
  <c r="J24" i="2"/>
  <c r="J25" i="2"/>
  <c r="J26" i="2"/>
  <c r="J35" i="2"/>
  <c r="J37" i="2"/>
  <c r="AB29" i="1" s="1"/>
  <c r="J39" i="2"/>
  <c r="AB31" i="1" s="1"/>
  <c r="J41" i="2"/>
  <c r="AB33" i="1" s="1"/>
  <c r="J43" i="2"/>
  <c r="AB35" i="1" s="1"/>
  <c r="J45" i="2"/>
  <c r="AB37" i="1" s="1"/>
  <c r="I19" i="2"/>
  <c r="W11" i="1" s="1"/>
  <c r="I31" i="2"/>
  <c r="W23" i="1" s="1"/>
  <c r="I32" i="2"/>
  <c r="W24" i="1" s="1"/>
  <c r="I33" i="2"/>
  <c r="W25" i="1" s="1"/>
  <c r="I34" i="2"/>
  <c r="W26" i="1" s="1"/>
  <c r="I35" i="2"/>
  <c r="W27" i="1" s="1"/>
  <c r="I37" i="2"/>
  <c r="W29" i="1" s="1"/>
  <c r="I39" i="2"/>
  <c r="W31" i="1" s="1"/>
  <c r="I41" i="2"/>
  <c r="W33" i="1" s="1"/>
  <c r="I43" i="2"/>
  <c r="W35" i="1" s="1"/>
  <c r="I45" i="2"/>
  <c r="W37" i="1" s="1"/>
  <c r="J23" i="2"/>
  <c r="I28" i="2"/>
  <c r="W20" i="1" s="1"/>
  <c r="J29" i="2"/>
  <c r="J28" i="2"/>
  <c r="J36" i="2"/>
  <c r="AB28" i="1" s="1"/>
  <c r="I38" i="2"/>
  <c r="W30" i="1" s="1"/>
  <c r="J40" i="2"/>
  <c r="AB32" i="1" s="1"/>
  <c r="I42" i="2"/>
  <c r="W34" i="1" s="1"/>
  <c r="J44" i="2"/>
  <c r="AB36" i="1" s="1"/>
  <c r="I17" i="2"/>
  <c r="W9" i="1" s="1"/>
  <c r="J31" i="2"/>
  <c r="J33" i="2"/>
  <c r="J19" i="2"/>
  <c r="AB11" i="1" s="1"/>
  <c r="I36" i="2"/>
  <c r="W28" i="1" s="1"/>
  <c r="I40" i="2"/>
  <c r="W32" i="1" s="1"/>
  <c r="AD32" i="1" s="1"/>
  <c r="I44" i="2"/>
  <c r="W36" i="1" s="1"/>
  <c r="I26" i="2"/>
  <c r="W18" i="1" s="1"/>
  <c r="J38" i="2"/>
  <c r="AB30" i="1" s="1"/>
  <c r="J42" i="2"/>
  <c r="AB34" i="1" s="1"/>
  <c r="J16" i="2"/>
  <c r="L16" i="2"/>
  <c r="L23" i="2"/>
  <c r="C6" i="2"/>
  <c r="C9" i="2" s="1"/>
  <c r="C10" i="3"/>
  <c r="G9" i="1" s="1"/>
  <c r="C14" i="3"/>
  <c r="G13" i="1" s="1"/>
  <c r="L22" i="1"/>
  <c r="C24" i="3"/>
  <c r="G23" i="1" s="1"/>
  <c r="C11" i="3"/>
  <c r="G10" i="1" s="1"/>
  <c r="C15" i="3"/>
  <c r="G14" i="1" s="1"/>
  <c r="H22" i="1"/>
  <c r="C25" i="3"/>
  <c r="G24" i="1" s="1"/>
  <c r="C29" i="3"/>
  <c r="G28" i="1" s="1"/>
  <c r="H37" i="1"/>
  <c r="K12" i="3"/>
  <c r="K16" i="3"/>
  <c r="K25" i="3"/>
  <c r="K29" i="3"/>
  <c r="K33" i="3"/>
  <c r="K28" i="3"/>
  <c r="C13" i="3"/>
  <c r="G12" i="1" s="1"/>
  <c r="C27" i="3"/>
  <c r="G26" i="1" s="1"/>
  <c r="C30" i="3"/>
  <c r="G29" i="1" s="1"/>
  <c r="L7" i="1"/>
  <c r="K9" i="3"/>
  <c r="K13" i="3"/>
  <c r="K17" i="3"/>
  <c r="K26" i="3"/>
  <c r="K30" i="3"/>
  <c r="K15" i="3"/>
  <c r="K32" i="3"/>
  <c r="C9" i="3"/>
  <c r="G8" i="1" s="1"/>
  <c r="C12" i="3"/>
  <c r="G11" i="1" s="1"/>
  <c r="C26" i="3"/>
  <c r="G25" i="1" s="1"/>
  <c r="C28" i="3"/>
  <c r="G27" i="1" s="1"/>
  <c r="K10" i="3"/>
  <c r="K14" i="3"/>
  <c r="K18" i="3"/>
  <c r="K27" i="3"/>
  <c r="K31" i="3"/>
  <c r="K24" i="3"/>
  <c r="K11" i="3"/>
  <c r="Y39" i="1"/>
  <c r="Y40" i="1" s="1"/>
  <c r="I20" i="5"/>
  <c r="D14" i="10"/>
  <c r="AC40" i="1"/>
  <c r="D72" i="10" s="1"/>
  <c r="J22" i="11"/>
  <c r="J20" i="5" s="1"/>
  <c r="O12" i="3"/>
  <c r="O16" i="3"/>
  <c r="O20" i="3"/>
  <c r="O24" i="3"/>
  <c r="O28" i="3"/>
  <c r="O32" i="3"/>
  <c r="O36" i="3"/>
  <c r="O13" i="3"/>
  <c r="O17" i="3"/>
  <c r="O21" i="3"/>
  <c r="O25" i="3"/>
  <c r="O29" i="3"/>
  <c r="O33" i="3"/>
  <c r="O37" i="3"/>
  <c r="X40" i="1"/>
  <c r="D77" i="10" s="1"/>
  <c r="O10" i="3"/>
  <c r="O14" i="3"/>
  <c r="O18" i="3"/>
  <c r="O22" i="3"/>
  <c r="O26" i="3"/>
  <c r="O30" i="3"/>
  <c r="O34" i="3"/>
  <c r="O38" i="3"/>
  <c r="O23" i="3"/>
  <c r="O9" i="3"/>
  <c r="O11" i="3"/>
  <c r="O27" i="3"/>
  <c r="O15" i="3"/>
  <c r="O31" i="3"/>
  <c r="O19" i="3"/>
  <c r="O35" i="3"/>
  <c r="L29" i="2"/>
  <c r="L21" i="2"/>
  <c r="J23" i="11"/>
  <c r="J21" i="5" s="1"/>
  <c r="H21" i="5"/>
  <c r="L27" i="2"/>
  <c r="L25" i="2"/>
  <c r="E24" i="2"/>
  <c r="E21" i="2"/>
  <c r="E27" i="2"/>
  <c r="E19" i="2"/>
  <c r="E28" i="2"/>
  <c r="E33" i="2"/>
  <c r="E17" i="2"/>
  <c r="E31" i="2"/>
  <c r="E9" i="2"/>
  <c r="E23" i="2"/>
  <c r="E35" i="2"/>
  <c r="AC11" i="5" l="1"/>
  <c r="AC15" i="5"/>
  <c r="AC19" i="5"/>
  <c r="AC23" i="5"/>
  <c r="AC27" i="5"/>
  <c r="AC31" i="5"/>
  <c r="AC35" i="5"/>
  <c r="AC12" i="5"/>
  <c r="AC16" i="5"/>
  <c r="AC20" i="5"/>
  <c r="AC24" i="5"/>
  <c r="AC28" i="5"/>
  <c r="AC32" i="5"/>
  <c r="AC36" i="5"/>
  <c r="AC9" i="5"/>
  <c r="AC13" i="5"/>
  <c r="AC17" i="5"/>
  <c r="AC21" i="5"/>
  <c r="AC25" i="5"/>
  <c r="AC29" i="5"/>
  <c r="AC33" i="5"/>
  <c r="AC7" i="5"/>
  <c r="AC10" i="5"/>
  <c r="AC14" i="5"/>
  <c r="AC18" i="5"/>
  <c r="AC22" i="5"/>
  <c r="AC26" i="5"/>
  <c r="AC30" i="5"/>
  <c r="AC34" i="5"/>
  <c r="AC8" i="5"/>
  <c r="S7" i="5"/>
  <c r="S21" i="5"/>
  <c r="S9" i="5"/>
  <c r="S23" i="5"/>
  <c r="S27" i="5"/>
  <c r="S31" i="5"/>
  <c r="S35" i="5"/>
  <c r="S24" i="5"/>
  <c r="S28" i="5"/>
  <c r="S32" i="5"/>
  <c r="S36" i="5"/>
  <c r="S25" i="5"/>
  <c r="S29" i="5"/>
  <c r="S33" i="5"/>
  <c r="S26" i="5"/>
  <c r="S34" i="5"/>
  <c r="S30" i="5"/>
  <c r="S20" i="5"/>
  <c r="S16" i="5"/>
  <c r="S10" i="5"/>
  <c r="S19" i="5"/>
  <c r="S12" i="5"/>
  <c r="S17" i="5"/>
  <c r="S14" i="5"/>
  <c r="S11" i="5"/>
  <c r="S8" i="5"/>
  <c r="S15" i="5"/>
  <c r="S18" i="5"/>
  <c r="S22" i="5"/>
  <c r="D45" i="2"/>
  <c r="K37" i="1" s="1"/>
  <c r="C44" i="2"/>
  <c r="F36" i="1" s="1"/>
  <c r="D44" i="2"/>
  <c r="K36" i="1" s="1"/>
  <c r="D42" i="2"/>
  <c r="K34" i="1" s="1"/>
  <c r="C41" i="2"/>
  <c r="F33" i="1" s="1"/>
  <c r="D29" i="2"/>
  <c r="D41" i="2"/>
  <c r="K33" i="1" s="1"/>
  <c r="D30" i="2"/>
  <c r="C27" i="2"/>
  <c r="F19" i="1" s="1"/>
  <c r="C30" i="2"/>
  <c r="F22" i="1" s="1"/>
  <c r="D19" i="2"/>
  <c r="C42" i="2"/>
  <c r="F34" i="1" s="1"/>
  <c r="C43" i="2"/>
  <c r="F35" i="1" s="1"/>
  <c r="D28" i="2"/>
  <c r="D26" i="2"/>
  <c r="D43" i="2"/>
  <c r="K35" i="1" s="1"/>
  <c r="C26" i="2"/>
  <c r="F18" i="1" s="1"/>
  <c r="B105" i="10"/>
  <c r="C29" i="2"/>
  <c r="F21" i="1" s="1"/>
  <c r="C28" i="2"/>
  <c r="F20" i="1" s="1"/>
  <c r="C45" i="2"/>
  <c r="F37" i="1" s="1"/>
  <c r="D22" i="2"/>
  <c r="D23" i="2"/>
  <c r="C17" i="2"/>
  <c r="F9" i="1" s="1"/>
  <c r="AB22" i="1"/>
  <c r="AD22" i="1" s="1"/>
  <c r="AB12" i="1"/>
  <c r="AD12" i="1" s="1"/>
  <c r="AB16" i="1"/>
  <c r="AB10" i="1"/>
  <c r="AD10" i="1" s="1"/>
  <c r="C21" i="2"/>
  <c r="F13" i="1" s="1"/>
  <c r="D35" i="2"/>
  <c r="D34" i="2"/>
  <c r="C40" i="2"/>
  <c r="F32" i="1" s="1"/>
  <c r="D33" i="2"/>
  <c r="C38" i="2"/>
  <c r="F30" i="1" s="1"/>
  <c r="U19" i="5"/>
  <c r="E20" i="1" s="1"/>
  <c r="T12" i="5"/>
  <c r="U24" i="5"/>
  <c r="E25" i="1" s="1"/>
  <c r="U33" i="5"/>
  <c r="E34" i="1" s="1"/>
  <c r="U17" i="5"/>
  <c r="E18" i="1" s="1"/>
  <c r="U28" i="5"/>
  <c r="E29" i="1" s="1"/>
  <c r="U25" i="5"/>
  <c r="E26" i="1" s="1"/>
  <c r="E14" i="10"/>
  <c r="U34" i="5"/>
  <c r="E35" i="1" s="1"/>
  <c r="U9" i="5"/>
  <c r="E10" i="1" s="1"/>
  <c r="U10" i="5"/>
  <c r="E11" i="1" s="1"/>
  <c r="U7" i="5"/>
  <c r="E8" i="1" s="1"/>
  <c r="U36" i="5"/>
  <c r="E37" i="1" s="1"/>
  <c r="U8" i="5"/>
  <c r="E9" i="1" s="1"/>
  <c r="U32" i="5"/>
  <c r="E33" i="1" s="1"/>
  <c r="U30" i="5"/>
  <c r="E31" i="1" s="1"/>
  <c r="U18" i="5"/>
  <c r="E19" i="1" s="1"/>
  <c r="T36" i="5"/>
  <c r="D17" i="2"/>
  <c r="H39" i="1"/>
  <c r="H40" i="1" s="1"/>
  <c r="C79" i="10" s="1"/>
  <c r="T9" i="5"/>
  <c r="T29" i="5"/>
  <c r="T25" i="5"/>
  <c r="T15" i="5"/>
  <c r="T31" i="5"/>
  <c r="T20" i="5"/>
  <c r="T24" i="5"/>
  <c r="T34" i="5"/>
  <c r="T7" i="5"/>
  <c r="AB26" i="1"/>
  <c r="U31" i="5"/>
  <c r="E32" i="1" s="1"/>
  <c r="T22" i="5"/>
  <c r="U13" i="5"/>
  <c r="E14" i="1" s="1"/>
  <c r="T13" i="5"/>
  <c r="T26" i="5"/>
  <c r="U23" i="5"/>
  <c r="E24" i="1" s="1"/>
  <c r="U26" i="5"/>
  <c r="E27" i="1" s="1"/>
  <c r="U35" i="5"/>
  <c r="E36" i="1" s="1"/>
  <c r="T14" i="5"/>
  <c r="T33" i="5"/>
  <c r="U14" i="5"/>
  <c r="E15" i="1" s="1"/>
  <c r="T18" i="5"/>
  <c r="U11" i="5"/>
  <c r="E12" i="1" s="1"/>
  <c r="AB14" i="1"/>
  <c r="AB27" i="1"/>
  <c r="T23" i="5"/>
  <c r="T32" i="5"/>
  <c r="U16" i="5"/>
  <c r="E17" i="1" s="1"/>
  <c r="U29" i="5"/>
  <c r="E30" i="1" s="1"/>
  <c r="T16" i="5"/>
  <c r="U12" i="5"/>
  <c r="E13" i="1" s="1"/>
  <c r="T35" i="5"/>
  <c r="U21" i="5"/>
  <c r="E22" i="1" s="1"/>
  <c r="T27" i="5"/>
  <c r="U27" i="5"/>
  <c r="E28" i="1" s="1"/>
  <c r="U22" i="5"/>
  <c r="E23" i="1" s="1"/>
  <c r="AD28" i="1"/>
  <c r="AD26" i="1"/>
  <c r="T8" i="5"/>
  <c r="T28" i="5"/>
  <c r="T17" i="5"/>
  <c r="L39" i="1"/>
  <c r="L40" i="1" s="1"/>
  <c r="C72" i="10" s="1"/>
  <c r="E72" i="10" s="1"/>
  <c r="AD9" i="5"/>
  <c r="AD19" i="5"/>
  <c r="AD8" i="5"/>
  <c r="AD30" i="5"/>
  <c r="R7" i="5"/>
  <c r="R14" i="5"/>
  <c r="R22" i="5"/>
  <c r="R30" i="5"/>
  <c r="P7" i="5"/>
  <c r="AD33" i="5"/>
  <c r="R33" i="5"/>
  <c r="P14" i="5"/>
  <c r="O23" i="5"/>
  <c r="P30" i="5"/>
  <c r="AD22" i="5"/>
  <c r="R23" i="5"/>
  <c r="O11" i="5"/>
  <c r="O18" i="5"/>
  <c r="P25" i="5"/>
  <c r="P35" i="5"/>
  <c r="AD27" i="5"/>
  <c r="R21" i="5"/>
  <c r="P11" i="5"/>
  <c r="O10" i="5"/>
  <c r="O28" i="5"/>
  <c r="O30" i="5"/>
  <c r="N30" i="5" s="1"/>
  <c r="C31" i="1" s="1"/>
  <c r="R35" i="5"/>
  <c r="O19" i="5"/>
  <c r="P36" i="5"/>
  <c r="O24" i="5"/>
  <c r="AD36" i="5"/>
  <c r="R20" i="5"/>
  <c r="R36" i="5"/>
  <c r="P12" i="5"/>
  <c r="O29" i="5"/>
  <c r="O9" i="5"/>
  <c r="O32" i="5"/>
  <c r="R13" i="5"/>
  <c r="P24" i="5"/>
  <c r="O33" i="5"/>
  <c r="AD11" i="5"/>
  <c r="AD23" i="5"/>
  <c r="AD12" i="5"/>
  <c r="AD32" i="5"/>
  <c r="R8" i="5"/>
  <c r="R16" i="5"/>
  <c r="R24" i="5"/>
  <c r="R32" i="5"/>
  <c r="AD15" i="5"/>
  <c r="R9" i="5"/>
  <c r="O8" i="5"/>
  <c r="O17" i="5"/>
  <c r="O25" i="5"/>
  <c r="P34" i="5"/>
  <c r="AD24" i="5"/>
  <c r="R31" i="5"/>
  <c r="O13" i="5"/>
  <c r="P21" i="5"/>
  <c r="P27" i="5"/>
  <c r="O36" i="5"/>
  <c r="AD31" i="5"/>
  <c r="R29" i="5"/>
  <c r="P13" i="5"/>
  <c r="P15" i="5"/>
  <c r="R11" i="5"/>
  <c r="O31" i="5"/>
  <c r="O14" i="5"/>
  <c r="P26" i="5"/>
  <c r="P19" i="5"/>
  <c r="O12" i="5"/>
  <c r="N12" i="5" s="1"/>
  <c r="C13" i="1" s="1"/>
  <c r="AD18" i="5"/>
  <c r="AD13" i="5"/>
  <c r="R12" i="5"/>
  <c r="R28" i="5"/>
  <c r="R25" i="5"/>
  <c r="O21" i="5"/>
  <c r="AD10" i="5"/>
  <c r="R15" i="5"/>
  <c r="P23" i="5"/>
  <c r="AD21" i="5"/>
  <c r="R19" i="5"/>
  <c r="P28" i="5"/>
  <c r="P18" i="5"/>
  <c r="O34" i="5"/>
  <c r="AD7" i="5"/>
  <c r="AD25" i="5"/>
  <c r="AD14" i="5"/>
  <c r="AD34" i="5"/>
  <c r="R10" i="5"/>
  <c r="R18" i="5"/>
  <c r="R26" i="5"/>
  <c r="R34" i="5"/>
  <c r="AD20" i="5"/>
  <c r="R17" i="5"/>
  <c r="P10" i="5"/>
  <c r="P20" i="5"/>
  <c r="O27" i="5"/>
  <c r="O35" i="5"/>
  <c r="AD26" i="5"/>
  <c r="P8" i="5"/>
  <c r="O16" i="5"/>
  <c r="O22" i="5"/>
  <c r="P29" i="5"/>
  <c r="AD17" i="5"/>
  <c r="AD35" i="5"/>
  <c r="O7" i="5"/>
  <c r="O15" i="5"/>
  <c r="P22" i="5"/>
  <c r="O26" i="5"/>
  <c r="P32" i="5"/>
  <c r="P16" i="5"/>
  <c r="P31" i="5"/>
  <c r="AD16" i="5"/>
  <c r="R27" i="5"/>
  <c r="O20" i="5"/>
  <c r="AD28" i="5"/>
  <c r="AD29" i="5"/>
  <c r="P17" i="5"/>
  <c r="P9" i="5"/>
  <c r="P33" i="5"/>
  <c r="AD31" i="1"/>
  <c r="T21" i="5"/>
  <c r="T19" i="5"/>
  <c r="AB25" i="1"/>
  <c r="AD25" i="1" s="1"/>
  <c r="AB20" i="1"/>
  <c r="AD20" i="1" s="1"/>
  <c r="U20" i="5"/>
  <c r="E21" i="1" s="1"/>
  <c r="T30" i="5"/>
  <c r="U15" i="5"/>
  <c r="E16" i="1" s="1"/>
  <c r="T11" i="5"/>
  <c r="AB23" i="1"/>
  <c r="AB21" i="1"/>
  <c r="AD21" i="1" s="1"/>
  <c r="AD35" i="1"/>
  <c r="AD27" i="1"/>
  <c r="AB18" i="1"/>
  <c r="AB13" i="1"/>
  <c r="AD13" i="1" s="1"/>
  <c r="AB24" i="1"/>
  <c r="AD24" i="1" s="1"/>
  <c r="T10" i="5"/>
  <c r="G39" i="1"/>
  <c r="G40" i="1" s="1"/>
  <c r="C77" i="10" s="1"/>
  <c r="E77" i="10" s="1"/>
  <c r="D73" i="10"/>
  <c r="D79" i="10"/>
  <c r="AD23" i="1"/>
  <c r="D24" i="2"/>
  <c r="C39" i="2"/>
  <c r="F31" i="1" s="1"/>
  <c r="C32" i="2"/>
  <c r="F24" i="1" s="1"/>
  <c r="C24" i="2"/>
  <c r="F16" i="1" s="1"/>
  <c r="D37" i="2"/>
  <c r="K29" i="1" s="1"/>
  <c r="C31" i="2"/>
  <c r="F23" i="1" s="1"/>
  <c r="D36" i="2"/>
  <c r="K28" i="1" s="1"/>
  <c r="C20" i="2"/>
  <c r="F12" i="1" s="1"/>
  <c r="C23" i="2"/>
  <c r="F15" i="1" s="1"/>
  <c r="C16" i="2"/>
  <c r="F8" i="1" s="1"/>
  <c r="Z8" i="5"/>
  <c r="AE9" i="5"/>
  <c r="V10" i="1" s="1"/>
  <c r="Z10" i="5"/>
  <c r="AE11" i="5"/>
  <c r="V12" i="1" s="1"/>
  <c r="Y12" i="5"/>
  <c r="AB14" i="5"/>
  <c r="Y14" i="5"/>
  <c r="AB16" i="5"/>
  <c r="Y16" i="5"/>
  <c r="AB18" i="5"/>
  <c r="Y18" i="5"/>
  <c r="AB20" i="5"/>
  <c r="Y20" i="5"/>
  <c r="Y7" i="5"/>
  <c r="AB9" i="5"/>
  <c r="Y9" i="5"/>
  <c r="Z7" i="5"/>
  <c r="AE7" i="5"/>
  <c r="AB7" i="5"/>
  <c r="AB10" i="5"/>
  <c r="AB12" i="5"/>
  <c r="AE16" i="5"/>
  <c r="V17" i="1" s="1"/>
  <c r="AB17" i="5"/>
  <c r="Z17" i="5"/>
  <c r="Z18" i="5"/>
  <c r="Y19" i="5"/>
  <c r="AE19" i="5"/>
  <c r="V20" i="1" s="1"/>
  <c r="Z22" i="5"/>
  <c r="AE23" i="5"/>
  <c r="V24" i="1" s="1"/>
  <c r="Z24" i="5"/>
  <c r="AE25" i="5"/>
  <c r="V26" i="1" s="1"/>
  <c r="Z26" i="5"/>
  <c r="Y8" i="5"/>
  <c r="X8" i="5" s="1"/>
  <c r="T9" i="1" s="1"/>
  <c r="Z12" i="5"/>
  <c r="Y13" i="5"/>
  <c r="AE13" i="5"/>
  <c r="V14" i="1" s="1"/>
  <c r="AE18" i="5"/>
  <c r="V19" i="1" s="1"/>
  <c r="AB19" i="5"/>
  <c r="Z19" i="5"/>
  <c r="Y10" i="5"/>
  <c r="Y11" i="5"/>
  <c r="Z15" i="5"/>
  <c r="AE15" i="5"/>
  <c r="V16" i="1" s="1"/>
  <c r="Z16" i="5"/>
  <c r="AE26" i="5"/>
  <c r="V27" i="1" s="1"/>
  <c r="Z27" i="5"/>
  <c r="AE28" i="5"/>
  <c r="V29" i="1" s="1"/>
  <c r="Z29" i="5"/>
  <c r="AE30" i="5"/>
  <c r="V31" i="1" s="1"/>
  <c r="Z31" i="5"/>
  <c r="AE32" i="5"/>
  <c r="V33" i="1" s="1"/>
  <c r="Z33" i="5"/>
  <c r="AE34" i="5"/>
  <c r="V35" i="1" s="1"/>
  <c r="Z35" i="5"/>
  <c r="AE36" i="5"/>
  <c r="V37" i="1" s="1"/>
  <c r="AB8" i="5"/>
  <c r="Z11" i="5"/>
  <c r="AE12" i="5"/>
  <c r="V13" i="1" s="1"/>
  <c r="AB13" i="5"/>
  <c r="AE14" i="5"/>
  <c r="V15" i="1" s="1"/>
  <c r="Y17" i="5"/>
  <c r="Z20" i="5"/>
  <c r="AE20" i="5"/>
  <c r="V21" i="1" s="1"/>
  <c r="Y21" i="5"/>
  <c r="AB28" i="5"/>
  <c r="Y28" i="5"/>
  <c r="AB30" i="5"/>
  <c r="Y30" i="5"/>
  <c r="AB32" i="5"/>
  <c r="Y32" i="5"/>
  <c r="AB34" i="5"/>
  <c r="Y34" i="5"/>
  <c r="AB36" i="5"/>
  <c r="Y36" i="5"/>
  <c r="Y15" i="5"/>
  <c r="AE17" i="5"/>
  <c r="V18" i="1" s="1"/>
  <c r="Z21" i="5"/>
  <c r="Z23" i="5"/>
  <c r="Z25" i="5"/>
  <c r="Z28" i="5"/>
  <c r="Z32" i="5"/>
  <c r="Z36" i="5"/>
  <c r="AE8" i="5"/>
  <c r="V9" i="1" s="1"/>
  <c r="Z9" i="5"/>
  <c r="Z13" i="5"/>
  <c r="AE21" i="5"/>
  <c r="V22" i="1" s="1"/>
  <c r="AE22" i="5"/>
  <c r="V23" i="1" s="1"/>
  <c r="AE24" i="5"/>
  <c r="V25" i="1" s="1"/>
  <c r="Y27" i="5"/>
  <c r="AB29" i="5"/>
  <c r="AE29" i="5"/>
  <c r="V30" i="1" s="1"/>
  <c r="Y31" i="5"/>
  <c r="AB33" i="5"/>
  <c r="AE33" i="5"/>
  <c r="V34" i="1" s="1"/>
  <c r="Y35" i="5"/>
  <c r="AE10" i="5"/>
  <c r="V11" i="1" s="1"/>
  <c r="AB11" i="5"/>
  <c r="AB22" i="5"/>
  <c r="AB23" i="5"/>
  <c r="AB24" i="5"/>
  <c r="AB25" i="5"/>
  <c r="AB26" i="5"/>
  <c r="Z30" i="5"/>
  <c r="Z34" i="5"/>
  <c r="Y23" i="5"/>
  <c r="AB27" i="5"/>
  <c r="AE27" i="5"/>
  <c r="V28" i="1" s="1"/>
  <c r="AB31" i="5"/>
  <c r="AE31" i="5"/>
  <c r="V32" i="1" s="1"/>
  <c r="AB35" i="5"/>
  <c r="AE35" i="5"/>
  <c r="V36" i="1" s="1"/>
  <c r="Z14" i="5"/>
  <c r="AB21" i="5"/>
  <c r="Y24" i="5"/>
  <c r="AB15" i="5"/>
  <c r="Y25" i="5"/>
  <c r="Y29" i="5"/>
  <c r="Y33" i="5"/>
  <c r="Y22" i="5"/>
  <c r="Y26" i="5"/>
  <c r="H38" i="11"/>
  <c r="M7" i="1"/>
  <c r="AD30" i="1"/>
  <c r="AD33" i="1"/>
  <c r="AD11" i="1"/>
  <c r="AB17" i="1"/>
  <c r="AD17" i="1" s="1"/>
  <c r="AD14" i="1"/>
  <c r="F17" i="2"/>
  <c r="F21" i="2"/>
  <c r="F25" i="2"/>
  <c r="F28" i="2"/>
  <c r="F31" i="2"/>
  <c r="F35" i="2"/>
  <c r="F18" i="2"/>
  <c r="F22" i="2"/>
  <c r="F27" i="2"/>
  <c r="K19" i="1" s="1"/>
  <c r="F32" i="2"/>
  <c r="F16" i="2"/>
  <c r="F24" i="2"/>
  <c r="F19" i="2"/>
  <c r="F26" i="2"/>
  <c r="F33" i="2"/>
  <c r="F20" i="2"/>
  <c r="F29" i="2"/>
  <c r="F34" i="2"/>
  <c r="F23" i="2"/>
  <c r="F30" i="2"/>
  <c r="D20" i="2"/>
  <c r="C36" i="2"/>
  <c r="F28" i="1" s="1"/>
  <c r="D40" i="2"/>
  <c r="K32" i="1" s="1"/>
  <c r="C22" i="2"/>
  <c r="F14" i="1" s="1"/>
  <c r="C37" i="2"/>
  <c r="F29" i="1" s="1"/>
  <c r="D25" i="2"/>
  <c r="C34" i="2"/>
  <c r="F26" i="1" s="1"/>
  <c r="D18" i="2"/>
  <c r="C33" i="2"/>
  <c r="F25" i="1" s="1"/>
  <c r="D21" i="2"/>
  <c r="AD18" i="1"/>
  <c r="AB15" i="1"/>
  <c r="AD15" i="1" s="1"/>
  <c r="AB9" i="1"/>
  <c r="AD9" i="1" s="1"/>
  <c r="C18" i="2"/>
  <c r="F10" i="1" s="1"/>
  <c r="C25" i="2"/>
  <c r="F17" i="1" s="1"/>
  <c r="D39" i="2"/>
  <c r="K31" i="1" s="1"/>
  <c r="D16" i="2"/>
  <c r="C35" i="2"/>
  <c r="F27" i="1" s="1"/>
  <c r="D38" i="2"/>
  <c r="K30" i="1" s="1"/>
  <c r="D32" i="2"/>
  <c r="D31" i="2"/>
  <c r="C19" i="2"/>
  <c r="F11" i="1" s="1"/>
  <c r="AB8" i="1"/>
  <c r="AD8" i="1" s="1"/>
  <c r="AD36" i="1"/>
  <c r="AD34" i="1"/>
  <c r="AD37" i="1"/>
  <c r="AD29" i="1"/>
  <c r="AD16" i="1"/>
  <c r="AB19" i="1"/>
  <c r="AD19" i="1" s="1"/>
  <c r="W39" i="1"/>
  <c r="W40" i="1" s="1"/>
  <c r="M34" i="1" l="1"/>
  <c r="M37" i="1"/>
  <c r="K21" i="1"/>
  <c r="M21" i="1" s="1"/>
  <c r="M33" i="1"/>
  <c r="M36" i="1"/>
  <c r="M35" i="1"/>
  <c r="K18" i="1"/>
  <c r="M18" i="1" s="1"/>
  <c r="K11" i="1"/>
  <c r="M11" i="1" s="1"/>
  <c r="K22" i="1"/>
  <c r="M22" i="1" s="1"/>
  <c r="K20" i="1"/>
  <c r="M20" i="1" s="1"/>
  <c r="S38" i="5"/>
  <c r="S39" i="5" s="1"/>
  <c r="H56" i="5" s="1"/>
  <c r="C66" i="10" s="1"/>
  <c r="K15" i="1"/>
  <c r="M15" i="1" s="1"/>
  <c r="K14" i="1"/>
  <c r="M14" i="1" s="1"/>
  <c r="K8" i="1"/>
  <c r="M8" i="1" s="1"/>
  <c r="Q27" i="5"/>
  <c r="D28" i="1" s="1"/>
  <c r="M32" i="1"/>
  <c r="K25" i="1"/>
  <c r="M25" i="1" s="1"/>
  <c r="K27" i="1"/>
  <c r="M27" i="1" s="1"/>
  <c r="M30" i="1"/>
  <c r="K26" i="1"/>
  <c r="M26" i="1" s="1"/>
  <c r="Q31" i="5"/>
  <c r="D32" i="1" s="1"/>
  <c r="X29" i="5"/>
  <c r="T30" i="1" s="1"/>
  <c r="X23" i="5"/>
  <c r="T24" i="1" s="1"/>
  <c r="X15" i="5"/>
  <c r="T16" i="1" s="1"/>
  <c r="X17" i="5"/>
  <c r="T18" i="1" s="1"/>
  <c r="X24" i="5"/>
  <c r="T25" i="1" s="1"/>
  <c r="AA22" i="5"/>
  <c r="U23" i="1" s="1"/>
  <c r="AA8" i="5"/>
  <c r="U9" i="1" s="1"/>
  <c r="Z9" i="1" s="1"/>
  <c r="AA9" i="1" s="1"/>
  <c r="AE9" i="1" s="1"/>
  <c r="Q12" i="5"/>
  <c r="D13" i="1" s="1"/>
  <c r="I13" i="1" s="1"/>
  <c r="J13" i="1" s="1"/>
  <c r="Q26" i="5"/>
  <c r="D27" i="1" s="1"/>
  <c r="Q22" i="5"/>
  <c r="D23" i="1" s="1"/>
  <c r="Q24" i="5"/>
  <c r="D25" i="1" s="1"/>
  <c r="Q35" i="5"/>
  <c r="D36" i="1" s="1"/>
  <c r="K9" i="1"/>
  <c r="M9" i="1" s="1"/>
  <c r="C73" i="10"/>
  <c r="E73" i="10" s="1"/>
  <c r="AA27" i="5"/>
  <c r="U28" i="1" s="1"/>
  <c r="AA11" i="5"/>
  <c r="U12" i="1" s="1"/>
  <c r="Q29" i="5"/>
  <c r="D30" i="1" s="1"/>
  <c r="Q33" i="5"/>
  <c r="D34" i="1" s="1"/>
  <c r="Q17" i="5"/>
  <c r="D18" i="1" s="1"/>
  <c r="Q18" i="5"/>
  <c r="D19" i="1" s="1"/>
  <c r="Q34" i="5"/>
  <c r="D35" i="1" s="1"/>
  <c r="AA21" i="5"/>
  <c r="U22" i="1" s="1"/>
  <c r="N14" i="5"/>
  <c r="C15" i="1" s="1"/>
  <c r="N35" i="5"/>
  <c r="C36" i="1" s="1"/>
  <c r="Q16" i="5"/>
  <c r="D17" i="1" s="1"/>
  <c r="Q13" i="5"/>
  <c r="D14" i="1" s="1"/>
  <c r="Q14" i="5"/>
  <c r="D15" i="1" s="1"/>
  <c r="Q25" i="5"/>
  <c r="D26" i="1" s="1"/>
  <c r="Q7" i="5"/>
  <c r="D8" i="1" s="1"/>
  <c r="K17" i="1"/>
  <c r="M17" i="1" s="1"/>
  <c r="K10" i="1"/>
  <c r="M10" i="1" s="1"/>
  <c r="Q15" i="5"/>
  <c r="D16" i="1" s="1"/>
  <c r="Q9" i="5"/>
  <c r="D10" i="1" s="1"/>
  <c r="AA25" i="5"/>
  <c r="U26" i="1" s="1"/>
  <c r="N20" i="5"/>
  <c r="C21" i="1" s="1"/>
  <c r="Q32" i="5"/>
  <c r="D33" i="1" s="1"/>
  <c r="Q23" i="5"/>
  <c r="D24" i="1" s="1"/>
  <c r="Q30" i="5"/>
  <c r="D31" i="1" s="1"/>
  <c r="I31" i="1" s="1"/>
  <c r="J31" i="1" s="1"/>
  <c r="Q21" i="5"/>
  <c r="D22" i="1" s="1"/>
  <c r="Q10" i="5"/>
  <c r="D11" i="1" s="1"/>
  <c r="Q11" i="5"/>
  <c r="D12" i="1" s="1"/>
  <c r="AA10" i="5"/>
  <c r="U11" i="1" s="1"/>
  <c r="X25" i="5"/>
  <c r="T26" i="1" s="1"/>
  <c r="AA23" i="5"/>
  <c r="U24" i="1" s="1"/>
  <c r="X35" i="5"/>
  <c r="T36" i="1" s="1"/>
  <c r="E39" i="1"/>
  <c r="E40" i="1" s="1"/>
  <c r="C82" i="10" s="1"/>
  <c r="N34" i="5"/>
  <c r="C35" i="1" s="1"/>
  <c r="N21" i="5"/>
  <c r="C22" i="1" s="1"/>
  <c r="Q20" i="5"/>
  <c r="D21" i="1" s="1"/>
  <c r="U38" i="5"/>
  <c r="U39" i="5" s="1"/>
  <c r="H59" i="5" s="1"/>
  <c r="Q8" i="5"/>
  <c r="D9" i="1" s="1"/>
  <c r="X22" i="5"/>
  <c r="T23" i="1" s="1"/>
  <c r="AA15" i="5"/>
  <c r="U16" i="1" s="1"/>
  <c r="AA26" i="5"/>
  <c r="U27" i="1" s="1"/>
  <c r="AA29" i="5"/>
  <c r="U30" i="1" s="1"/>
  <c r="T38" i="5"/>
  <c r="T39" i="5" s="1"/>
  <c r="H57" i="5" s="1"/>
  <c r="Q36" i="5"/>
  <c r="D37" i="1" s="1"/>
  <c r="N36" i="5"/>
  <c r="C37" i="1" s="1"/>
  <c r="N19" i="5"/>
  <c r="C20" i="1" s="1"/>
  <c r="AA35" i="5"/>
  <c r="U36" i="1" s="1"/>
  <c r="Q28" i="5"/>
  <c r="D29" i="1" s="1"/>
  <c r="N17" i="5"/>
  <c r="C18" i="1" s="1"/>
  <c r="N33" i="5"/>
  <c r="C34" i="1" s="1"/>
  <c r="N9" i="5"/>
  <c r="C10" i="1" s="1"/>
  <c r="N10" i="5"/>
  <c r="C11" i="1" s="1"/>
  <c r="N15" i="5"/>
  <c r="C16" i="1" s="1"/>
  <c r="N8" i="5"/>
  <c r="C9" i="1" s="1"/>
  <c r="N29" i="5"/>
  <c r="C30" i="1" s="1"/>
  <c r="AA34" i="5"/>
  <c r="U35" i="1" s="1"/>
  <c r="X11" i="5"/>
  <c r="T12" i="1" s="1"/>
  <c r="X13" i="5"/>
  <c r="T14" i="1" s="1"/>
  <c r="AA17" i="5"/>
  <c r="U18" i="1" s="1"/>
  <c r="Z18" i="1" s="1"/>
  <c r="AA18" i="1" s="1"/>
  <c r="AE18" i="1" s="1"/>
  <c r="X18" i="5"/>
  <c r="T19" i="1" s="1"/>
  <c r="X14" i="5"/>
  <c r="T15" i="1" s="1"/>
  <c r="N7" i="5"/>
  <c r="O38" i="5"/>
  <c r="O39" i="5" s="1"/>
  <c r="H51" i="5" s="1"/>
  <c r="C61" i="10" s="1"/>
  <c r="N22" i="5"/>
  <c r="C23" i="1" s="1"/>
  <c r="N31" i="5"/>
  <c r="C32" i="1" s="1"/>
  <c r="N24" i="5"/>
  <c r="C25" i="1" s="1"/>
  <c r="N18" i="5"/>
  <c r="C19" i="1" s="1"/>
  <c r="AA33" i="5"/>
  <c r="U34" i="1" s="1"/>
  <c r="X27" i="5"/>
  <c r="T28" i="1" s="1"/>
  <c r="X32" i="5"/>
  <c r="T33" i="1" s="1"/>
  <c r="AA13" i="5"/>
  <c r="U14" i="1" s="1"/>
  <c r="X19" i="5"/>
  <c r="T20" i="1" s="1"/>
  <c r="N26" i="5"/>
  <c r="C27" i="1" s="1"/>
  <c r="N16" i="5"/>
  <c r="C17" i="1" s="1"/>
  <c r="N27" i="5"/>
  <c r="C28" i="1" s="1"/>
  <c r="AD38" i="5"/>
  <c r="AD39" i="5" s="1"/>
  <c r="I57" i="5" s="1"/>
  <c r="D67" i="10" s="1"/>
  <c r="Q19" i="5"/>
  <c r="D20" i="1" s="1"/>
  <c r="N13" i="5"/>
  <c r="C14" i="1" s="1"/>
  <c r="N25" i="5"/>
  <c r="C26" i="1" s="1"/>
  <c r="N32" i="5"/>
  <c r="C33" i="1" s="1"/>
  <c r="N28" i="5"/>
  <c r="C29" i="1" s="1"/>
  <c r="N11" i="5"/>
  <c r="C12" i="1" s="1"/>
  <c r="N23" i="5"/>
  <c r="C24" i="1" s="1"/>
  <c r="P38" i="5"/>
  <c r="P39" i="5" s="1"/>
  <c r="H52" i="5" s="1"/>
  <c r="C62" i="10" s="1"/>
  <c r="R38" i="5"/>
  <c r="R39" i="5" s="1"/>
  <c r="H55" i="5" s="1"/>
  <c r="C65" i="10" s="1"/>
  <c r="M29" i="1"/>
  <c r="M19" i="1"/>
  <c r="AA30" i="5"/>
  <c r="U31" i="1" s="1"/>
  <c r="V8" i="1"/>
  <c r="V39" i="1" s="1"/>
  <c r="V40" i="1" s="1"/>
  <c r="AE38" i="5"/>
  <c r="AE39" i="5" s="1"/>
  <c r="I59" i="5" s="1"/>
  <c r="K24" i="1"/>
  <c r="M24" i="1" s="1"/>
  <c r="X36" i="5"/>
  <c r="T37" i="1" s="1"/>
  <c r="X28" i="5"/>
  <c r="T29" i="1" s="1"/>
  <c r="X10" i="5"/>
  <c r="T11" i="1" s="1"/>
  <c r="Z38" i="5"/>
  <c r="Z39" i="5" s="1"/>
  <c r="I52" i="5" s="1"/>
  <c r="D62" i="10" s="1"/>
  <c r="AC38" i="5"/>
  <c r="AC39" i="5" s="1"/>
  <c r="I56" i="5" s="1"/>
  <c r="D66" i="10" s="1"/>
  <c r="AA18" i="5"/>
  <c r="U19" i="1" s="1"/>
  <c r="AA14" i="5"/>
  <c r="U15" i="1" s="1"/>
  <c r="M31" i="1"/>
  <c r="AD39" i="1"/>
  <c r="AD40" i="1" s="1"/>
  <c r="K13" i="1"/>
  <c r="M13" i="1" s="1"/>
  <c r="M28" i="1"/>
  <c r="N7" i="1"/>
  <c r="X26" i="5"/>
  <c r="T27" i="1" s="1"/>
  <c r="AA24" i="5"/>
  <c r="U25" i="1" s="1"/>
  <c r="X31" i="5"/>
  <c r="T32" i="1" s="1"/>
  <c r="AA36" i="5"/>
  <c r="U37" i="1" s="1"/>
  <c r="AA32" i="5"/>
  <c r="U33" i="1" s="1"/>
  <c r="AA28" i="5"/>
  <c r="U29" i="1" s="1"/>
  <c r="X9" i="5"/>
  <c r="T10" i="1" s="1"/>
  <c r="X20" i="5"/>
  <c r="T21" i="1" s="1"/>
  <c r="X16" i="5"/>
  <c r="T17" i="1" s="1"/>
  <c r="X12" i="5"/>
  <c r="T13" i="1" s="1"/>
  <c r="K16" i="1"/>
  <c r="M16" i="1" s="1"/>
  <c r="AA12" i="5"/>
  <c r="U13" i="1" s="1"/>
  <c r="X7" i="5"/>
  <c r="Y38" i="5"/>
  <c r="Y39" i="5" s="1"/>
  <c r="I51" i="5" s="1"/>
  <c r="D61" i="10" s="1"/>
  <c r="F39" i="1"/>
  <c r="F40" i="1" s="1"/>
  <c r="D70" i="10"/>
  <c r="D78" i="10"/>
  <c r="AB39" i="1"/>
  <c r="AB40" i="1" s="1"/>
  <c r="D71" i="10" s="1"/>
  <c r="K23" i="1"/>
  <c r="M23" i="1" s="1"/>
  <c r="K12" i="1"/>
  <c r="G14" i="10"/>
  <c r="X33" i="5"/>
  <c r="T34" i="1" s="1"/>
  <c r="AA31" i="5"/>
  <c r="U32" i="1" s="1"/>
  <c r="X34" i="5"/>
  <c r="T35" i="1" s="1"/>
  <c r="X30" i="5"/>
  <c r="T31" i="1" s="1"/>
  <c r="X21" i="5"/>
  <c r="T22" i="1" s="1"/>
  <c r="AA19" i="5"/>
  <c r="U20" i="1" s="1"/>
  <c r="AA7" i="5"/>
  <c r="AB38" i="5"/>
  <c r="AB39" i="5" s="1"/>
  <c r="I55" i="5" s="1"/>
  <c r="D65" i="10" s="1"/>
  <c r="AA9" i="5"/>
  <c r="U10" i="1" s="1"/>
  <c r="AA20" i="5"/>
  <c r="U21" i="1" s="1"/>
  <c r="AA16" i="5"/>
  <c r="U17" i="1" s="1"/>
  <c r="E79" i="10"/>
  <c r="Z25" i="1" l="1"/>
  <c r="AA25" i="1" s="1"/>
  <c r="Z30" i="1"/>
  <c r="AA30" i="1" s="1"/>
  <c r="AE30" i="1" s="1"/>
  <c r="AF30" i="1" s="1"/>
  <c r="I32" i="1"/>
  <c r="J32" i="1" s="1"/>
  <c r="N32" i="1" s="1"/>
  <c r="O32" i="1" s="1"/>
  <c r="I28" i="1"/>
  <c r="J28" i="1" s="1"/>
  <c r="N28" i="1" s="1"/>
  <c r="Z24" i="1"/>
  <c r="AA24" i="1" s="1"/>
  <c r="AE24" i="1" s="1"/>
  <c r="AF24" i="1" s="1"/>
  <c r="Z23" i="1"/>
  <c r="AA23" i="1" s="1"/>
  <c r="AE23" i="1" s="1"/>
  <c r="AF23" i="1" s="1"/>
  <c r="I15" i="1"/>
  <c r="J15" i="1" s="1"/>
  <c r="N15" i="1" s="1"/>
  <c r="O15" i="1" s="1"/>
  <c r="Z26" i="1"/>
  <c r="AA26" i="1" s="1"/>
  <c r="AE26" i="1" s="1"/>
  <c r="AF26" i="1" s="1"/>
  <c r="I14" i="1"/>
  <c r="J14" i="1" s="1"/>
  <c r="N14" i="1" s="1"/>
  <c r="I34" i="1"/>
  <c r="J34" i="1" s="1"/>
  <c r="N34" i="1" s="1"/>
  <c r="O34" i="1" s="1"/>
  <c r="Z16" i="1"/>
  <c r="AA16" i="1" s="1"/>
  <c r="AE16" i="1" s="1"/>
  <c r="AF16" i="1" s="1"/>
  <c r="I23" i="1"/>
  <c r="J23" i="1" s="1"/>
  <c r="N23" i="1" s="1"/>
  <c r="I11" i="1"/>
  <c r="J11" i="1" s="1"/>
  <c r="N11" i="1" s="1"/>
  <c r="O11" i="1" s="1"/>
  <c r="I27" i="1"/>
  <c r="J27" i="1" s="1"/>
  <c r="N27" i="1" s="1"/>
  <c r="I36" i="1"/>
  <c r="J36" i="1" s="1"/>
  <c r="N36" i="1" s="1"/>
  <c r="O36" i="1" s="1"/>
  <c r="Z28" i="1"/>
  <c r="AA28" i="1" s="1"/>
  <c r="AE28" i="1" s="1"/>
  <c r="AF28" i="1" s="1"/>
  <c r="Z12" i="1"/>
  <c r="AA12" i="1" s="1"/>
  <c r="AE12" i="1" s="1"/>
  <c r="AF12" i="1" s="1"/>
  <c r="I25" i="1"/>
  <c r="J25" i="1" s="1"/>
  <c r="N25" i="1" s="1"/>
  <c r="O25" i="1" s="1"/>
  <c r="I30" i="1"/>
  <c r="J30" i="1" s="1"/>
  <c r="N30" i="1" s="1"/>
  <c r="O30" i="1" s="1"/>
  <c r="I18" i="1"/>
  <c r="J18" i="1" s="1"/>
  <c r="N18" i="1" s="1"/>
  <c r="O18" i="1" s="1"/>
  <c r="I19" i="1"/>
  <c r="J19" i="1" s="1"/>
  <c r="N19" i="1" s="1"/>
  <c r="J59" i="5"/>
  <c r="I10" i="1"/>
  <c r="J10" i="1" s="1"/>
  <c r="N10" i="1" s="1"/>
  <c r="I35" i="1"/>
  <c r="J35" i="1" s="1"/>
  <c r="N35" i="1" s="1"/>
  <c r="O35" i="1" s="1"/>
  <c r="I24" i="1"/>
  <c r="J24" i="1" s="1"/>
  <c r="N24" i="1" s="1"/>
  <c r="O24" i="1" s="1"/>
  <c r="I26" i="1"/>
  <c r="J26" i="1" s="1"/>
  <c r="N26" i="1" s="1"/>
  <c r="O26" i="1" s="1"/>
  <c r="I17" i="1"/>
  <c r="J17" i="1" s="1"/>
  <c r="N17" i="1" s="1"/>
  <c r="O17" i="1" s="1"/>
  <c r="J57" i="5"/>
  <c r="E67" i="10" s="1"/>
  <c r="I21" i="1"/>
  <c r="J21" i="1" s="1"/>
  <c r="N21" i="1" s="1"/>
  <c r="O21" i="1" s="1"/>
  <c r="C80" i="10"/>
  <c r="I16" i="1"/>
  <c r="J16" i="1" s="1"/>
  <c r="N16" i="1" s="1"/>
  <c r="C67" i="10"/>
  <c r="I29" i="1"/>
  <c r="J29" i="1" s="1"/>
  <c r="N29" i="1" s="1"/>
  <c r="O29" i="1" s="1"/>
  <c r="I33" i="1"/>
  <c r="J33" i="1" s="1"/>
  <c r="N33" i="1" s="1"/>
  <c r="Z36" i="1"/>
  <c r="AA36" i="1" s="1"/>
  <c r="AE36" i="1" s="1"/>
  <c r="AF36" i="1" s="1"/>
  <c r="Q38" i="5"/>
  <c r="Q39" i="5" s="1"/>
  <c r="H54" i="5" s="1"/>
  <c r="C64" i="10" s="1"/>
  <c r="B49" i="10" s="1"/>
  <c r="I12" i="1"/>
  <c r="J12" i="1" s="1"/>
  <c r="I9" i="1"/>
  <c r="J9" i="1" s="1"/>
  <c r="N9" i="1" s="1"/>
  <c r="O9" i="1" s="1"/>
  <c r="I22" i="1"/>
  <c r="J22" i="1" s="1"/>
  <c r="N22" i="1" s="1"/>
  <c r="O22" i="1" s="1"/>
  <c r="I37" i="1"/>
  <c r="J37" i="1" s="1"/>
  <c r="N37" i="1" s="1"/>
  <c r="O37" i="1" s="1"/>
  <c r="I20" i="1"/>
  <c r="J20" i="1" s="1"/>
  <c r="N20" i="1" s="1"/>
  <c r="Z15" i="1"/>
  <c r="AA15" i="1" s="1"/>
  <c r="AE15" i="1" s="1"/>
  <c r="AF15" i="1" s="1"/>
  <c r="Z20" i="1"/>
  <c r="AA20" i="1" s="1"/>
  <c r="AE20" i="1" s="1"/>
  <c r="Z33" i="1"/>
  <c r="AA33" i="1" s="1"/>
  <c r="AE33" i="1" s="1"/>
  <c r="AF33" i="1" s="1"/>
  <c r="Z14" i="1"/>
  <c r="AA14" i="1" s="1"/>
  <c r="AE14" i="1" s="1"/>
  <c r="AF14" i="1" s="1"/>
  <c r="J52" i="5"/>
  <c r="E62" i="10" s="1"/>
  <c r="N13" i="1"/>
  <c r="O13" i="1" s="1"/>
  <c r="D39" i="1"/>
  <c r="D40" i="1" s="1"/>
  <c r="C8" i="1"/>
  <c r="N38" i="5"/>
  <c r="N39" i="5" s="1"/>
  <c r="H50" i="5" s="1"/>
  <c r="C60" i="10" s="1"/>
  <c r="B48" i="10" s="1"/>
  <c r="D69" i="10"/>
  <c r="B56" i="10" s="1"/>
  <c r="K39" i="1"/>
  <c r="K40" i="1" s="1"/>
  <c r="C71" i="10" s="1"/>
  <c r="E71" i="10" s="1"/>
  <c r="AE25" i="1"/>
  <c r="AF18" i="1"/>
  <c r="Z17" i="1"/>
  <c r="AA17" i="1" s="1"/>
  <c r="AE17" i="1" s="1"/>
  <c r="U8" i="1"/>
  <c r="U39" i="1" s="1"/>
  <c r="U40" i="1" s="1"/>
  <c r="AA38" i="5"/>
  <c r="AA39" i="5" s="1"/>
  <c r="I54" i="5" s="1"/>
  <c r="D64" i="10" s="1"/>
  <c r="B55" i="10" s="1"/>
  <c r="Z11" i="1"/>
  <c r="AA11" i="1" s="1"/>
  <c r="AE11" i="1" s="1"/>
  <c r="Z37" i="1"/>
  <c r="AA37" i="1" s="1"/>
  <c r="AE37" i="1" s="1"/>
  <c r="AF37" i="1" s="1"/>
  <c r="Z29" i="1"/>
  <c r="AA29" i="1" s="1"/>
  <c r="AE29" i="1" s="1"/>
  <c r="O7" i="1"/>
  <c r="D82" i="10"/>
  <c r="E82" i="10" s="1"/>
  <c r="D80" i="10"/>
  <c r="Z22" i="1"/>
  <c r="AA22" i="1" s="1"/>
  <c r="AE22" i="1" s="1"/>
  <c r="T8" i="1"/>
  <c r="X38" i="5"/>
  <c r="X39" i="5" s="1"/>
  <c r="I50" i="5" s="1"/>
  <c r="Z21" i="1"/>
  <c r="AA21" i="1" s="1"/>
  <c r="AE21" i="1" s="1"/>
  <c r="J56" i="5"/>
  <c r="E66" i="10" s="1"/>
  <c r="AF9" i="1"/>
  <c r="Z31" i="1"/>
  <c r="AA31" i="1" s="1"/>
  <c r="AE31" i="1" s="1"/>
  <c r="C70" i="10"/>
  <c r="C78" i="10"/>
  <c r="E78" i="10" s="1"/>
  <c r="Z19" i="1"/>
  <c r="AA19" i="1" s="1"/>
  <c r="AE19" i="1" s="1"/>
  <c r="N31" i="1"/>
  <c r="Z10" i="1"/>
  <c r="AA10" i="1" s="1"/>
  <c r="AE10" i="1" s="1"/>
  <c r="Z32" i="1"/>
  <c r="AA32" i="1" s="1"/>
  <c r="AE32" i="1" s="1"/>
  <c r="Z27" i="1"/>
  <c r="AA27" i="1" s="1"/>
  <c r="AE27" i="1" s="1"/>
  <c r="M12" i="1"/>
  <c r="Z35" i="1"/>
  <c r="AA35" i="1" s="1"/>
  <c r="AE35" i="1" s="1"/>
  <c r="Z34" i="1"/>
  <c r="AA34" i="1" s="1"/>
  <c r="AE34" i="1" s="1"/>
  <c r="J51" i="5"/>
  <c r="E61" i="10" s="1"/>
  <c r="Z13" i="1"/>
  <c r="AA13" i="1" s="1"/>
  <c r="AE13" i="1" s="1"/>
  <c r="J55" i="5"/>
  <c r="E65" i="10" s="1"/>
  <c r="AH26" i="1" l="1"/>
  <c r="AH18" i="1"/>
  <c r="AH30" i="1"/>
  <c r="AH16" i="1"/>
  <c r="E80" i="10"/>
  <c r="Q36" i="1"/>
  <c r="Q35" i="1"/>
  <c r="N12" i="1"/>
  <c r="O12" i="1" s="1"/>
  <c r="O33" i="1"/>
  <c r="Q34" i="1"/>
  <c r="Q15" i="1"/>
  <c r="Q21" i="1"/>
  <c r="Q22" i="1"/>
  <c r="Q37" i="1"/>
  <c r="O20" i="1"/>
  <c r="Q27" i="1"/>
  <c r="Q30" i="1"/>
  <c r="O28" i="1"/>
  <c r="C39" i="1"/>
  <c r="C40" i="1" s="1"/>
  <c r="C76" i="10" s="1"/>
  <c r="I8" i="1"/>
  <c r="Q11" i="1"/>
  <c r="Q17" i="1"/>
  <c r="O10" i="1"/>
  <c r="O19" i="1"/>
  <c r="Q26" i="1"/>
  <c r="Q19" i="1"/>
  <c r="O16" i="1"/>
  <c r="Q18" i="1"/>
  <c r="Q20" i="1"/>
  <c r="AH25" i="1"/>
  <c r="AF25" i="1"/>
  <c r="Q28" i="1"/>
  <c r="AH29" i="1"/>
  <c r="AF27" i="1"/>
  <c r="AH27" i="1"/>
  <c r="AH28" i="1"/>
  <c r="AH33" i="1"/>
  <c r="AF31" i="1"/>
  <c r="AH32" i="1"/>
  <c r="AF13" i="1"/>
  <c r="AH15" i="1"/>
  <c r="AH14" i="1"/>
  <c r="AH34" i="1"/>
  <c r="AF32" i="1"/>
  <c r="AH21" i="1"/>
  <c r="AF19" i="1"/>
  <c r="AH20" i="1"/>
  <c r="AH23" i="1"/>
  <c r="AF21" i="1"/>
  <c r="AF22" i="1"/>
  <c r="AH24" i="1"/>
  <c r="AF34" i="1"/>
  <c r="AH36" i="1"/>
  <c r="AH13" i="1"/>
  <c r="AF11" i="1"/>
  <c r="AF10" i="1"/>
  <c r="AH12" i="1"/>
  <c r="AH22" i="1"/>
  <c r="AF20" i="1"/>
  <c r="J54" i="5"/>
  <c r="E64" i="10" s="1"/>
  <c r="Q25" i="1"/>
  <c r="O23" i="1"/>
  <c r="Q23" i="1"/>
  <c r="Q24" i="1"/>
  <c r="E70" i="10"/>
  <c r="C69" i="10"/>
  <c r="D60" i="10"/>
  <c r="J50" i="5"/>
  <c r="E60" i="10" s="1"/>
  <c r="Q29" i="1"/>
  <c r="O27" i="1"/>
  <c r="AH35" i="1"/>
  <c r="AH37" i="1"/>
  <c r="AF35" i="1"/>
  <c r="Q33" i="1"/>
  <c r="O31" i="1"/>
  <c r="Q32" i="1"/>
  <c r="Q31" i="1"/>
  <c r="O14" i="1"/>
  <c r="Q16" i="1"/>
  <c r="AH11" i="1"/>
  <c r="Z8" i="1"/>
  <c r="T39" i="1"/>
  <c r="T40" i="1" s="1"/>
  <c r="D76" i="10" s="1"/>
  <c r="AF29" i="1"/>
  <c r="AH31" i="1"/>
  <c r="AH19" i="1"/>
  <c r="AF17" i="1"/>
  <c r="M39" i="1"/>
  <c r="M40" i="1" s="1"/>
  <c r="AH17" i="1"/>
  <c r="Q14" i="1" l="1"/>
  <c r="Q12" i="1"/>
  <c r="Q13" i="1"/>
  <c r="E76" i="10"/>
  <c r="J8" i="1"/>
  <c r="I39" i="1"/>
  <c r="I40" i="1" s="1"/>
  <c r="B54" i="10"/>
  <c r="AA8" i="1"/>
  <c r="Z39" i="1"/>
  <c r="Z40" i="1" s="1"/>
  <c r="B50" i="10"/>
  <c r="E69" i="10"/>
  <c r="J39" i="1" l="1"/>
  <c r="J40" i="1" s="1"/>
  <c r="C75" i="10" s="1"/>
  <c r="N8" i="1"/>
  <c r="AA39" i="1"/>
  <c r="AA40" i="1" s="1"/>
  <c r="D75" i="10" s="1"/>
  <c r="AE8" i="1"/>
  <c r="C22" i="10" l="1"/>
  <c r="H39" i="11" s="1"/>
  <c r="G15" i="10" s="1"/>
  <c r="Q9" i="1"/>
  <c r="C15" i="10"/>
  <c r="C16" i="10" s="1"/>
  <c r="Q10" i="1"/>
  <c r="N39" i="1"/>
  <c r="N40" i="1" s="1"/>
  <c r="C23" i="10"/>
  <c r="O8" i="1"/>
  <c r="O39" i="1" s="1"/>
  <c r="O40" i="1" s="1"/>
  <c r="B51" i="10"/>
  <c r="C84" i="10"/>
  <c r="B57" i="10"/>
  <c r="E75" i="10"/>
  <c r="D84" i="10"/>
  <c r="AH9" i="1"/>
  <c r="AH10" i="1"/>
  <c r="AF8" i="1"/>
  <c r="AF39" i="1" s="1"/>
  <c r="AF40" i="1" s="1"/>
  <c r="AE39" i="1"/>
  <c r="AE40" i="1" s="1"/>
  <c r="D22" i="10"/>
  <c r="D23" i="10"/>
  <c r="D15" i="10"/>
  <c r="E23" i="10" l="1"/>
  <c r="E84" i="10"/>
  <c r="B9" i="10"/>
  <c r="F51" i="4"/>
  <c r="C12" i="4" s="1"/>
  <c r="F171" i="4"/>
  <c r="F81" i="4"/>
  <c r="F141" i="4"/>
  <c r="F111" i="4"/>
  <c r="F201" i="4"/>
  <c r="C25" i="10"/>
  <c r="C24" i="10"/>
  <c r="H40" i="11" s="1"/>
  <c r="P11" i="1"/>
  <c r="P27" i="1"/>
  <c r="P26" i="1"/>
  <c r="P20" i="1"/>
  <c r="P36" i="1"/>
  <c r="P13" i="1"/>
  <c r="P29" i="1"/>
  <c r="P34" i="1"/>
  <c r="P19" i="1"/>
  <c r="P35" i="1"/>
  <c r="P28" i="1"/>
  <c r="P30" i="1"/>
  <c r="P37" i="1"/>
  <c r="P23" i="1"/>
  <c r="P10" i="1"/>
  <c r="P32" i="1"/>
  <c r="P18" i="1"/>
  <c r="P15" i="1"/>
  <c r="P31" i="1"/>
  <c r="P8" i="1"/>
  <c r="P24" i="1"/>
  <c r="P14" i="1"/>
  <c r="P17" i="1"/>
  <c r="P33" i="1"/>
  <c r="P22" i="1"/>
  <c r="P12" i="1"/>
  <c r="P21" i="1"/>
  <c r="P16" i="1"/>
  <c r="P25" i="1"/>
  <c r="P9" i="1"/>
  <c r="I39" i="11"/>
  <c r="E22" i="10"/>
  <c r="AG20" i="1"/>
  <c r="AG36" i="1"/>
  <c r="AG22" i="1"/>
  <c r="AG29" i="1"/>
  <c r="AG25" i="1"/>
  <c r="AG10" i="1"/>
  <c r="AG16" i="1"/>
  <c r="AG8" i="1"/>
  <c r="AG24" i="1"/>
  <c r="AG27" i="1"/>
  <c r="AG13" i="1"/>
  <c r="AG34" i="1"/>
  <c r="AG9" i="1"/>
  <c r="AG30" i="1"/>
  <c r="AG15" i="1"/>
  <c r="AG21" i="1"/>
  <c r="AG26" i="1"/>
  <c r="AG31" i="1"/>
  <c r="AG32" i="1"/>
  <c r="AG17" i="1"/>
  <c r="AG23" i="1"/>
  <c r="AG12" i="1"/>
  <c r="AG28" i="1"/>
  <c r="AG11" i="1"/>
  <c r="AG33" i="1"/>
  <c r="AG18" i="1"/>
  <c r="AG14" i="1"/>
  <c r="AG35" i="1"/>
  <c r="AG37" i="1"/>
  <c r="AG19" i="1"/>
  <c r="D24" i="10"/>
  <c r="D25" i="10"/>
  <c r="D16" i="10"/>
  <c r="E15" i="10"/>
  <c r="E25" i="10" l="1"/>
  <c r="P39" i="1"/>
  <c r="P40" i="1" s="1"/>
  <c r="G16" i="10"/>
  <c r="H41" i="11"/>
  <c r="D41" i="8"/>
  <c r="D37" i="8"/>
  <c r="D33" i="8"/>
  <c r="D40" i="8"/>
  <c r="D36" i="8"/>
  <c r="D32" i="8"/>
  <c r="D39" i="8"/>
  <c r="D31" i="8"/>
  <c r="D38" i="8"/>
  <c r="B10" i="10"/>
  <c r="D35" i="8"/>
  <c r="D42" i="8"/>
  <c r="D34" i="8"/>
  <c r="E16" i="10"/>
  <c r="B8" i="10" s="1"/>
  <c r="AG39" i="1"/>
  <c r="AG40" i="1" s="1"/>
  <c r="I40" i="11"/>
  <c r="G19" i="10" s="1"/>
  <c r="E24" i="10"/>
  <c r="G18" i="10"/>
  <c r="I41" i="11" l="1"/>
</calcChain>
</file>

<file path=xl/sharedStrings.xml><?xml version="1.0" encoding="utf-8"?>
<sst xmlns="http://schemas.openxmlformats.org/spreadsheetml/2006/main" count="434" uniqueCount="300">
  <si>
    <t>Interest rate</t>
  </si>
  <si>
    <t>Downpayment</t>
  </si>
  <si>
    <t>Lifespan</t>
  </si>
  <si>
    <t>Status quo</t>
  </si>
  <si>
    <t xml:space="preserve">Insurance rate </t>
  </si>
  <si>
    <t>Salvage value</t>
  </si>
  <si>
    <t>Salvage value of milking systems</t>
  </si>
  <si>
    <t>Milking system loan period</t>
  </si>
  <si>
    <t>Barn loan period</t>
  </si>
  <si>
    <t>Milking &amp; chore labor (hours/day)</t>
  </si>
  <si>
    <t>Mailbox milk price ($/cwt)</t>
  </si>
  <si>
    <t>Wage rate for milking and chore ($/hour)</t>
  </si>
  <si>
    <t>Downpayment (%)</t>
  </si>
  <si>
    <t>Required return on equity (%)</t>
  </si>
  <si>
    <t>Milking system inflation (%)</t>
  </si>
  <si>
    <t>Wage inflation (%)</t>
  </si>
  <si>
    <t>Optional control</t>
  </si>
  <si>
    <t>Total cost of milking system ($)</t>
  </si>
  <si>
    <t>Lifespan (years)</t>
  </si>
  <si>
    <t>Additional repair cost ($)</t>
  </si>
  <si>
    <t>Total barn cost ($)</t>
  </si>
  <si>
    <t>Projected milking &amp; chore labor (hours/day)</t>
  </si>
  <si>
    <t>Projected milk production (lb/cow/day)</t>
  </si>
  <si>
    <t>Shared</t>
  </si>
  <si>
    <t>Year</t>
  </si>
  <si>
    <t>Operating income</t>
  </si>
  <si>
    <t>Interest</t>
  </si>
  <si>
    <t>Principal</t>
  </si>
  <si>
    <t>Depreciation</t>
  </si>
  <si>
    <t>After-tax cash flow</t>
  </si>
  <si>
    <t>Robot</t>
  </si>
  <si>
    <t>Parlor</t>
  </si>
  <si>
    <t>Changes through investment compared to status quo</t>
  </si>
  <si>
    <t xml:space="preserve">Cost of dry matter ($/lb of DM) </t>
  </si>
  <si>
    <t>year</t>
  </si>
  <si>
    <t>Loan</t>
  </si>
  <si>
    <t>Period</t>
  </si>
  <si>
    <t>milking sys.</t>
  </si>
  <si>
    <t>barn</t>
  </si>
  <si>
    <t>interest</t>
  </si>
  <si>
    <t>principal</t>
  </si>
  <si>
    <t>Ann. payment</t>
  </si>
  <si>
    <t>Inflation</t>
  </si>
  <si>
    <t>Weighted Average Cost of Capital</t>
  </si>
  <si>
    <t>Difference</t>
  </si>
  <si>
    <t>Time horizon</t>
  </si>
  <si>
    <t>Milking system</t>
  </si>
  <si>
    <t>Barn</t>
  </si>
  <si>
    <t>Milking system cycles</t>
  </si>
  <si>
    <t>Cycle</t>
  </si>
  <si>
    <t>Robots' cost</t>
  </si>
  <si>
    <t>Barn cost</t>
  </si>
  <si>
    <t>Robot ANPV</t>
  </si>
  <si>
    <t xml:space="preserve">Changes </t>
  </si>
  <si>
    <t>Milk output</t>
  </si>
  <si>
    <t>Enter user inputs in yellow boxes</t>
  </si>
  <si>
    <t>INPUT</t>
  </si>
  <si>
    <t>OUTPUT</t>
  </si>
  <si>
    <t>Markets: milk, labor and capital</t>
  </si>
  <si>
    <t>Net Revenue increase</t>
  </si>
  <si>
    <t>Labor Savings</t>
  </si>
  <si>
    <t>Feed Cost Change</t>
  </si>
  <si>
    <t>Insurance and Repair Change</t>
  </si>
  <si>
    <t>Net Expense decrease</t>
  </si>
  <si>
    <t>a</t>
  </si>
  <si>
    <t>b</t>
  </si>
  <si>
    <t>a + b</t>
  </si>
  <si>
    <t>c</t>
  </si>
  <si>
    <t>d</t>
  </si>
  <si>
    <t>e</t>
  </si>
  <si>
    <t>c + d + e</t>
  </si>
  <si>
    <t>Milk Revenue Change</t>
  </si>
  <si>
    <t>SCC premium Change</t>
  </si>
  <si>
    <t>NPV</t>
  </si>
  <si>
    <t>SCC Premium Change</t>
  </si>
  <si>
    <t>Net Revenue Change</t>
  </si>
  <si>
    <t>Net Expense Change</t>
  </si>
  <si>
    <t>ANPV</t>
  </si>
  <si>
    <t>Average* Annual Breakdown    ( * In terms of ANPV)</t>
  </si>
  <si>
    <t xml:space="preserve"> </t>
  </si>
  <si>
    <t xml:space="preserve">    Milk Revenue Change</t>
  </si>
  <si>
    <t xml:space="preserve">    SCC Premium Change</t>
  </si>
  <si>
    <t xml:space="preserve">    Labor Savings</t>
  </si>
  <si>
    <t xml:space="preserve">    Feed Cost Change</t>
  </si>
  <si>
    <t xml:space="preserve">    Interests</t>
  </si>
  <si>
    <t xml:space="preserve">    Principal</t>
  </si>
  <si>
    <t xml:space="preserve">    Downpayment</t>
  </si>
  <si>
    <t xml:space="preserve">    Salvage value</t>
  </si>
  <si>
    <t xml:space="preserve">    Change in Rev. &amp; Exp.</t>
  </si>
  <si>
    <t xml:space="preserve">    Depreciation</t>
  </si>
  <si>
    <t>Required minumum threshold</t>
  </si>
  <si>
    <t>Conservative</t>
  </si>
  <si>
    <t>Moderate</t>
  </si>
  <si>
    <t>Aggressive</t>
  </si>
  <si>
    <t>Sum of 3-year consecutive cash flow changes</t>
  </si>
  <si>
    <t>Annual after-tax cash flow change</t>
  </si>
  <si>
    <t>Cash flow is negatively impacted particularly when;</t>
  </si>
  <si>
    <t xml:space="preserve">    (2) downpayment for the second cycle of robot is needed</t>
  </si>
  <si>
    <t xml:space="preserve">    (1) depreciation expense for robots ends </t>
  </si>
  <si>
    <t>Initial downpayment</t>
  </si>
  <si>
    <t>3-year sum cash flow</t>
  </si>
  <si>
    <t xml:space="preserve">    Salvage Sales</t>
  </si>
  <si>
    <t>Selected</t>
  </si>
  <si>
    <t>Milking Labor hours</t>
  </si>
  <si>
    <t xml:space="preserve">Conditional highlighting is used to warn the user if any of the minimum requirement is violated. </t>
  </si>
  <si>
    <t>Warning Criteria</t>
  </si>
  <si>
    <t xml:space="preserve">  a. Initial downpayment</t>
  </si>
  <si>
    <t xml:space="preserve">  c. Sum of 3-year consecutive cash flows</t>
  </si>
  <si>
    <t xml:space="preserve">  b. Annual after-tax cash flow </t>
  </si>
  <si>
    <t>Item</t>
  </si>
  <si>
    <t>Depreciation method</t>
  </si>
  <si>
    <t>Size Class</t>
  </si>
  <si>
    <t>Cows</t>
  </si>
  <si>
    <t>min</t>
  </si>
  <si>
    <t>step</t>
  </si>
  <si>
    <t>Milk Production</t>
  </si>
  <si>
    <t>Variable</t>
  </si>
  <si>
    <t>Milking Labor</t>
  </si>
  <si>
    <t>Robot Cost</t>
  </si>
  <si>
    <t>Barn Cost</t>
  </si>
  <si>
    <t>0 - 89</t>
  </si>
  <si>
    <t>90 - 149</t>
  </si>
  <si>
    <t>150 - 209</t>
  </si>
  <si>
    <t>210 - 269</t>
  </si>
  <si>
    <t>270 - 329</t>
  </si>
  <si>
    <t>330 - 389</t>
  </si>
  <si>
    <t>390 - 449</t>
  </si>
  <si>
    <t>450 - 509</t>
  </si>
  <si>
    <t>510 - 569</t>
  </si>
  <si>
    <t>570 +</t>
  </si>
  <si>
    <t>(A) Accelerated Depreciation Method (7 yrs for milking sys, 10 yrs for barn)</t>
  </si>
  <si>
    <t>(B) Straight-line Depreciation Method (10 yrs for milking sys, 15 yrs for barn)</t>
  </si>
  <si>
    <t>Accelerated (7 yrs for milking sys, 10 yrs for barn)</t>
  </si>
  <si>
    <t>Straignt-line (10 yrs for milking sys, 15 yrs for barn)</t>
  </si>
  <si>
    <t>Choices</t>
  </si>
  <si>
    <t>Method</t>
  </si>
  <si>
    <t>Data Points</t>
  </si>
  <si>
    <t xml:space="preserve">(FIXED) </t>
  </si>
  <si>
    <t>* This workbook uses Data Table: http://excelhelphq.com/how-does-an-excel-data-table-link-input-cells-on-multiple-or-different-worksheets/</t>
  </si>
  <si>
    <t>Table of Contents</t>
  </si>
  <si>
    <t>2. User Output</t>
  </si>
  <si>
    <t>1. User Input</t>
  </si>
  <si>
    <t>3. Supporting Calculations</t>
  </si>
  <si>
    <t>Data Entry</t>
  </si>
  <si>
    <t>Results</t>
  </si>
  <si>
    <t>Changes in Revenues and Costs</t>
  </si>
  <si>
    <t>Changes in Cash Flow (Summary)</t>
  </si>
  <si>
    <t>Changes in Debt Finance</t>
  </si>
  <si>
    <t>3a. Changes in Cash Flows (Summary including 3b, 3c, and 3d)</t>
  </si>
  <si>
    <t>3b. Changes in Revenues and Costs</t>
  </si>
  <si>
    <t>3c. Changes in Debt Finance</t>
  </si>
  <si>
    <t>3d. Changes in Depreciation</t>
  </si>
  <si>
    <t>3e. Warning Notification Criteria</t>
  </si>
  <si>
    <t>1a. Data</t>
  </si>
  <si>
    <t>2a. Results</t>
  </si>
  <si>
    <t>2b. Sensitivity</t>
  </si>
  <si>
    <t>Changes in Depreciation</t>
  </si>
  <si>
    <t>Jim Salfer, Extension Educator, Dairy</t>
  </si>
  <si>
    <t>Betty Berning, Extension Educator, Ag Business Management</t>
  </si>
  <si>
    <t>William F. Lazarus, Professor and Extension Economist</t>
  </si>
  <si>
    <t>wlazarus@umn.edu</t>
  </si>
  <si>
    <t>612-625-8150</t>
  </si>
  <si>
    <t>salfe001@umn.edu</t>
  </si>
  <si>
    <t>bberning@umn.edu</t>
  </si>
  <si>
    <t>320-203-6104</t>
  </si>
  <si>
    <t>320-203-6093</t>
  </si>
  <si>
    <t>Kota Minegishi, Assistant Professor of Dairy Analytics</t>
  </si>
  <si>
    <t>kota@umn.edu</t>
  </si>
  <si>
    <t>612-624-7455</t>
  </si>
  <si>
    <t>Marcia Endres, Professor</t>
  </si>
  <si>
    <t>miendres@umn.edu</t>
  </si>
  <si>
    <t>612-624-5391</t>
  </si>
  <si>
    <t>Robotic Milking Systems and Parlors Calculator</t>
  </si>
  <si>
    <t xml:space="preserve">This spreadsheet draws on an earlier spreadsheet developed by Larry Tranel and Kristen Schulte, Iowa State University, available at; </t>
  </si>
  <si>
    <t xml:space="preserve">http://www.extension.iastate.edu/dairyteam/milking-systems </t>
  </si>
  <si>
    <t>as well as a more detailed version of this spreadsheet tool by Willam Lazarus, Jim Salfer, Betty Berning, Kevin Janni of University of Minnesota and David Kammel of University of Wisconsin-Madison;</t>
  </si>
  <si>
    <t>http://wlazarus.cfans.umn.edu/william-lazarus-spreadsheet-decision-tools/</t>
  </si>
  <si>
    <t>Robot vs Parlor Calculator</t>
  </si>
  <si>
    <t xml:space="preserve">Usual disclaimers apply. </t>
  </si>
  <si>
    <t>4. Credits</t>
  </si>
  <si>
    <t xml:space="preserve">4a. About </t>
  </si>
  <si>
    <t>Go to Results -&gt;</t>
  </si>
  <si>
    <t>Go to Sensitivity Analysis -&gt;</t>
  </si>
  <si>
    <t xml:space="preserve">Results for given user inputs </t>
  </si>
  <si>
    <t xml:space="preserve">   ( plus the sensitivity with Robot's parameters in the next sheet)  </t>
  </si>
  <si>
    <t>(Transposed for internal calculation purposes)</t>
  </si>
  <si>
    <t xml:space="preserve">Any errors are the responsibility of the authors listed above. Errors and suggestions for improvements are welcome and may be directed to; </t>
  </si>
  <si>
    <t>Supporting Information</t>
  </si>
  <si>
    <t>Parameters of Sensitivity Analysis</t>
  </si>
  <si>
    <t xml:space="preserve">Change key input parameters for Robot one by one, while keeping parameters for parlor fixed. </t>
  </si>
  <si>
    <t>Select a Parameter of Interest:</t>
  </si>
  <si>
    <t>List of All Sensitivity Results</t>
  </si>
  <si>
    <t>Income tax rate, Federal + State (%)</t>
  </si>
  <si>
    <t xml:space="preserve">   By University of Minnesota Dairy Extention  </t>
  </si>
  <si>
    <t>Base (Adjust this table as needed)</t>
  </si>
  <si>
    <t>Interest rate: milking system (%)</t>
  </si>
  <si>
    <t>Interest rate: barn (%)</t>
  </si>
  <si>
    <t>Sensitivity of Robot's Net Annual Impact</t>
  </si>
  <si>
    <t>Robot Annual Impact</t>
  </si>
  <si>
    <t>Parlor Annual Impact</t>
  </si>
  <si>
    <t>Discounted cash flow</t>
  </si>
  <si>
    <t>Annuity</t>
  </si>
  <si>
    <t>Annuity Equivalent</t>
  </si>
  <si>
    <t>Investment Finance</t>
  </si>
  <si>
    <t>C. Investment Finance</t>
  </si>
  <si>
    <t>A. Net Revenue Increase</t>
  </si>
  <si>
    <t xml:space="preserve">    Insurance and Repair </t>
  </si>
  <si>
    <t>Tax Deduction</t>
  </si>
  <si>
    <t>Net Revenue Increase</t>
  </si>
  <si>
    <t>Net Tax Deduction</t>
  </si>
  <si>
    <t>Summary</t>
  </si>
  <si>
    <t xml:space="preserve">Shown below are the tables of Robot's Net Annual Impact at selected parameter values and the plots of those points. </t>
  </si>
  <si>
    <t>Note: Breakdown of Net Annual Impact shows the "average" impacts of the component-wise cash flows, accounting for time value of money.</t>
  </si>
  <si>
    <t xml:space="preserve">* Accounting for time value of money. </t>
  </si>
  <si>
    <t>Minimum of yearly cash flow impacts</t>
  </si>
  <si>
    <t>Maximum of yearly cash flow impacts</t>
  </si>
  <si>
    <t>Minimum of 3-consecutive year sum cash flows</t>
  </si>
  <si>
    <t>Maximum of 3-consecutive year sum cash flows</t>
  </si>
  <si>
    <t>Notes on Cash Flow: Highs and Lows</t>
  </si>
  <si>
    <t xml:space="preserve">  *  (+) tax saving, (-) tax payment.</t>
  </si>
  <si>
    <t>D. Net Tax Deduction*</t>
  </si>
  <si>
    <t>Breakdown of Net Annual Impact</t>
  </si>
  <si>
    <t>Threshold</t>
  </si>
  <si>
    <t>Conditional highlighting indicators (1=indicate warning)</t>
  </si>
  <si>
    <t>Warning Notification (Select criteria)</t>
  </si>
  <si>
    <t>Violation indicator for any item</t>
  </si>
  <si>
    <t>B. Net Expense Reduction</t>
  </si>
  <si>
    <t>Net Expense Reduction</t>
  </si>
  <si>
    <t xml:space="preserve">Note: Net Impact and Net Annual Impact are the "sum" and the "average" of year-by-year cash flows, respectively, accounting for time value of money. </t>
  </si>
  <si>
    <t>Plot of Year-by-year Cash Flows for Breakdown Items A through D.</t>
  </si>
  <si>
    <t>Time Horizon (years)*</t>
  </si>
  <si>
    <t>Net Impact**</t>
  </si>
  <si>
    <t>Net Annual Impact***</t>
  </si>
  <si>
    <t xml:space="preserve"> ** Formally known as a Net Present Value (NPV) of cash flow changes (in the chart below). </t>
  </si>
  <si>
    <t xml:space="preserve"> *** Net Annual Impact: the annuity of Net Impact.</t>
  </si>
  <si>
    <t>Number of depreciation years: milking system</t>
  </si>
  <si>
    <t>Number of depreciation years: barn</t>
  </si>
  <si>
    <t>Milk production (lb/cow/day)</t>
  </si>
  <si>
    <t>Total barn investment ($)</t>
  </si>
  <si>
    <t>Total investment of milking system ($)</t>
  </si>
  <si>
    <t>Milking System Specifics</t>
  </si>
  <si>
    <t>Maximum time horizon (barn life)</t>
  </si>
  <si>
    <t>Milking labor under a new system (hours/day)</t>
  </si>
  <si>
    <t>Milk production under a new system (lb/cow/day)</t>
  </si>
  <si>
    <t>Milk fat (%)</t>
  </si>
  <si>
    <t>Cow's genetic gain in milk production (%/year)</t>
  </si>
  <si>
    <t>Pellet quantity (lb/cow/day)</t>
  </si>
  <si>
    <t>Income over feed cost margin inflation (%)</t>
  </si>
  <si>
    <t>DMI milking system  (lb/cow/day)</t>
  </si>
  <si>
    <t>assumed body weight (independent of results)</t>
  </si>
  <si>
    <t>DMI difference (lb/cow,day)</t>
  </si>
  <si>
    <t>NRC Formula for calculating Dry Matter Intake Change</t>
  </si>
  <si>
    <t>Current Situation</t>
  </si>
  <si>
    <t xml:space="preserve">   (current situation, markets, and changes as well as optional controls)</t>
  </si>
  <si>
    <t>DMI current situation (lb/cow/day)</t>
  </si>
  <si>
    <t>Projected Somatic Cell Count (1,000/ml)</t>
  </si>
  <si>
    <t>SCC Premium ($/ml)</t>
  </si>
  <si>
    <t>Change in dry matter feed cost</t>
  </si>
  <si>
    <t>Additional cost of pellets</t>
  </si>
  <si>
    <t>Expanded herd</t>
  </si>
  <si>
    <t>Additional pelleting cost ($/ton)</t>
  </si>
  <si>
    <t>Feed cost from new cows</t>
  </si>
  <si>
    <t>Milk revenue from new cows</t>
  </si>
  <si>
    <t>SCC premiums from new cows</t>
  </si>
  <si>
    <t>Other cost from new cows</t>
  </si>
  <si>
    <t>premium under current situation ($/cwt)</t>
  </si>
  <si>
    <t>premium under new system ($cwt)</t>
  </si>
  <si>
    <t>f</t>
  </si>
  <si>
    <t xml:space="preserve">c + d + e </t>
  </si>
  <si>
    <t>Net Herd Expansion Change</t>
  </si>
  <si>
    <t>Herd Expansion Change</t>
  </si>
  <si>
    <t>Net Herd Expansion</t>
  </si>
  <si>
    <t>E. Net Herd Expansion Effect</t>
  </si>
  <si>
    <t>Net Annual Impact (A+B+C+D+E)</t>
  </si>
  <si>
    <t xml:space="preserve">    expansion</t>
  </si>
  <si>
    <t>Current milking herd (cows)</t>
  </si>
  <si>
    <t>Milking herd expansion (cows)</t>
  </si>
  <si>
    <t>Herd expansion</t>
  </si>
  <si>
    <t xml:space="preserve">  Death rate</t>
  </si>
  <si>
    <t xml:space="preserve">  Cull rate</t>
  </si>
  <si>
    <t xml:space="preserve">  Non-feed non-labor variable cost per cow ($)</t>
  </si>
  <si>
    <t xml:space="preserve">  Heifer price ($/head)</t>
  </si>
  <si>
    <t xml:space="preserve">   Cull sales value ($/head)</t>
  </si>
  <si>
    <t>Replacement cost from new cows</t>
  </si>
  <si>
    <t xml:space="preserve">   Loan period (years)</t>
  </si>
  <si>
    <t>Cow loan payment</t>
  </si>
  <si>
    <t>Copy of Data Inputs (H8:H16 contains references to Sensitivity sheet, which makes use of the DataTable function.)</t>
  </si>
  <si>
    <t xml:space="preserve">User Size Class: </t>
  </si>
  <si>
    <t xml:space="preserve">Online Version of This Spreadsheet Tool </t>
  </si>
  <si>
    <t>https://z.umn.edu/RobotParlor/</t>
  </si>
  <si>
    <t>Last Updated: 2/10/2017</t>
  </si>
  <si>
    <t>Somatic Cell Count (1,000/ml)</t>
  </si>
  <si>
    <t xml:space="preserve">   Cow loan: interest rate (%)</t>
  </si>
  <si>
    <t>Initial Cost of Repairs and Maintenance ($/yr)</t>
  </si>
  <si>
    <t>Cost Increse in Repairs and Maintenance ($/yr)</t>
  </si>
  <si>
    <t>Additional Cost of Barn Repairs and Upgrades ($/yr)</t>
  </si>
  <si>
    <t>Annual Increase in the Maintenance Cost ($/yr)</t>
  </si>
  <si>
    <t>Repair and Maintenance Cost of Milking System ($/yr)</t>
  </si>
  <si>
    <t>Repair Cost</t>
  </si>
  <si>
    <t>Repair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</si>
</sst>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0000"/>
    <numFmt numFmtId="167" formatCode="m/d/yy;@"/>
    <numFmt numFmtId="168" formatCode="0.000"/>
    <numFmt numFmtId="169" formatCode="0.0%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sz val="16"/>
      <color theme="1"/>
      <name val="Calibri"/>
      <scheme val="minor"/>
    </font>
    <font>
      <sz val="12"/>
      <name val="Calibri"/>
      <scheme val="minor"/>
    </font>
    <font>
      <b/>
      <sz val="18"/>
      <color theme="3"/>
      <name val="Cambria"/>
      <family val="2"/>
      <scheme val="maj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scheme val="minor"/>
    </font>
    <font>
      <b/>
      <sz val="26"/>
      <color rgb="FF970013"/>
      <name val="Cambria"/>
      <scheme val="major"/>
    </font>
    <font>
      <sz val="12"/>
      <color rgb="FFAE0016"/>
      <name val="Calibri"/>
      <scheme val="minor"/>
    </font>
    <font>
      <i/>
      <sz val="12"/>
      <color rgb="FF7F7F7F"/>
      <name val="Calibri"/>
      <family val="2"/>
      <scheme val="minor"/>
    </font>
    <font>
      <sz val="16"/>
      <color theme="1"/>
      <name val="Calibri"/>
      <scheme val="minor"/>
    </font>
    <font>
      <b/>
      <sz val="20"/>
      <color theme="0"/>
      <name val="Calibri"/>
      <scheme val="minor"/>
    </font>
    <font>
      <b/>
      <sz val="16"/>
      <color rgb="FFFFC000"/>
      <name val="Arial"/>
      <family val="2"/>
    </font>
    <font>
      <b/>
      <sz val="24"/>
      <color theme="0"/>
      <name val="Arial"/>
    </font>
    <font>
      <b/>
      <sz val="20"/>
      <color theme="0"/>
      <name val="Arial"/>
    </font>
    <font>
      <b/>
      <sz val="16"/>
      <name val="Calibri"/>
      <scheme val="minor"/>
    </font>
    <font>
      <u/>
      <sz val="16"/>
      <color theme="10"/>
      <name val="Calibri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scheme val="minor"/>
    </font>
    <font>
      <b/>
      <sz val="14"/>
      <color rgb="FF7E8843"/>
      <name val="Calibri"/>
      <scheme val="minor"/>
    </font>
    <font>
      <sz val="12"/>
      <color rgb="FF7E8843"/>
      <name val="Calibri"/>
      <scheme val="minor"/>
    </font>
    <font>
      <b/>
      <sz val="16"/>
      <color rgb="FF7E8843"/>
      <name val="Calibri"/>
      <scheme val="minor"/>
    </font>
    <font>
      <b/>
      <sz val="12"/>
      <color rgb="FF7E8843"/>
      <name val="Calibri"/>
      <scheme val="minor"/>
    </font>
    <font>
      <sz val="12"/>
      <color rgb="FFFF6600"/>
      <name val="Calibri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E0016"/>
        <bgColor indexed="64"/>
      </patternFill>
    </fill>
    <fill>
      <patternFill patternType="solid">
        <fgColor rgb="FFFFECB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76"/>
        <bgColor indexed="64"/>
      </patternFill>
    </fill>
    <fill>
      <patternFill patternType="solid">
        <fgColor rgb="FF7E8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7"/>
      </patternFill>
    </fill>
    <fill>
      <patternFill patternType="solid">
        <fgColor rgb="FFAE0016"/>
        <bgColor indexed="37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D8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3" tint="0.39997558519241921"/>
      </left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rgb="FF7E8843"/>
      </top>
      <bottom style="double">
        <color rgb="FF7E8843"/>
      </bottom>
      <diagonal/>
    </border>
    <border>
      <left/>
      <right/>
      <top style="double">
        <color rgb="FF7E8843"/>
      </top>
      <bottom/>
      <diagonal/>
    </border>
    <border>
      <left/>
      <right/>
      <top/>
      <bottom style="double">
        <color rgb="FF7E8843"/>
      </bottom>
      <diagonal/>
    </border>
  </borders>
  <cellStyleXfs count="261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1" applyNumberFormat="1" applyFont="1"/>
    <xf numFmtId="6" fontId="0" fillId="0" borderId="0" xfId="0" applyNumberFormat="1"/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4" fillId="0" borderId="0" xfId="0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9" fillId="0" borderId="0" xfId="0" applyFont="1" applyBorder="1"/>
    <xf numFmtId="0" fontId="5" fillId="2" borderId="0" xfId="0" applyFont="1" applyFill="1"/>
    <xf numFmtId="0" fontId="4" fillId="3" borderId="0" xfId="0" applyFont="1" applyFill="1"/>
    <xf numFmtId="6" fontId="4" fillId="3" borderId="0" xfId="0" applyNumberFormat="1" applyFont="1" applyFill="1"/>
    <xf numFmtId="0" fontId="0" fillId="3" borderId="0" xfId="0" applyFill="1"/>
    <xf numFmtId="6" fontId="0" fillId="3" borderId="0" xfId="0" applyNumberFormat="1" applyFont="1" applyFill="1"/>
    <xf numFmtId="6" fontId="0" fillId="3" borderId="0" xfId="0" applyNumberFormat="1" applyFill="1"/>
    <xf numFmtId="0" fontId="5" fillId="2" borderId="0" xfId="0" applyFont="1" applyFill="1" applyBorder="1"/>
    <xf numFmtId="0" fontId="8" fillId="4" borderId="2" xfId="0" applyFont="1" applyFill="1" applyBorder="1"/>
    <xf numFmtId="0" fontId="10" fillId="4" borderId="2" xfId="0" applyFont="1" applyFill="1" applyBorder="1"/>
    <xf numFmtId="0" fontId="10" fillId="4" borderId="0" xfId="0" applyFont="1" applyFill="1" applyBorder="1"/>
    <xf numFmtId="0" fontId="10" fillId="4" borderId="0" xfId="0" applyFont="1" applyFill="1"/>
    <xf numFmtId="0" fontId="8" fillId="4" borderId="0" xfId="0" applyFont="1" applyFill="1" applyBorder="1"/>
    <xf numFmtId="0" fontId="10" fillId="5" borderId="0" xfId="0" applyFont="1" applyFill="1" applyBorder="1"/>
    <xf numFmtId="0" fontId="10" fillId="5" borderId="0" xfId="0" applyFont="1" applyFill="1"/>
    <xf numFmtId="10" fontId="10" fillId="5" borderId="0" xfId="0" applyNumberFormat="1" applyFont="1" applyFill="1"/>
    <xf numFmtId="9" fontId="10" fillId="5" borderId="0" xfId="0" applyNumberFormat="1" applyFont="1" applyFill="1"/>
    <xf numFmtId="164" fontId="0" fillId="5" borderId="0" xfId="1" applyNumberFormat="1" applyFont="1" applyFill="1"/>
    <xf numFmtId="0" fontId="0" fillId="5" borderId="0" xfId="0" applyFill="1"/>
    <xf numFmtId="165" fontId="0" fillId="3" borderId="0" xfId="0" applyNumberFormat="1" applyFill="1"/>
    <xf numFmtId="0" fontId="12" fillId="2" borderId="1" xfId="0" applyFont="1" applyFill="1" applyBorder="1"/>
    <xf numFmtId="165" fontId="12" fillId="2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12" fillId="6" borderId="1" xfId="0" applyFont="1" applyFill="1" applyBorder="1"/>
    <xf numFmtId="0" fontId="14" fillId="0" borderId="0" xfId="188" applyFont="1" applyFill="1"/>
    <xf numFmtId="0" fontId="0" fillId="0" borderId="0" xfId="0" applyFill="1"/>
    <xf numFmtId="0" fontId="15" fillId="2" borderId="0" xfId="0" applyFont="1" applyFill="1"/>
    <xf numFmtId="6" fontId="15" fillId="2" borderId="0" xfId="0" applyNumberFormat="1" applyFont="1" applyFill="1"/>
    <xf numFmtId="164" fontId="15" fillId="2" borderId="0" xfId="1" applyNumberFormat="1" applyFont="1" applyFill="1"/>
    <xf numFmtId="0" fontId="13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Fill="1"/>
    <xf numFmtId="0" fontId="5" fillId="2" borderId="0" xfId="0" applyFont="1" applyFill="1" applyAlignment="1">
      <alignment horizontal="center"/>
    </xf>
    <xf numFmtId="0" fontId="4" fillId="4" borderId="0" xfId="0" applyFont="1" applyFill="1" applyBorder="1"/>
    <xf numFmtId="0" fontId="0" fillId="4" borderId="0" xfId="0" applyFill="1"/>
    <xf numFmtId="3" fontId="0" fillId="4" borderId="0" xfId="1" applyNumberFormat="1" applyFont="1" applyFill="1"/>
    <xf numFmtId="0" fontId="16" fillId="0" borderId="0" xfId="217"/>
    <xf numFmtId="166" fontId="0" fillId="7" borderId="0" xfId="0" applyNumberFormat="1" applyFill="1"/>
    <xf numFmtId="0" fontId="18" fillId="2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/>
    <xf numFmtId="0" fontId="0" fillId="7" borderId="0" xfId="0" applyFont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0" fillId="7" borderId="0" xfId="0" quotePrefix="1" applyFill="1" applyAlignment="1"/>
    <xf numFmtId="0" fontId="0" fillId="7" borderId="0" xfId="0" quotePrefix="1" applyFill="1" applyAlignment="1">
      <alignment horizontal="left" indent="2"/>
    </xf>
    <xf numFmtId="167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vertical="top"/>
    </xf>
    <xf numFmtId="0" fontId="6" fillId="7" borderId="0" xfId="220" quotePrefix="1" applyFill="1" applyAlignment="1">
      <alignment horizontal="left"/>
    </xf>
    <xf numFmtId="0" fontId="6" fillId="7" borderId="0" xfId="220" applyFill="1"/>
    <xf numFmtId="0" fontId="0" fillId="7" borderId="0" xfId="0" applyFill="1" applyAlignment="1">
      <alignment horizontal="left"/>
    </xf>
    <xf numFmtId="0" fontId="6" fillId="0" borderId="0" xfId="220"/>
    <xf numFmtId="0" fontId="19" fillId="8" borderId="0" xfId="0" applyNumberFormat="1" applyFont="1" applyFill="1" applyBorder="1" applyAlignment="1">
      <alignment horizontal="center" vertical="center"/>
    </xf>
    <xf numFmtId="0" fontId="20" fillId="8" borderId="0" xfId="0" applyNumberFormat="1" applyFont="1" applyFill="1" applyBorder="1" applyAlignment="1">
      <alignment vertical="center"/>
    </xf>
    <xf numFmtId="166" fontId="17" fillId="7" borderId="0" xfId="0" applyNumberFormat="1" applyFont="1" applyFill="1"/>
    <xf numFmtId="166" fontId="23" fillId="7" borderId="0" xfId="220" applyNumberFormat="1" applyFont="1" applyFill="1"/>
    <xf numFmtId="166" fontId="22" fillId="7" borderId="1" xfId="0" applyNumberFormat="1" applyFont="1" applyFill="1" applyBorder="1" applyAlignment="1"/>
    <xf numFmtId="0" fontId="6" fillId="0" borderId="0" xfId="220" applyBorder="1"/>
    <xf numFmtId="0" fontId="0" fillId="7" borderId="0" xfId="0" applyFill="1" applyBorder="1"/>
    <xf numFmtId="0" fontId="6" fillId="7" borderId="0" xfId="220" applyFill="1" applyBorder="1"/>
    <xf numFmtId="0" fontId="0" fillId="7" borderId="7" xfId="0" applyFill="1" applyBorder="1"/>
    <xf numFmtId="0" fontId="0" fillId="7" borderId="8" xfId="0" applyFill="1" applyBorder="1"/>
    <xf numFmtId="0" fontId="16" fillId="7" borderId="7" xfId="217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6" fillId="0" borderId="0" xfId="220" applyAlignment="1">
      <alignment horizontal="right"/>
    </xf>
    <xf numFmtId="0" fontId="16" fillId="0" borderId="12" xfId="217" applyBorder="1"/>
    <xf numFmtId="165" fontId="16" fillId="0" borderId="0" xfId="217" applyNumberFormat="1"/>
    <xf numFmtId="166" fontId="17" fillId="7" borderId="0" xfId="0" applyNumberFormat="1" applyFont="1" applyFill="1" applyAlignment="1">
      <alignment horizontal="center"/>
    </xf>
    <xf numFmtId="0" fontId="17" fillId="0" borderId="0" xfId="0" applyFont="1"/>
    <xf numFmtId="0" fontId="24" fillId="0" borderId="0" xfId="220" applyFont="1" applyAlignment="1"/>
    <xf numFmtId="0" fontId="23" fillId="0" borderId="0" xfId="220" applyFont="1" applyAlignment="1"/>
    <xf numFmtId="0" fontId="0" fillId="3" borderId="0" xfId="0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6" fontId="15" fillId="2" borderId="0" xfId="0" applyNumberFormat="1" applyFont="1" applyFill="1" applyAlignment="1">
      <alignment horizontal="right" vertical="center"/>
    </xf>
    <xf numFmtId="165" fontId="0" fillId="3" borderId="0" xfId="0" applyNumberFormat="1" applyFill="1" applyAlignment="1">
      <alignment horizontal="right" vertical="center"/>
    </xf>
    <xf numFmtId="0" fontId="25" fillId="0" borderId="0" xfId="0" applyFont="1"/>
    <xf numFmtId="0" fontId="26" fillId="0" borderId="0" xfId="0" applyFont="1"/>
    <xf numFmtId="0" fontId="5" fillId="0" borderId="0" xfId="0" applyFont="1" applyAlignment="1">
      <alignment horizontal="center" vertical="center"/>
    </xf>
    <xf numFmtId="0" fontId="27" fillId="0" borderId="0" xfId="0" applyNumberFormat="1" applyFont="1" applyAlignment="1"/>
    <xf numFmtId="0" fontId="5" fillId="0" borderId="0" xfId="0" applyFont="1"/>
    <xf numFmtId="166" fontId="23" fillId="7" borderId="0" xfId="220" applyNumberFormat="1" applyFont="1" applyFill="1" applyAlignment="1"/>
    <xf numFmtId="166" fontId="0" fillId="7" borderId="0" xfId="0" applyNumberFormat="1" applyFill="1" applyBorder="1"/>
    <xf numFmtId="0" fontId="0" fillId="0" borderId="0" xfId="0" applyAlignment="1">
      <alignment horizontal="center"/>
    </xf>
    <xf numFmtId="165" fontId="0" fillId="0" borderId="0" xfId="0" applyNumberFormat="1" applyFill="1"/>
    <xf numFmtId="0" fontId="5" fillId="10" borderId="1" xfId="0" applyFont="1" applyFill="1" applyBorder="1"/>
    <xf numFmtId="0" fontId="0" fillId="0" borderId="0" xfId="0" applyAlignment="1">
      <alignment horizontal="center"/>
    </xf>
    <xf numFmtId="9" fontId="16" fillId="0" borderId="0" xfId="225" applyFont="1"/>
    <xf numFmtId="10" fontId="16" fillId="0" borderId="0" xfId="225" applyNumberFormat="1" applyFont="1"/>
    <xf numFmtId="2" fontId="0" fillId="0" borderId="0" xfId="0" applyNumberFormat="1"/>
    <xf numFmtId="0" fontId="8" fillId="3" borderId="0" xfId="0" applyFont="1" applyFill="1"/>
    <xf numFmtId="0" fontId="4" fillId="3" borderId="0" xfId="0" applyNumberFormat="1" applyFont="1" applyFill="1"/>
    <xf numFmtId="0" fontId="4" fillId="0" borderId="0" xfId="0" applyFont="1" applyAlignment="1">
      <alignment wrapText="1"/>
    </xf>
    <xf numFmtId="6" fontId="4" fillId="0" borderId="0" xfId="0" applyNumberFormat="1" applyFont="1"/>
    <xf numFmtId="0" fontId="28" fillId="0" borderId="0" xfId="0" applyFont="1" applyAlignment="1">
      <alignment horizontal="left" vertical="top" wrapText="1"/>
    </xf>
    <xf numFmtId="0" fontId="29" fillId="7" borderId="0" xfId="0" applyFont="1" applyFill="1" applyBorder="1" applyAlignment="1">
      <alignment horizontal="center"/>
    </xf>
    <xf numFmtId="0" fontId="29" fillId="7" borderId="0" xfId="0" applyFont="1" applyFill="1" applyBorder="1" applyAlignment="1">
      <alignment horizontal="left" indent="3"/>
    </xf>
    <xf numFmtId="6" fontId="0" fillId="7" borderId="0" xfId="0" applyNumberFormat="1" applyFill="1"/>
    <xf numFmtId="0" fontId="0" fillId="7" borderId="1" xfId="0" applyFill="1" applyBorder="1"/>
    <xf numFmtId="0" fontId="32" fillId="0" borderId="0" xfId="0" applyFont="1" applyBorder="1" applyAlignment="1">
      <alignment horizontal="left" vertical="top" wrapText="1" indent="10"/>
    </xf>
    <xf numFmtId="0" fontId="28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29" fillId="0" borderId="0" xfId="0" applyFont="1" applyBorder="1" applyAlignment="1">
      <alignment horizontal="left" vertical="top" wrapText="1" indent="10"/>
    </xf>
    <xf numFmtId="0" fontId="5" fillId="7" borderId="0" xfId="0" applyFont="1" applyFill="1"/>
    <xf numFmtId="0" fontId="5" fillId="7" borderId="0" xfId="0" applyFont="1" applyFill="1" applyBorder="1"/>
    <xf numFmtId="0" fontId="12" fillId="6" borderId="0" xfId="0" applyFont="1" applyFill="1"/>
    <xf numFmtId="0" fontId="5" fillId="6" borderId="0" xfId="0" applyFont="1" applyFill="1"/>
    <xf numFmtId="0" fontId="0" fillId="6" borderId="0" xfId="0" applyFill="1"/>
    <xf numFmtId="0" fontId="33" fillId="0" borderId="0" xfId="0" applyFont="1"/>
    <xf numFmtId="0" fontId="0" fillId="11" borderId="0" xfId="0" applyFill="1"/>
    <xf numFmtId="43" fontId="0" fillId="5" borderId="0" xfId="1" applyNumberFormat="1" applyFont="1" applyFill="1"/>
    <xf numFmtId="43" fontId="0" fillId="5" borderId="0" xfId="0" applyNumberFormat="1" applyFill="1"/>
    <xf numFmtId="168" fontId="16" fillId="0" borderId="0" xfId="217" applyNumberFormat="1"/>
    <xf numFmtId="2" fontId="16" fillId="0" borderId="0" xfId="217" applyNumberFormat="1"/>
    <xf numFmtId="169" fontId="16" fillId="0" borderId="0" xfId="225" applyNumberFormat="1" applyFont="1"/>
    <xf numFmtId="0" fontId="0" fillId="0" borderId="0" xfId="0" applyAlignment="1">
      <alignment horizontal="center"/>
    </xf>
    <xf numFmtId="0" fontId="0" fillId="12" borderId="0" xfId="0" applyFill="1"/>
    <xf numFmtId="1" fontId="0" fillId="4" borderId="0" xfId="0" applyNumberFormat="1" applyFill="1"/>
    <xf numFmtId="10" fontId="0" fillId="4" borderId="0" xfId="225" applyNumberFormat="1" applyFont="1" applyFill="1"/>
    <xf numFmtId="1" fontId="10" fillId="12" borderId="0" xfId="0" applyNumberFormat="1" applyFont="1" applyFill="1" applyProtection="1">
      <protection locked="0"/>
    </xf>
    <xf numFmtId="1" fontId="10" fillId="12" borderId="0" xfId="0" applyNumberFormat="1" applyFont="1" applyFill="1"/>
    <xf numFmtId="0" fontId="10" fillId="12" borderId="0" xfId="0" applyFont="1" applyFill="1" applyProtection="1"/>
    <xf numFmtId="0" fontId="10" fillId="12" borderId="0" xfId="0" applyFont="1" applyFill="1"/>
    <xf numFmtId="10" fontId="10" fillId="12" borderId="0" xfId="0" applyNumberFormat="1" applyFont="1" applyFill="1"/>
    <xf numFmtId="0" fontId="34" fillId="0" borderId="0" xfId="0" applyFont="1"/>
    <xf numFmtId="0" fontId="16" fillId="0" borderId="0" xfId="217" applyBorder="1"/>
    <xf numFmtId="0" fontId="4" fillId="0" borderId="0" xfId="0" applyFont="1" applyBorder="1"/>
    <xf numFmtId="164" fontId="16" fillId="0" borderId="0" xfId="1" applyNumberFormat="1" applyFont="1"/>
    <xf numFmtId="164" fontId="34" fillId="0" borderId="0" xfId="1" applyNumberFormat="1" applyFont="1"/>
    <xf numFmtId="43" fontId="16" fillId="0" borderId="0" xfId="1" applyNumberFormat="1" applyFont="1"/>
    <xf numFmtId="164" fontId="0" fillId="5" borderId="0" xfId="0" applyNumberFormat="1" applyFill="1"/>
    <xf numFmtId="1" fontId="0" fillId="0" borderId="0" xfId="258" applyNumberFormat="1" applyFont="1"/>
    <xf numFmtId="1" fontId="16" fillId="0" borderId="0" xfId="225" applyNumberFormat="1" applyFont="1"/>
    <xf numFmtId="37" fontId="34" fillId="0" borderId="0" xfId="0" applyNumberFormat="1" applyFont="1"/>
    <xf numFmtId="0" fontId="35" fillId="4" borderId="0" xfId="0" applyFont="1" applyFill="1"/>
    <xf numFmtId="164" fontId="10" fillId="5" borderId="0" xfId="1" applyNumberFormat="1" applyFont="1" applyFill="1" applyAlignment="1"/>
    <xf numFmtId="0" fontId="0" fillId="0" borderId="0" xfId="0" applyNumberFormat="1"/>
    <xf numFmtId="0" fontId="13" fillId="2" borderId="3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28" fillId="0" borderId="0" xfId="0" applyFont="1" applyAlignment="1">
      <alignment horizontal="left" vertical="top" wrapText="1"/>
    </xf>
    <xf numFmtId="0" fontId="29" fillId="0" borderId="0" xfId="0" applyFont="1" applyBorder="1" applyAlignment="1">
      <alignment horizontal="left" vertical="top" wrapText="1" indent="10"/>
    </xf>
    <xf numFmtId="0" fontId="29" fillId="0" borderId="18" xfId="0" applyFont="1" applyBorder="1" applyAlignment="1">
      <alignment horizontal="left" vertical="top" wrapText="1" indent="10"/>
    </xf>
    <xf numFmtId="0" fontId="32" fillId="0" borderId="16" xfId="0" applyFont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31" fillId="7" borderId="16" xfId="0" applyFont="1" applyFill="1" applyBorder="1" applyAlignment="1">
      <alignment horizontal="center"/>
    </xf>
    <xf numFmtId="0" fontId="30" fillId="0" borderId="0" xfId="0" applyFont="1" applyAlignment="1">
      <alignment horizontal="right"/>
    </xf>
    <xf numFmtId="0" fontId="29" fillId="0" borderId="17" xfId="0" applyFont="1" applyBorder="1" applyAlignment="1">
      <alignment horizontal="center" vertical="top" wrapText="1"/>
    </xf>
    <xf numFmtId="0" fontId="29" fillId="0" borderId="0" xfId="0" applyFont="1" applyBorder="1" applyAlignment="1">
      <alignment horizontal="left" vertical="top" indent="10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9" borderId="0" xfId="0" applyNumberFormat="1" applyFont="1" applyFill="1" applyBorder="1" applyAlignment="1">
      <alignment horizontal="center" vertical="center"/>
    </xf>
    <xf numFmtId="0" fontId="16" fillId="0" borderId="4" xfId="217" applyBorder="1" applyAlignment="1">
      <alignment horizontal="left" vertical="top" wrapText="1"/>
    </xf>
    <xf numFmtId="0" fontId="16" fillId="0" borderId="5" xfId="217" applyBorder="1" applyAlignment="1">
      <alignment horizontal="left" vertical="top" wrapText="1"/>
    </xf>
    <xf numFmtId="0" fontId="16" fillId="0" borderId="6" xfId="217" applyBorder="1" applyAlignment="1">
      <alignment horizontal="left" vertical="top" wrapText="1"/>
    </xf>
    <xf numFmtId="0" fontId="16" fillId="7" borderId="7" xfId="217" applyFill="1" applyBorder="1" applyAlignment="1">
      <alignment horizontal="left" vertical="top" wrapText="1"/>
    </xf>
    <xf numFmtId="0" fontId="16" fillId="7" borderId="0" xfId="217" applyFill="1" applyBorder="1" applyAlignment="1">
      <alignment horizontal="left" vertical="top" wrapText="1"/>
    </xf>
    <xf numFmtId="0" fontId="16" fillId="7" borderId="8" xfId="217" applyFill="1" applyBorder="1" applyAlignment="1">
      <alignment horizontal="left" vertical="top" wrapText="1"/>
    </xf>
    <xf numFmtId="0" fontId="16" fillId="7" borderId="7" xfId="217" applyFill="1" applyBorder="1" applyAlignment="1">
      <alignment horizontal="left" wrapText="1"/>
    </xf>
    <xf numFmtId="0" fontId="16" fillId="7" borderId="0" xfId="217" applyFill="1" applyBorder="1" applyAlignment="1">
      <alignment horizontal="left" wrapText="1"/>
    </xf>
    <xf numFmtId="0" fontId="16" fillId="7" borderId="8" xfId="217" applyFill="1" applyBorder="1" applyAlignment="1">
      <alignment horizontal="left" wrapText="1"/>
    </xf>
  </cellXfs>
  <cellStyles count="261">
    <cellStyle name="Comma" xfId="1" builtinId="3"/>
    <cellStyle name="Currency" xfId="258" builtinId="4"/>
    <cellStyle name="Explanatory Text" xfId="217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9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9" builtinId="9" hidden="1"/>
    <cellStyle name="Followed Hyperlink" xfId="26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218" builtinId="8" hidden="1"/>
    <cellStyle name="Hyperlink" xfId="220" builtinId="8"/>
    <cellStyle name="Normal" xfId="0" builtinId="0"/>
    <cellStyle name="Percent" xfId="225" builtinId="5"/>
    <cellStyle name="Title" xfId="188" builtinId="15"/>
  </cellStyles>
  <dxfs count="4">
    <dxf>
      <font>
        <color rgb="FFFFECBD"/>
      </font>
      <fill>
        <patternFill>
          <bgColor rgb="FFFFECB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FFFD88"/>
      <color rgb="FF909854"/>
      <color rgb="FFFFECBD"/>
      <color rgb="FFFFE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Cash</a:t>
            </a:r>
            <a:r>
              <a:rPr lang="en-US" sz="1800" baseline="0"/>
              <a:t> Flow Impact</a:t>
            </a:r>
            <a:endParaRPr lang="en-US" sz="1800"/>
          </a:p>
        </c:rich>
      </c:tx>
      <c:layout>
        <c:manualLayout>
          <c:xMode val="edge"/>
          <c:yMode val="edge"/>
          <c:x val="0.3466376682753359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369087432619299"/>
          <c:y val="0.116565891297972"/>
          <c:w val="0.77543920921175202"/>
          <c:h val="0.77139557957400096"/>
        </c:manualLayout>
      </c:layout>
      <c:lineChart>
        <c:grouping val="standard"/>
        <c:varyColors val="0"/>
        <c:ser>
          <c:idx val="0"/>
          <c:order val="0"/>
          <c:tx>
            <c:v>Robot: Cash Flow Changes</c:v>
          </c:tx>
          <c:marker>
            <c:symbol val="none"/>
          </c:marker>
          <c:cat>
            <c:numRef>
              <c:f>Cashflow!$B$7:$B$37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Cashflow!$N$7:$N$37</c:f>
              <c:numCache>
                <c:formatCode>"$"#,##0_);[Red]\("$"#,##0\)</c:formatCode>
                <c:ptCount val="31"/>
                <c:pt idx="0">
                  <c:v>-180000</c:v>
                </c:pt>
                <c:pt idx="1">
                  <c:v>49065.282777079701</c:v>
                </c:pt>
                <c:pt idx="2">
                  <c:v>30923.449909276271</c:v>
                </c:pt>
                <c:pt idx="3">
                  <c:v>15890.874253815884</c:v>
                </c:pt>
                <c:pt idx="4">
                  <c:v>6465.8392044758948</c:v>
                </c:pt>
                <c:pt idx="5">
                  <c:v>3584.0024928726198</c:v>
                </c:pt>
                <c:pt idx="6">
                  <c:v>2774.6088943891227</c:v>
                </c:pt>
                <c:pt idx="7">
                  <c:v>1906.7613770436728</c:v>
                </c:pt>
                <c:pt idx="8">
                  <c:v>-20631.996646395099</c:v>
                </c:pt>
                <c:pt idx="9">
                  <c:v>-21626.241847032506</c:v>
                </c:pt>
                <c:pt idx="10">
                  <c:v>-22688.765475553548</c:v>
                </c:pt>
                <c:pt idx="11">
                  <c:v>2940.9986897907511</c:v>
                </c:pt>
                <c:pt idx="12">
                  <c:v>2769.3532434631197</c:v>
                </c:pt>
                <c:pt idx="13">
                  <c:v>2569.9024329103122</c:v>
                </c:pt>
                <c:pt idx="14">
                  <c:v>2341.0186345048423</c:v>
                </c:pt>
                <c:pt idx="15">
                  <c:v>-42151.365293921335</c:v>
                </c:pt>
                <c:pt idx="16">
                  <c:v>18869.649722182658</c:v>
                </c:pt>
                <c:pt idx="17">
                  <c:v>8242.8490238465311</c:v>
                </c:pt>
                <c:pt idx="18">
                  <c:v>-291.8503183744906</c:v>
                </c:pt>
                <c:pt idx="19">
                  <c:v>-3398.7420718187641</c:v>
                </c:pt>
                <c:pt idx="20">
                  <c:v>-4161.7172309399175</c:v>
                </c:pt>
                <c:pt idx="21">
                  <c:v>85990.137086433315</c:v>
                </c:pt>
                <c:pt idx="22">
                  <c:v>86563.399885629551</c:v>
                </c:pt>
                <c:pt idx="23">
                  <c:v>60504.47592499938</c:v>
                </c:pt>
                <c:pt idx="24">
                  <c:v>61046.827147314427</c:v>
                </c:pt>
                <c:pt idx="25">
                  <c:v>61571.511785706607</c:v>
                </c:pt>
                <c:pt idx="26">
                  <c:v>139602.67964364364</c:v>
                </c:pt>
                <c:pt idx="27">
                  <c:v>141366.30707813468</c:v>
                </c:pt>
                <c:pt idx="28">
                  <c:v>143171.12030602075</c:v>
                </c:pt>
                <c:pt idx="29">
                  <c:v>145018.39778059171</c:v>
                </c:pt>
                <c:pt idx="30">
                  <c:v>174767.70627216058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2-A34E-88DA-EBD453E1DE79}"/>
            </c:ext>
          </c:extLst>
        </c:ser>
        <c:ser>
          <c:idx val="1"/>
          <c:order val="1"/>
          <c:tx>
            <c:v>Parlor: Cash Flow Changes</c:v>
          </c:tx>
          <c:marker>
            <c:symbol val="none"/>
          </c:marker>
          <c:cat>
            <c:numRef>
              <c:f>Cashflow!$B$7:$B$37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Cashflow!$AE$7:$AE$37</c:f>
              <c:numCache>
                <c:formatCode>"$"#,##0_);[Red]\("$"#,##0\)</c:formatCode>
                <c:ptCount val="31"/>
                <c:pt idx="0">
                  <c:v>-108000</c:v>
                </c:pt>
                <c:pt idx="1">
                  <c:v>20566.626576942392</c:v>
                </c:pt>
                <c:pt idx="2">
                  <c:v>7831.7927878832998</c:v>
                </c:pt>
                <c:pt idx="3">
                  <c:v>-2586.8071962381073</c:v>
                </c:pt>
                <c:pt idx="4">
                  <c:v>-8070.1401252050273</c:v>
                </c:pt>
                <c:pt idx="5">
                  <c:v>-9646.9592282811936</c:v>
                </c:pt>
                <c:pt idx="6">
                  <c:v>-10356.949963738574</c:v>
                </c:pt>
                <c:pt idx="7">
                  <c:v>-11114.492239561136</c:v>
                </c:pt>
                <c:pt idx="8">
                  <c:v>-33531.461440425701</c:v>
                </c:pt>
                <c:pt idx="9">
                  <c:v>-34391.819640112502</c:v>
                </c:pt>
                <c:pt idx="10">
                  <c:v>-35307.708180603368</c:v>
                </c:pt>
                <c:pt idx="11">
                  <c:v>11153.573902281671</c:v>
                </c:pt>
                <c:pt idx="12">
                  <c:v>11156.160912882486</c:v>
                </c:pt>
                <c:pt idx="13">
                  <c:v>11145.873026974426</c:v>
                </c:pt>
                <c:pt idx="14">
                  <c:v>11121.895142227331</c:v>
                </c:pt>
                <c:pt idx="15">
                  <c:v>11083.367524536508</c:v>
                </c:pt>
                <c:pt idx="16">
                  <c:v>11029.383471857647</c:v>
                </c:pt>
                <c:pt idx="17">
                  <c:v>10958.986858315373</c:v>
                </c:pt>
                <c:pt idx="18">
                  <c:v>10871.169552517815</c:v>
                </c:pt>
                <c:pt idx="19">
                  <c:v>10764.868703703025</c:v>
                </c:pt>
                <c:pt idx="20">
                  <c:v>10638.963889022692</c:v>
                </c:pt>
                <c:pt idx="21">
                  <c:v>49490.171489606946</c:v>
                </c:pt>
                <c:pt idx="22">
                  <c:v>49964.917346650327</c:v>
                </c:pt>
                <c:pt idx="23">
                  <c:v>50448.49504182447</c:v>
                </c:pt>
                <c:pt idx="24">
                  <c:v>50941.130969100537</c:v>
                </c:pt>
                <c:pt idx="25">
                  <c:v>51443.057778109418</c:v>
                </c:pt>
                <c:pt idx="26">
                  <c:v>51954.514549200045</c:v>
                </c:pt>
                <c:pt idx="27">
                  <c:v>52475.746973403657</c:v>
                </c:pt>
                <c:pt idx="28">
                  <c:v>53007.007537441386</c:v>
                </c:pt>
                <c:pt idx="29">
                  <c:v>53548.55571391643</c:v>
                </c:pt>
                <c:pt idx="30">
                  <c:v>81958.905633367787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2-A34E-88DA-EBD453E1DE79}"/>
            </c:ext>
          </c:extLst>
        </c:ser>
        <c:ser>
          <c:idx val="2"/>
          <c:order val="2"/>
          <c:tx>
            <c:v>Robot: Net Annual Impact</c:v>
          </c:tx>
          <c:spPr>
            <a:ln w="25400" cmpd="sng">
              <a:solidFill>
                <a:schemeClr val="tx2">
                  <a:lumMod val="60000"/>
                  <a:lumOff val="4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Cashflow!$B$7:$B$37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Cashflow!$P$7:$P$37</c:f>
              <c:numCache>
                <c:formatCode>"$"#,##0_);[Red]\("$"#,##0\)</c:formatCode>
                <c:ptCount val="31"/>
                <c:pt idx="1">
                  <c:v>17805.975007111017</c:v>
                </c:pt>
                <c:pt idx="2">
                  <c:v>17805.975007111017</c:v>
                </c:pt>
                <c:pt idx="3">
                  <c:v>17805.975007111017</c:v>
                </c:pt>
                <c:pt idx="4">
                  <c:v>17805.975007111017</c:v>
                </c:pt>
                <c:pt idx="5">
                  <c:v>17805.975007111017</c:v>
                </c:pt>
                <c:pt idx="6">
                  <c:v>17805.975007111017</c:v>
                </c:pt>
                <c:pt idx="7">
                  <c:v>17805.975007111017</c:v>
                </c:pt>
                <c:pt idx="8">
                  <c:v>17805.975007111017</c:v>
                </c:pt>
                <c:pt idx="9">
                  <c:v>17805.975007111017</c:v>
                </c:pt>
                <c:pt idx="10">
                  <c:v>17805.975007111017</c:v>
                </c:pt>
                <c:pt idx="11">
                  <c:v>17805.975007111017</c:v>
                </c:pt>
                <c:pt idx="12">
                  <c:v>17805.975007111017</c:v>
                </c:pt>
                <c:pt idx="13">
                  <c:v>17805.975007111017</c:v>
                </c:pt>
                <c:pt idx="14">
                  <c:v>17805.975007111017</c:v>
                </c:pt>
                <c:pt idx="15">
                  <c:v>17805.975007111017</c:v>
                </c:pt>
                <c:pt idx="16">
                  <c:v>17805.975007111017</c:v>
                </c:pt>
                <c:pt idx="17">
                  <c:v>17805.975007111017</c:v>
                </c:pt>
                <c:pt idx="18">
                  <c:v>17805.975007111017</c:v>
                </c:pt>
                <c:pt idx="19">
                  <c:v>17805.975007111017</c:v>
                </c:pt>
                <c:pt idx="20">
                  <c:v>17805.975007111017</c:v>
                </c:pt>
                <c:pt idx="21">
                  <c:v>17805.975007111017</c:v>
                </c:pt>
                <c:pt idx="22">
                  <c:v>17805.975007111017</c:v>
                </c:pt>
                <c:pt idx="23">
                  <c:v>17805.975007111017</c:v>
                </c:pt>
                <c:pt idx="24">
                  <c:v>17805.975007111017</c:v>
                </c:pt>
                <c:pt idx="25">
                  <c:v>17805.975007111017</c:v>
                </c:pt>
                <c:pt idx="26">
                  <c:v>17805.975007111017</c:v>
                </c:pt>
                <c:pt idx="27">
                  <c:v>17805.975007111017</c:v>
                </c:pt>
                <c:pt idx="28">
                  <c:v>17805.975007111017</c:v>
                </c:pt>
                <c:pt idx="29">
                  <c:v>17805.975007111017</c:v>
                </c:pt>
                <c:pt idx="30">
                  <c:v>17805.975007111017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F2-A34E-88DA-EBD453E1DE79}"/>
            </c:ext>
          </c:extLst>
        </c:ser>
        <c:ser>
          <c:idx val="3"/>
          <c:order val="3"/>
          <c:tx>
            <c:v>Parlor: Net Annual Impact</c:v>
          </c:tx>
          <c:spPr>
            <a:ln w="25400" cmpd="sng">
              <a:solidFill>
                <a:srgbClr val="FF0000"/>
              </a:solidFill>
              <a:prstDash val="sysDot"/>
            </a:ln>
          </c:spPr>
          <c:marker>
            <c:symbol val="none"/>
          </c:marker>
          <c:val>
            <c:numRef>
              <c:f>Cashflow!$AG$7:$AG$37</c:f>
              <c:numCache>
                <c:formatCode>"$"#,##0_);[Red]\("$"#,##0\)</c:formatCode>
                <c:ptCount val="31"/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  <c:pt idx="7">
                  <c:v>5847.6208326920741</c:v>
                </c:pt>
                <c:pt idx="8">
                  <c:v>5847.6208326920741</c:v>
                </c:pt>
                <c:pt idx="9">
                  <c:v>5847.6208326920741</c:v>
                </c:pt>
                <c:pt idx="10">
                  <c:v>5847.6208326920741</c:v>
                </c:pt>
                <c:pt idx="11">
                  <c:v>5847.6208326920741</c:v>
                </c:pt>
                <c:pt idx="12">
                  <c:v>5847.6208326920741</c:v>
                </c:pt>
                <c:pt idx="13">
                  <c:v>5847.6208326920741</c:v>
                </c:pt>
                <c:pt idx="14">
                  <c:v>5847.6208326920741</c:v>
                </c:pt>
                <c:pt idx="15">
                  <c:v>5847.6208326920741</c:v>
                </c:pt>
                <c:pt idx="16">
                  <c:v>5847.6208326920741</c:v>
                </c:pt>
                <c:pt idx="17">
                  <c:v>5847.6208326920741</c:v>
                </c:pt>
                <c:pt idx="18">
                  <c:v>5847.6208326920741</c:v>
                </c:pt>
                <c:pt idx="19">
                  <c:v>5847.6208326920741</c:v>
                </c:pt>
                <c:pt idx="20">
                  <c:v>5847.6208326920741</c:v>
                </c:pt>
                <c:pt idx="21">
                  <c:v>5847.6208326920741</c:v>
                </c:pt>
                <c:pt idx="22">
                  <c:v>5847.6208326920741</c:v>
                </c:pt>
                <c:pt idx="23">
                  <c:v>5847.6208326920741</c:v>
                </c:pt>
                <c:pt idx="24">
                  <c:v>5847.6208326920741</c:v>
                </c:pt>
                <c:pt idx="25">
                  <c:v>5847.6208326920741</c:v>
                </c:pt>
                <c:pt idx="26">
                  <c:v>5847.6208326920741</c:v>
                </c:pt>
                <c:pt idx="27">
                  <c:v>5847.6208326920741</c:v>
                </c:pt>
                <c:pt idx="28">
                  <c:v>5847.6208326920741</c:v>
                </c:pt>
                <c:pt idx="29">
                  <c:v>5847.6208326920741</c:v>
                </c:pt>
                <c:pt idx="30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F2-A34E-88DA-EBD453E1D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4271152"/>
        <c:axId val="-2004136336"/>
      </c:lineChart>
      <c:catAx>
        <c:axId val="-200427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400"/>
                  <a:t>Year</a:t>
                </a:r>
              </a:p>
            </c:rich>
          </c:tx>
          <c:layout>
            <c:manualLayout>
              <c:xMode val="edge"/>
              <c:yMode val="edge"/>
              <c:x val="0.48814885400471397"/>
              <c:y val="0.917340989212809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04136336"/>
        <c:crosses val="autoZero"/>
        <c:auto val="1"/>
        <c:lblAlgn val="ctr"/>
        <c:lblOffset val="100"/>
        <c:tickLblSkip val="2"/>
        <c:noMultiLvlLbl val="0"/>
      </c:catAx>
      <c:valAx>
        <c:axId val="-2004136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Cash Flow and Annual</a:t>
                </a:r>
                <a:r>
                  <a:rPr lang="en-US" sz="1400" baseline="0"/>
                  <a:t> Impacts ($)</a:t>
                </a:r>
              </a:p>
            </c:rich>
          </c:tx>
          <c:layout>
            <c:manualLayout>
              <c:xMode val="edge"/>
              <c:yMode val="edge"/>
              <c:x val="4.0678886913329401E-3"/>
              <c:y val="0.134320499514925"/>
            </c:manualLayout>
          </c:layout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-2004271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4490940648548003"/>
          <c:y val="0.64428851837646395"/>
          <c:w val="0.45224420032173401"/>
          <c:h val="0.23751663921666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Robot: Breakdown</a:t>
            </a:r>
            <a:r>
              <a:rPr lang="en-US" baseline="0"/>
              <a:t> of </a:t>
            </a:r>
            <a:r>
              <a:rPr lang="en-US"/>
              <a:t>Cash Flow Changes </a:t>
            </a:r>
          </a:p>
        </c:rich>
      </c:tx>
      <c:layout>
        <c:manualLayout>
          <c:xMode val="edge"/>
          <c:yMode val="edge"/>
          <c:x val="0.1570921690344259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0678526295324"/>
          <c:y val="0.12739290325847499"/>
          <c:w val="0.78790029718507404"/>
          <c:h val="0.755251180254782"/>
        </c:manualLayout>
      </c:layout>
      <c:scatterChart>
        <c:scatterStyle val="smoothMarker"/>
        <c:varyColors val="0"/>
        <c:ser>
          <c:idx val="0"/>
          <c:order val="0"/>
          <c:tx>
            <c:v>A. Net Revenue Increase</c:v>
          </c:tx>
          <c:marker>
            <c:symbol val="none"/>
          </c:marker>
          <c:xVal>
            <c:numRef>
              <c:f>Cashflow!$B$8:$B$37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Cashflow!$C$8:$C$37</c:f>
              <c:numCache>
                <c:formatCode>"$"#,##0_);[Red]\("$"#,##0\)</c:formatCode>
                <c:ptCount val="30"/>
                <c:pt idx="0">
                  <c:v>88179.3</c:v>
                </c:pt>
                <c:pt idx="1">
                  <c:v>88620.196499999976</c:v>
                </c:pt>
                <c:pt idx="2">
                  <c:v>89063.297482499984</c:v>
                </c:pt>
                <c:pt idx="3">
                  <c:v>89508.613969912461</c:v>
                </c:pt>
                <c:pt idx="4">
                  <c:v>89956.157039761994</c:v>
                </c:pt>
                <c:pt idx="5">
                  <c:v>90405.937824960798</c:v>
                </c:pt>
                <c:pt idx="6">
                  <c:v>90857.967514085598</c:v>
                </c:pt>
                <c:pt idx="7">
                  <c:v>91312.257351656008</c:v>
                </c:pt>
                <c:pt idx="8">
                  <c:v>91768.818638414275</c:v>
                </c:pt>
                <c:pt idx="9">
                  <c:v>92227.662731606368</c:v>
                </c:pt>
                <c:pt idx="10">
                  <c:v>92688.801045264365</c:v>
                </c:pt>
                <c:pt idx="11">
                  <c:v>93152.245050490659</c:v>
                </c:pt>
                <c:pt idx="12">
                  <c:v>93618.006275743086</c:v>
                </c:pt>
                <c:pt idx="13">
                  <c:v>94086.096307121799</c:v>
                </c:pt>
                <c:pt idx="14">
                  <c:v>94556.5267886574</c:v>
                </c:pt>
                <c:pt idx="15">
                  <c:v>95029.309422600665</c:v>
                </c:pt>
                <c:pt idx="16">
                  <c:v>95504.455969713643</c:v>
                </c:pt>
                <c:pt idx="17">
                  <c:v>95981.97824956222</c:v>
                </c:pt>
                <c:pt idx="18">
                  <c:v>96461.888140809999</c:v>
                </c:pt>
                <c:pt idx="19">
                  <c:v>96944.197581514047</c:v>
                </c:pt>
                <c:pt idx="20">
                  <c:v>97428.918569421599</c:v>
                </c:pt>
                <c:pt idx="21">
                  <c:v>97916.063162268678</c:v>
                </c:pt>
                <c:pt idx="22">
                  <c:v>98405.643478080005</c:v>
                </c:pt>
                <c:pt idx="23">
                  <c:v>98897.671695470373</c:v>
                </c:pt>
                <c:pt idx="24">
                  <c:v>99392.160053947737</c:v>
                </c:pt>
                <c:pt idx="25">
                  <c:v>99889.120854217443</c:v>
                </c:pt>
                <c:pt idx="26">
                  <c:v>100388.56645848855</c:v>
                </c:pt>
                <c:pt idx="27">
                  <c:v>100890.50929078096</c:v>
                </c:pt>
                <c:pt idx="28">
                  <c:v>101394.96183723485</c:v>
                </c:pt>
                <c:pt idx="29">
                  <c:v>101901.93664642102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72-6A40-851B-0BBE58634528}"/>
            </c:ext>
          </c:extLst>
        </c:ser>
        <c:ser>
          <c:idx val="1"/>
          <c:order val="1"/>
          <c:tx>
            <c:v>B. Net Expense Reduction</c:v>
          </c:tx>
          <c:marker>
            <c:symbol val="none"/>
          </c:marker>
          <c:yVal>
            <c:numRef>
              <c:f>Cashflow!$D$8:$D$37</c:f>
              <c:numCache>
                <c:formatCode>"$"#,##0_);[Red]\("$"#,##0\)</c:formatCode>
                <c:ptCount val="30"/>
                <c:pt idx="0">
                  <c:v>24826.4996997333</c:v>
                </c:pt>
                <c:pt idx="1">
                  <c:v>25280.732198231974</c:v>
                </c:pt>
                <c:pt idx="2">
                  <c:v>25751.68165922313</c:v>
                </c:pt>
                <c:pt idx="3">
                  <c:v>26240.046144919255</c:v>
                </c:pt>
                <c:pt idx="4">
                  <c:v>26746.54954238607</c:v>
                </c:pt>
                <c:pt idx="5">
                  <c:v>27271.94242466037</c:v>
                </c:pt>
                <c:pt idx="6">
                  <c:v>27817.002938714009</c:v>
                </c:pt>
                <c:pt idx="7">
                  <c:v>28382.537721066692</c:v>
                </c:pt>
                <c:pt idx="8">
                  <c:v>28969.382841873776</c:v>
                </c:pt>
                <c:pt idx="9">
                  <c:v>29578.404778339107</c:v>
                </c:pt>
                <c:pt idx="10">
                  <c:v>30210.501418328033</c:v>
                </c:pt>
                <c:pt idx="11">
                  <c:v>30866.603095080838</c:v>
                </c:pt>
                <c:pt idx="12">
                  <c:v>31547.673653953058</c:v>
                </c:pt>
                <c:pt idx="13">
                  <c:v>32254.711552136516</c:v>
                </c:pt>
                <c:pt idx="14">
                  <c:v>32988.750992342073</c:v>
                </c:pt>
                <c:pt idx="15">
                  <c:v>90011.306090900354</c:v>
                </c:pt>
                <c:pt idx="16">
                  <c:v>91646.506729632223</c:v>
                </c:pt>
                <c:pt idx="17">
                  <c:v>93324.696458972394</c:v>
                </c:pt>
                <c:pt idx="18">
                  <c:v>95047.254394728399</c:v>
                </c:pt>
                <c:pt idx="19">
                  <c:v>96815.60446063726</c:v>
                </c:pt>
                <c:pt idx="20">
                  <c:v>98631.216790802326</c:v>
                </c:pt>
                <c:pt idx="21">
                  <c:v>100495.60917444715</c:v>
                </c:pt>
                <c:pt idx="22">
                  <c:v>102410.34854422935</c:v>
                </c:pt>
                <c:pt idx="23">
                  <c:v>104377.05250939322</c:v>
                </c:pt>
                <c:pt idx="24">
                  <c:v>106397.39093507751</c:v>
                </c:pt>
                <c:pt idx="25">
                  <c:v>108473.0875691313</c:v>
                </c:pt>
                <c:pt idx="26">
                  <c:v>110605.92171783182</c:v>
                </c:pt>
                <c:pt idx="27">
                  <c:v>112797.72997193658</c:v>
                </c:pt>
                <c:pt idx="28">
                  <c:v>115050.40798454384</c:v>
                </c:pt>
                <c:pt idx="29">
                  <c:v>117365.91230227907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72-6A40-851B-0BBE58634528}"/>
            </c:ext>
          </c:extLst>
        </c:ser>
        <c:ser>
          <c:idx val="2"/>
          <c:order val="2"/>
          <c:tx>
            <c:v>C. Investment Finance</c:v>
          </c:tx>
          <c:marker>
            <c:symbol val="none"/>
          </c:marker>
          <c:xVal>
            <c:numRef>
              <c:f>Cashflow!$B$7:$B$37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Cashflow!$M$7:$M$37</c:f>
              <c:numCache>
                <c:formatCode>"$"#,##0_);[Red]\("$"#,##0\)</c:formatCode>
                <c:ptCount val="31"/>
                <c:pt idx="0">
                  <c:v>-180000</c:v>
                </c:pt>
                <c:pt idx="1">
                  <c:v>-153934.3173074559</c:v>
                </c:pt>
                <c:pt idx="2">
                  <c:v>-153934.3173074559</c:v>
                </c:pt>
                <c:pt idx="3">
                  <c:v>-153934.3173074559</c:v>
                </c:pt>
                <c:pt idx="4">
                  <c:v>-153934.3173074559</c:v>
                </c:pt>
                <c:pt idx="5">
                  <c:v>-153934.3173074559</c:v>
                </c:pt>
                <c:pt idx="6">
                  <c:v>-153934.3173074559</c:v>
                </c:pt>
                <c:pt idx="7">
                  <c:v>-153934.3173074559</c:v>
                </c:pt>
                <c:pt idx="8">
                  <c:v>-153934.3173074559</c:v>
                </c:pt>
                <c:pt idx="9">
                  <c:v>-153934.3173074559</c:v>
                </c:pt>
                <c:pt idx="10">
                  <c:v>-153934.3173074559</c:v>
                </c:pt>
                <c:pt idx="11">
                  <c:v>-90995.093874243961</c:v>
                </c:pt>
                <c:pt idx="12">
                  <c:v>-90995.093874243961</c:v>
                </c:pt>
                <c:pt idx="13">
                  <c:v>-90995.093874243961</c:v>
                </c:pt>
                <c:pt idx="14">
                  <c:v>-90995.093874243961</c:v>
                </c:pt>
                <c:pt idx="15">
                  <c:v>-124252.49860298082</c:v>
                </c:pt>
                <c:pt idx="16">
                  <c:v>-168520.84302353018</c:v>
                </c:pt>
                <c:pt idx="17">
                  <c:v>-168520.84302353021</c:v>
                </c:pt>
                <c:pt idx="18">
                  <c:v>-168520.84302353021</c:v>
                </c:pt>
                <c:pt idx="19">
                  <c:v>-168520.84302353021</c:v>
                </c:pt>
                <c:pt idx="20">
                  <c:v>-168520.84302353021</c:v>
                </c:pt>
                <c:pt idx="21">
                  <c:v>-77525.749149286232</c:v>
                </c:pt>
                <c:pt idx="22">
                  <c:v>-77525.749149286232</c:v>
                </c:pt>
                <c:pt idx="23">
                  <c:v>-77525.749149286232</c:v>
                </c:pt>
                <c:pt idx="24">
                  <c:v>-77525.749149286232</c:v>
                </c:pt>
                <c:pt idx="25">
                  <c:v>-77525.749149286232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41579.47384556941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72-6A40-851B-0BBE58634528}"/>
            </c:ext>
          </c:extLst>
        </c:ser>
        <c:ser>
          <c:idx val="3"/>
          <c:order val="3"/>
          <c:tx>
            <c:v>D. Net Tax Deduction</c:v>
          </c:tx>
          <c:marker>
            <c:symbol val="none"/>
          </c:marker>
          <c:yVal>
            <c:numRef>
              <c:f>Cashflow!$J$9:$J$37</c:f>
              <c:numCache>
                <c:formatCode>"$"#,##0_);[Red]\("$"#,##0\)</c:formatCode>
                <c:ptCount val="29"/>
                <c:pt idx="0">
                  <c:v>70956.838518500226</c:v>
                </c:pt>
                <c:pt idx="1">
                  <c:v>55010.212419548661</c:v>
                </c:pt>
                <c:pt idx="2">
                  <c:v>44651.496397100083</c:v>
                </c:pt>
                <c:pt idx="3">
                  <c:v>40815.613218180457</c:v>
                </c:pt>
                <c:pt idx="4">
                  <c:v>39031.045952223853</c:v>
                </c:pt>
                <c:pt idx="5">
                  <c:v>37166.10823169996</c:v>
                </c:pt>
                <c:pt idx="6">
                  <c:v>13607.525588338094</c:v>
                </c:pt>
                <c:pt idx="7">
                  <c:v>11569.873980135328</c:v>
                </c:pt>
                <c:pt idx="8">
                  <c:v>9439.4843219568793</c:v>
                </c:pt>
                <c:pt idx="9">
                  <c:v>-28963.209899557678</c:v>
                </c:pt>
                <c:pt idx="10">
                  <c:v>-30254.401027864416</c:v>
                </c:pt>
                <c:pt idx="11">
                  <c:v>-31600.68362254187</c:v>
                </c:pt>
                <c:pt idx="12">
                  <c:v>-33004.695350509523</c:v>
                </c:pt>
                <c:pt idx="13">
                  <c:v>-45444.144471939995</c:v>
                </c:pt>
                <c:pt idx="14">
                  <c:v>2349.877232211817</c:v>
                </c:pt>
                <c:pt idx="15">
                  <c:v>-10387.270651969135</c:v>
                </c:pt>
                <c:pt idx="16">
                  <c:v>-21077.682003378908</c:v>
                </c:pt>
                <c:pt idx="17">
                  <c:v>-26387.041583826973</c:v>
                </c:pt>
                <c:pt idx="18">
                  <c:v>-29400.676249561027</c:v>
                </c:pt>
                <c:pt idx="19">
                  <c:v>-32544.249124504397</c:v>
                </c:pt>
                <c:pt idx="20">
                  <c:v>-34322.523301800058</c:v>
                </c:pt>
                <c:pt idx="21">
                  <c:v>-62785.766948023731</c:v>
                </c:pt>
                <c:pt idx="22">
                  <c:v>-64702.147908262945</c:v>
                </c:pt>
                <c:pt idx="23">
                  <c:v>-66692.290054032404</c:v>
                </c:pt>
                <c:pt idx="24">
                  <c:v>-68759.528779705084</c:v>
                </c:pt>
                <c:pt idx="25">
                  <c:v>-69628.181098185727</c:v>
                </c:pt>
                <c:pt idx="26">
                  <c:v>-70517.118956696795</c:v>
                </c:pt>
                <c:pt idx="27">
                  <c:v>-71426.972041186964</c:v>
                </c:pt>
                <c:pt idx="28">
                  <c:v>-86079.616522108947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72-6A40-851B-0BBE5863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089328"/>
        <c:axId val="-2004084224"/>
      </c:scatterChart>
      <c:valAx>
        <c:axId val="-2004089328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</a:t>
                </a:r>
              </a:p>
            </c:rich>
          </c:tx>
          <c:layout>
            <c:manualLayout>
              <c:xMode val="edge"/>
              <c:yMode val="edge"/>
              <c:x val="0.43914198225221801"/>
              <c:y val="0.912260741322125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04084224"/>
        <c:crosses val="autoZero"/>
        <c:crossBetween val="midCat"/>
      </c:valAx>
      <c:valAx>
        <c:axId val="-2004084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Cash</a:t>
                </a:r>
                <a:r>
                  <a:rPr lang="en-US" sz="1400" baseline="0"/>
                  <a:t> Flows ($)</a:t>
                </a:r>
                <a:endParaRPr lang="en-US" sz="1400"/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-20040893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624100414867499"/>
          <c:y val="0.71762380687140803"/>
          <c:w val="0.38096349067477697"/>
          <c:h val="0.27118641922171299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Parlor: </a:t>
            </a:r>
            <a:r>
              <a:rPr lang="en-US" sz="1800" b="1" i="0" u="none" strike="noStrike" baseline="0">
                <a:effectLst/>
              </a:rPr>
              <a:t>Breakdown of Cash Flow Changes </a:t>
            </a:r>
            <a:endParaRPr lang="en-US"/>
          </a:p>
        </c:rich>
      </c:tx>
      <c:layout>
        <c:manualLayout>
          <c:xMode val="edge"/>
          <c:yMode val="edge"/>
          <c:x val="0.1579105085126389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260698390962"/>
          <c:y val="0.13141223080553399"/>
          <c:w val="0.805537034565595"/>
          <c:h val="0.74669430186414398"/>
        </c:manualLayout>
      </c:layout>
      <c:scatterChart>
        <c:scatterStyle val="smoothMarker"/>
        <c:varyColors val="0"/>
        <c:ser>
          <c:idx val="0"/>
          <c:order val="0"/>
          <c:tx>
            <c:v>A, Net Revenue Increase</c:v>
          </c:tx>
          <c:marker>
            <c:symbol val="none"/>
          </c:marker>
          <c:xVal>
            <c:numRef>
              <c:f>Cashflow!$S$8:$S$37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Cashflow!$T$8:$T$37</c:f>
              <c:numCache>
                <c:formatCode>"$"#,##0_);[Red]\("$"#,##0\)</c:formatCode>
                <c:ptCount val="30"/>
                <c:pt idx="0">
                  <c:v>67805.100000000006</c:v>
                </c:pt>
                <c:pt idx="1">
                  <c:v>68144.12549999998</c:v>
                </c:pt>
                <c:pt idx="2">
                  <c:v>68484.846127499972</c:v>
                </c:pt>
                <c:pt idx="3">
                  <c:v>68827.270358137466</c:v>
                </c:pt>
                <c:pt idx="4">
                  <c:v>69171.406709928153</c:v>
                </c:pt>
                <c:pt idx="5">
                  <c:v>69517.263743477757</c:v>
                </c:pt>
                <c:pt idx="6">
                  <c:v>69864.850062195139</c:v>
                </c:pt>
                <c:pt idx="7">
                  <c:v>70214.174312506118</c:v>
                </c:pt>
                <c:pt idx="8">
                  <c:v>70565.245184068641</c:v>
                </c:pt>
                <c:pt idx="9">
                  <c:v>70918.071409988988</c:v>
                </c:pt>
                <c:pt idx="10">
                  <c:v>71272.66176703891</c:v>
                </c:pt>
                <c:pt idx="11">
                  <c:v>71629.025075874102</c:v>
                </c:pt>
                <c:pt idx="12">
                  <c:v>71987.170201253452</c:v>
                </c:pt>
                <c:pt idx="13">
                  <c:v>72347.106052259711</c:v>
                </c:pt>
                <c:pt idx="14">
                  <c:v>72708.841582520981</c:v>
                </c:pt>
                <c:pt idx="15">
                  <c:v>73072.385790433575</c:v>
                </c:pt>
                <c:pt idx="16">
                  <c:v>73437.747719385734</c:v>
                </c:pt>
                <c:pt idx="17">
                  <c:v>73804.936457982665</c:v>
                </c:pt>
                <c:pt idx="18">
                  <c:v>74173.961140272571</c:v>
                </c:pt>
                <c:pt idx="19">
                  <c:v>74544.83094597391</c:v>
                </c:pt>
                <c:pt idx="20">
                  <c:v>74917.555100703772</c:v>
                </c:pt>
                <c:pt idx="21">
                  <c:v>75292.142876207276</c:v>
                </c:pt>
                <c:pt idx="22">
                  <c:v>75668.603590588304</c:v>
                </c:pt>
                <c:pt idx="23">
                  <c:v>76046.946608541228</c:v>
                </c:pt>
                <c:pt idx="24">
                  <c:v>76427.181341583942</c:v>
                </c:pt>
                <c:pt idx="25">
                  <c:v>76809.317248291845</c:v>
                </c:pt>
                <c:pt idx="26">
                  <c:v>77193.363834533287</c:v>
                </c:pt>
                <c:pt idx="27">
                  <c:v>77579.33065370594</c:v>
                </c:pt>
                <c:pt idx="28">
                  <c:v>77967.227306974455</c:v>
                </c:pt>
                <c:pt idx="29">
                  <c:v>78357.063443509323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B0-8048-9BAB-E7F3A36487CF}"/>
            </c:ext>
          </c:extLst>
        </c:ser>
        <c:ser>
          <c:idx val="1"/>
          <c:order val="1"/>
          <c:tx>
            <c:v>B. Net Expense Reduction</c:v>
          </c:tx>
          <c:marker>
            <c:symbol val="none"/>
          </c:marker>
          <c:yVal>
            <c:numRef>
              <c:f>Cashflow!$U$8:$U$37</c:f>
              <c:numCache>
                <c:formatCode>"$"#,##0_);[Red]\("$"#,##0\)</c:formatCode>
                <c:ptCount val="30"/>
                <c:pt idx="0">
                  <c:v>-5790.1252251999667</c:v>
                </c:pt>
                <c:pt idx="1">
                  <c:v>-5625.5958513259648</c:v>
                </c:pt>
                <c:pt idx="2">
                  <c:v>-5454.7223905825922</c:v>
                </c:pt>
                <c:pt idx="3">
                  <c:v>-5277.3169622155056</c:v>
                </c:pt>
                <c:pt idx="4">
                  <c:v>-5093.186350177617</c:v>
                </c:pt>
                <c:pt idx="5">
                  <c:v>-4902.1318530167719</c:v>
                </c:pt>
                <c:pt idx="6">
                  <c:v>-4703.949129551329</c:v>
                </c:pt>
                <c:pt idx="7">
                  <c:v>-4498.4280402157001</c:v>
                </c:pt>
                <c:pt idx="8">
                  <c:v>-4285.3524839544098</c:v>
                </c:pt>
                <c:pt idx="9">
                  <c:v>-4064.5002305399248</c:v>
                </c:pt>
                <c:pt idx="10">
                  <c:v>-3835.642748186001</c:v>
                </c:pt>
                <c:pt idx="11">
                  <c:v>-3598.5450263246839</c:v>
                </c:pt>
                <c:pt idx="12">
                  <c:v>-3352.9653934113885</c:v>
                </c:pt>
                <c:pt idx="13">
                  <c:v>-3098.6553296187831</c:v>
                </c:pt>
                <c:pt idx="14">
                  <c:v>-2835.3592742761139</c:v>
                </c:pt>
                <c:pt idx="15">
                  <c:v>-2562.8144279068056</c:v>
                </c:pt>
                <c:pt idx="16">
                  <c:v>-2280.7505487129238</c:v>
                </c:pt>
                <c:pt idx="17">
                  <c:v>-1988.8897433508046</c:v>
                </c:pt>
                <c:pt idx="18">
                  <c:v>-1686.9462518379587</c:v>
                </c:pt>
                <c:pt idx="19">
                  <c:v>-1374.6262264267079</c:v>
                </c:pt>
                <c:pt idx="20">
                  <c:v>-1051.6275042755042</c:v>
                </c:pt>
                <c:pt idx="21">
                  <c:v>-717.63937374409215</c:v>
                </c:pt>
                <c:pt idx="22">
                  <c:v>-372.3423341338621</c:v>
                </c:pt>
                <c:pt idx="23">
                  <c:v>-15.407848689681487</c:v>
                </c:pt>
                <c:pt idx="24">
                  <c:v>353.50190932564328</c:v>
                </c:pt>
                <c:pt idx="25">
                  <c:v>734.73431767837246</c:v>
                </c:pt>
                <c:pt idx="26">
                  <c:v>1128.6465735318743</c:v>
                </c:pt>
                <c:pt idx="27">
                  <c:v>1535.605969340897</c:v>
                </c:pt>
                <c:pt idx="28">
                  <c:v>1955.9901764829065</c:v>
                </c:pt>
                <c:pt idx="29">
                  <c:v>2390.1875368433411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0-8048-9BAB-E7F3A36487CF}"/>
            </c:ext>
          </c:extLst>
        </c:ser>
        <c:ser>
          <c:idx val="2"/>
          <c:order val="2"/>
          <c:tx>
            <c:v>C. Investment Finance</c:v>
          </c:tx>
          <c:marker>
            <c:symbol val="none"/>
          </c:marker>
          <c:xVal>
            <c:numRef>
              <c:f>Cashflow!$S$7:$S$37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Cashflow!$AD$7:$AD$37</c:f>
              <c:numCache>
                <c:formatCode>"$"#,##0_);[Red]\("$"#,##0\)</c:formatCode>
                <c:ptCount val="31"/>
                <c:pt idx="0">
                  <c:v>-108000</c:v>
                </c:pt>
                <c:pt idx="1">
                  <c:v>-101937.12080788793</c:v>
                </c:pt>
                <c:pt idx="2">
                  <c:v>-101937.12080788793</c:v>
                </c:pt>
                <c:pt idx="3">
                  <c:v>-101937.12080788793</c:v>
                </c:pt>
                <c:pt idx="4">
                  <c:v>-101937.12080788793</c:v>
                </c:pt>
                <c:pt idx="5">
                  <c:v>-101937.12080788793</c:v>
                </c:pt>
                <c:pt idx="6">
                  <c:v>-101937.12080788791</c:v>
                </c:pt>
                <c:pt idx="7">
                  <c:v>-101937.12080788793</c:v>
                </c:pt>
                <c:pt idx="8">
                  <c:v>-101937.12080788793</c:v>
                </c:pt>
                <c:pt idx="9">
                  <c:v>-101937.12080788791</c:v>
                </c:pt>
                <c:pt idx="10">
                  <c:v>-101937.12080788791</c:v>
                </c:pt>
                <c:pt idx="11">
                  <c:v>-38997.89737467598</c:v>
                </c:pt>
                <c:pt idx="12">
                  <c:v>-38997.89737467598</c:v>
                </c:pt>
                <c:pt idx="13">
                  <c:v>-38997.89737467598</c:v>
                </c:pt>
                <c:pt idx="14">
                  <c:v>-38997.89737467598</c:v>
                </c:pt>
                <c:pt idx="15">
                  <c:v>-38997.89737467598</c:v>
                </c:pt>
                <c:pt idx="16">
                  <c:v>-38997.89737467598</c:v>
                </c:pt>
                <c:pt idx="17">
                  <c:v>-38997.89737467598</c:v>
                </c:pt>
                <c:pt idx="18">
                  <c:v>-38997.897374675973</c:v>
                </c:pt>
                <c:pt idx="19">
                  <c:v>-38997.89737467598</c:v>
                </c:pt>
                <c:pt idx="20">
                  <c:v>-38997.89737467598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41579.47384556941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B0-8048-9BAB-E7F3A36487CF}"/>
            </c:ext>
          </c:extLst>
        </c:ser>
        <c:ser>
          <c:idx val="3"/>
          <c:order val="3"/>
          <c:tx>
            <c:v>D. Net Tax Deduction</c:v>
          </c:tx>
          <c:marker>
            <c:symbol val="none"/>
          </c:marker>
          <c:yVal>
            <c:numRef>
              <c:f>Cashflow!$AA$8:$AA$37</c:f>
              <c:numCache>
                <c:formatCode>"$"#,##0_);[Red]\("$"#,##0\)</c:formatCode>
                <c:ptCount val="30"/>
                <c:pt idx="0">
                  <c:v>60488.772610030275</c:v>
                </c:pt>
                <c:pt idx="1">
                  <c:v>47250.383947097216</c:v>
                </c:pt>
                <c:pt idx="2">
                  <c:v>36320.189874732445</c:v>
                </c:pt>
                <c:pt idx="3">
                  <c:v>30317.027286760942</c:v>
                </c:pt>
                <c:pt idx="4">
                  <c:v>28211.941219856199</c:v>
                </c:pt>
                <c:pt idx="5">
                  <c:v>26965.038953688359</c:v>
                </c:pt>
                <c:pt idx="6">
                  <c:v>25661.727635682983</c:v>
                </c:pt>
                <c:pt idx="7">
                  <c:v>2689.9130951718084</c:v>
                </c:pt>
                <c:pt idx="8">
                  <c:v>1265.4084676611803</c:v>
                </c:pt>
                <c:pt idx="9">
                  <c:v>-224.15855216452024</c:v>
                </c:pt>
                <c:pt idx="10">
                  <c:v>-17285.547741895258</c:v>
                </c:pt>
                <c:pt idx="11">
                  <c:v>-17876.421761990947</c:v>
                </c:pt>
                <c:pt idx="12">
                  <c:v>-18490.434406191656</c:v>
                </c:pt>
                <c:pt idx="13">
                  <c:v>-19128.658205737625</c:v>
                </c:pt>
                <c:pt idx="14">
                  <c:v>-19792.217409032386</c:v>
                </c:pt>
                <c:pt idx="15">
                  <c:v>-20482.290515993143</c:v>
                </c:pt>
                <c:pt idx="16">
                  <c:v>-21200.112937681457</c:v>
                </c:pt>
                <c:pt idx="17">
                  <c:v>-21946.979787438067</c:v>
                </c:pt>
                <c:pt idx="18">
                  <c:v>-22724.248810055607</c:v>
                </c:pt>
                <c:pt idx="19">
                  <c:v>-23533.343455848524</c:v>
                </c:pt>
                <c:pt idx="20">
                  <c:v>-24375.756106821329</c:v>
                </c:pt>
                <c:pt idx="21">
                  <c:v>-24609.586155812849</c:v>
                </c:pt>
                <c:pt idx="22">
                  <c:v>-24847.766214629966</c:v>
                </c:pt>
                <c:pt idx="23">
                  <c:v>-25090.407790751015</c:v>
                </c:pt>
                <c:pt idx="24">
                  <c:v>-25337.625472800162</c:v>
                </c:pt>
                <c:pt idx="25">
                  <c:v>-25589.537016770173</c:v>
                </c:pt>
                <c:pt idx="26">
                  <c:v>-25846.263434661505</c:v>
                </c:pt>
                <c:pt idx="27">
                  <c:v>-26107.929085605461</c:v>
                </c:pt>
                <c:pt idx="28">
                  <c:v>-26374.661769540933</c:v>
                </c:pt>
                <c:pt idx="29">
                  <c:v>-40367.819192554285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0-8048-9BAB-E7F3A3648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038528"/>
        <c:axId val="-2004033424"/>
      </c:scatterChart>
      <c:valAx>
        <c:axId val="-2004038528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</a:t>
                </a:r>
              </a:p>
            </c:rich>
          </c:tx>
          <c:layout>
            <c:manualLayout>
              <c:xMode val="edge"/>
              <c:yMode val="edge"/>
              <c:x val="0.42986579938377301"/>
              <c:y val="0.892327181499788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04033424"/>
        <c:crosses val="autoZero"/>
        <c:crossBetween val="midCat"/>
      </c:valAx>
      <c:valAx>
        <c:axId val="-2004033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Cash</a:t>
                </a:r>
                <a:r>
                  <a:rPr lang="en-US" sz="1400" baseline="0"/>
                  <a:t> Flows ($)</a:t>
                </a:r>
                <a:endParaRPr lang="en-US" sz="1400"/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-20040385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8393049340055"/>
          <c:y val="0.70865316230632502"/>
          <c:w val="0.38799826659368097"/>
          <c:h val="0.25523463296926602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3.4300791556728202E-2"/>
          <c:w val="0.69207069186774195"/>
          <c:h val="0.83430099931440005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Sensitivity!$E$113:$E$120</c:f>
              <c:numCache>
                <c:formatCode>General</c:formatCode>
                <c:ptCount val="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</c:numCache>
            </c:numRef>
          </c:cat>
          <c:val>
            <c:numRef>
              <c:f>Sensitivity!$F$113:$F$120</c:f>
              <c:numCache>
                <c:formatCode>"$"#,##0_);[Red]\("$"#,##0\)</c:formatCode>
                <c:ptCount val="8"/>
                <c:pt idx="0">
                  <c:v>-41048.950963219344</c:v>
                </c:pt>
                <c:pt idx="1">
                  <c:v>-28056.18343185788</c:v>
                </c:pt>
                <c:pt idx="2">
                  <c:v>-17358.343254367497</c:v>
                </c:pt>
                <c:pt idx="3">
                  <c:v>-8327.8843400747592</c:v>
                </c:pt>
                <c:pt idx="4">
                  <c:v>-546.72756434842961</c:v>
                </c:pt>
                <c:pt idx="5">
                  <c:v>6274.302590358091</c:v>
                </c:pt>
                <c:pt idx="6">
                  <c:v>12341.515035220829</c:v>
                </c:pt>
                <c:pt idx="7">
                  <c:v>17805.975007111017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6-1A49-880B-9F6A815AF798}"/>
            </c:ext>
          </c:extLst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Sensitivity!$E$113:$E$120</c:f>
              <c:numCache>
                <c:formatCode>General</c:formatCode>
                <c:ptCount val="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</c:numCache>
            </c:numRef>
          </c:cat>
          <c:val>
            <c:numRef>
              <c:f>'Warning Criteria'!$D$31:$D$38</c:f>
              <c:numCache>
                <c:formatCode>"$"#,##0_);[Red]\("$"#,##0\)</c:formatCode>
                <c:ptCount val="8"/>
                <c:pt idx="0">
                  <c:v>5847.6208326920741</c:v>
                </c:pt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  <c:pt idx="7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6-1A49-880B-9F6A815AF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1850800"/>
        <c:axId val="-2107887600"/>
      </c:lineChart>
      <c:catAx>
        <c:axId val="-209185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</a:t>
                </a:r>
                <a:r>
                  <a:rPr lang="en-US" sz="1600" baseline="0"/>
                  <a:t> Lifespan (years)</a:t>
                </a:r>
              </a:p>
            </c:rich>
          </c:tx>
          <c:layout>
            <c:manualLayout>
              <c:xMode val="edge"/>
              <c:yMode val="edge"/>
              <c:x val="0.39731158605174399"/>
              <c:y val="0.8897099702906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07887600"/>
        <c:crosses val="autoZero"/>
        <c:auto val="1"/>
        <c:lblAlgn val="ctr"/>
        <c:lblOffset val="100"/>
        <c:noMultiLvlLbl val="0"/>
      </c:catAx>
      <c:valAx>
        <c:axId val="-2107887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-2091850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1414355240771"/>
          <c:y val="0.70551223664609497"/>
          <c:w val="0.224408063941756"/>
          <c:h val="0.16738944456267299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3.4300791556728202E-2"/>
          <c:w val="0.68098532946539603"/>
          <c:h val="0.75398931383576995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Sensitivity!$E$142:$E$151</c:f>
              <c:numCache>
                <c:formatCode>"$"#,##0</c:formatCode>
                <c:ptCount val="10"/>
                <c:pt idx="0">
                  <c:v>240000</c:v>
                </c:pt>
                <c:pt idx="1">
                  <c:v>300000</c:v>
                </c:pt>
                <c:pt idx="2">
                  <c:v>360000</c:v>
                </c:pt>
                <c:pt idx="3">
                  <c:v>420000</c:v>
                </c:pt>
                <c:pt idx="4">
                  <c:v>480000</c:v>
                </c:pt>
                <c:pt idx="5">
                  <c:v>540000</c:v>
                </c:pt>
                <c:pt idx="6">
                  <c:v>600000</c:v>
                </c:pt>
                <c:pt idx="7">
                  <c:v>660000</c:v>
                </c:pt>
                <c:pt idx="8">
                  <c:v>720000</c:v>
                </c:pt>
                <c:pt idx="9">
                  <c:v>780000</c:v>
                </c:pt>
              </c:numCache>
            </c:numRef>
          </c:cat>
          <c:val>
            <c:numRef>
              <c:f>Sensitivity!$F$142:$F$151</c:f>
              <c:numCache>
                <c:formatCode>"$"#,##0</c:formatCode>
                <c:ptCount val="10"/>
                <c:pt idx="0">
                  <c:v>38100.538250613077</c:v>
                </c:pt>
                <c:pt idx="1">
                  <c:v>34041.625601912674</c:v>
                </c:pt>
                <c:pt idx="2">
                  <c:v>29982.71295321226</c:v>
                </c:pt>
                <c:pt idx="3">
                  <c:v>25923.800304511864</c:v>
                </c:pt>
                <c:pt idx="4">
                  <c:v>21864.887655811424</c:v>
                </c:pt>
                <c:pt idx="5">
                  <c:v>17805.975007111017</c:v>
                </c:pt>
                <c:pt idx="6">
                  <c:v>13747.062358410605</c:v>
                </c:pt>
                <c:pt idx="7">
                  <c:v>9688.1497097101819</c:v>
                </c:pt>
                <c:pt idx="8">
                  <c:v>5629.2370610097887</c:v>
                </c:pt>
                <c:pt idx="9">
                  <c:v>1570.3244123093598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F-9C49-B930-10A1CE3D3971}"/>
            </c:ext>
          </c:extLst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Sensitivity!$E$142:$E$151</c:f>
              <c:numCache>
                <c:formatCode>"$"#,##0</c:formatCode>
                <c:ptCount val="10"/>
                <c:pt idx="0">
                  <c:v>240000</c:v>
                </c:pt>
                <c:pt idx="1">
                  <c:v>300000</c:v>
                </c:pt>
                <c:pt idx="2">
                  <c:v>360000</c:v>
                </c:pt>
                <c:pt idx="3">
                  <c:v>420000</c:v>
                </c:pt>
                <c:pt idx="4">
                  <c:v>480000</c:v>
                </c:pt>
                <c:pt idx="5">
                  <c:v>540000</c:v>
                </c:pt>
                <c:pt idx="6">
                  <c:v>600000</c:v>
                </c:pt>
                <c:pt idx="7">
                  <c:v>660000</c:v>
                </c:pt>
                <c:pt idx="8">
                  <c:v>720000</c:v>
                </c:pt>
                <c:pt idx="9">
                  <c:v>780000</c:v>
                </c:pt>
              </c:numCache>
            </c:numRef>
          </c:cat>
          <c:val>
            <c:numRef>
              <c:f>'Warning Criteria'!$D$31:$D$40</c:f>
              <c:numCache>
                <c:formatCode>"$"#,##0_);[Red]\("$"#,##0\)</c:formatCode>
                <c:ptCount val="10"/>
                <c:pt idx="0">
                  <c:v>5847.6208326920741</c:v>
                </c:pt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  <c:pt idx="7">
                  <c:v>5847.6208326920741</c:v>
                </c:pt>
                <c:pt idx="8">
                  <c:v>5847.6208326920741</c:v>
                </c:pt>
                <c:pt idx="9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1F-9C49-B930-10A1CE3D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655952"/>
        <c:axId val="-2095081008"/>
      </c:lineChart>
      <c:catAx>
        <c:axId val="-210765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</a:t>
                </a:r>
                <a:r>
                  <a:rPr lang="en-US" sz="1600" baseline="0"/>
                  <a:t> Milking System Cost ($)</a:t>
                </a:r>
              </a:p>
              <a:p>
                <a:pPr>
                  <a:defRPr/>
                </a:pPr>
                <a:endParaRPr lang="en-US" sz="1600" baseline="0"/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-2095081008"/>
        <c:crosses val="autoZero"/>
        <c:auto val="1"/>
        <c:lblAlgn val="ctr"/>
        <c:lblOffset val="100"/>
        <c:noMultiLvlLbl val="0"/>
      </c:catAx>
      <c:valAx>
        <c:axId val="-2095081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-2107655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71743127917404"/>
          <c:y val="6.9050755199135699E-2"/>
          <c:w val="0.224408063941756"/>
          <c:h val="0.105999437570304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3.4300791556728202E-2"/>
          <c:w val="0.67899331806631702"/>
          <c:h val="0.73786874128772195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Sensitivity!$E$172:$E$183</c:f>
              <c:numCache>
                <c:formatCode>"$"#,##0</c:formatCode>
                <c:ptCount val="12"/>
                <c:pt idx="0">
                  <c:v>0</c:v>
                </c:pt>
                <c:pt idx="1">
                  <c:v>240000</c:v>
                </c:pt>
                <c:pt idx="2">
                  <c:v>480000</c:v>
                </c:pt>
                <c:pt idx="3">
                  <c:v>720000</c:v>
                </c:pt>
                <c:pt idx="4">
                  <c:v>960000</c:v>
                </c:pt>
                <c:pt idx="5">
                  <c:v>1200000</c:v>
                </c:pt>
                <c:pt idx="6">
                  <c:v>1440000</c:v>
                </c:pt>
                <c:pt idx="7">
                  <c:v>1680000</c:v>
                </c:pt>
                <c:pt idx="8">
                  <c:v>1920000</c:v>
                </c:pt>
                <c:pt idx="9">
                  <c:v>2160000</c:v>
                </c:pt>
                <c:pt idx="10">
                  <c:v>2400000</c:v>
                </c:pt>
                <c:pt idx="11">
                  <c:v>2640000</c:v>
                </c:pt>
              </c:numCache>
            </c:numRef>
          </c:cat>
          <c:val>
            <c:numRef>
              <c:f>Sensitivity!$F$172:$F$183</c:f>
              <c:numCache>
                <c:formatCode>"$"#,##0</c:formatCode>
                <c:ptCount val="12"/>
                <c:pt idx="0">
                  <c:v>71186.630422037881</c:v>
                </c:pt>
                <c:pt idx="1">
                  <c:v>61018.88653348037</c:v>
                </c:pt>
                <c:pt idx="2">
                  <c:v>50851.142644922875</c:v>
                </c:pt>
                <c:pt idx="3">
                  <c:v>40683.398756365386</c:v>
                </c:pt>
                <c:pt idx="4">
                  <c:v>30515.654867807876</c:v>
                </c:pt>
                <c:pt idx="5">
                  <c:v>20347.910979250406</c:v>
                </c:pt>
                <c:pt idx="6">
                  <c:v>10180.167090692907</c:v>
                </c:pt>
                <c:pt idx="7">
                  <c:v>12.423202135422031</c:v>
                </c:pt>
                <c:pt idx="8">
                  <c:v>-10155.320686422072</c:v>
                </c:pt>
                <c:pt idx="9">
                  <c:v>-20323.064574979573</c:v>
                </c:pt>
                <c:pt idx="10">
                  <c:v>-30490.808463537047</c:v>
                </c:pt>
                <c:pt idx="11">
                  <c:v>-40658.552352094535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A-B146-AE10-1899FF7A4735}"/>
            </c:ext>
          </c:extLst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Sensitivity!$E$172:$E$183</c:f>
              <c:numCache>
                <c:formatCode>"$"#,##0</c:formatCode>
                <c:ptCount val="12"/>
                <c:pt idx="0">
                  <c:v>0</c:v>
                </c:pt>
                <c:pt idx="1">
                  <c:v>240000</c:v>
                </c:pt>
                <c:pt idx="2">
                  <c:v>480000</c:v>
                </c:pt>
                <c:pt idx="3">
                  <c:v>720000</c:v>
                </c:pt>
                <c:pt idx="4">
                  <c:v>960000</c:v>
                </c:pt>
                <c:pt idx="5">
                  <c:v>1200000</c:v>
                </c:pt>
                <c:pt idx="6">
                  <c:v>1440000</c:v>
                </c:pt>
                <c:pt idx="7">
                  <c:v>1680000</c:v>
                </c:pt>
                <c:pt idx="8">
                  <c:v>1920000</c:v>
                </c:pt>
                <c:pt idx="9">
                  <c:v>2160000</c:v>
                </c:pt>
                <c:pt idx="10">
                  <c:v>2400000</c:v>
                </c:pt>
                <c:pt idx="11">
                  <c:v>2640000</c:v>
                </c:pt>
              </c:numCache>
            </c:numRef>
          </c:cat>
          <c:val>
            <c:numRef>
              <c:f>'Warning Criteria'!$D$31:$D$42</c:f>
              <c:numCache>
                <c:formatCode>"$"#,##0_);[Red]\("$"#,##0\)</c:formatCode>
                <c:ptCount val="12"/>
                <c:pt idx="0">
                  <c:v>5847.6208326920741</c:v>
                </c:pt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  <c:pt idx="7">
                  <c:v>5847.6208326920741</c:v>
                </c:pt>
                <c:pt idx="8">
                  <c:v>5847.6208326920741</c:v>
                </c:pt>
                <c:pt idx="9">
                  <c:v>5847.6208326920741</c:v>
                </c:pt>
                <c:pt idx="10">
                  <c:v>5847.6208326920741</c:v>
                </c:pt>
                <c:pt idx="11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A-B146-AE10-1899FF7A4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345424"/>
        <c:axId val="-2107811280"/>
      </c:lineChart>
      <c:catAx>
        <c:axId val="-207734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</a:t>
                </a:r>
                <a:r>
                  <a:rPr lang="en-US" sz="1600" baseline="0"/>
                  <a:t> Barn Cost ($)</a:t>
                </a:r>
              </a:p>
            </c:rich>
          </c:tx>
          <c:layout>
            <c:manualLayout>
              <c:xMode val="edge"/>
              <c:yMode val="edge"/>
              <c:x val="0.406278090978273"/>
              <c:y val="0.90333162622964802"/>
            </c:manualLayout>
          </c:layout>
          <c:overlay val="0"/>
        </c:title>
        <c:numFmt formatCode="&quot;$&quot;#,##0" sourceLinked="1"/>
        <c:majorTickMark val="in"/>
        <c:minorTickMark val="out"/>
        <c:tickLblPos val="low"/>
        <c:crossAx val="-2107811280"/>
        <c:crosses val="autoZero"/>
        <c:auto val="1"/>
        <c:lblAlgn val="ctr"/>
        <c:lblOffset val="100"/>
        <c:noMultiLvlLbl val="0"/>
      </c:catAx>
      <c:valAx>
        <c:axId val="-210781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-2077345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476519120368904"/>
          <c:y val="6.1135187916813799E-2"/>
          <c:w val="0.224408063941756"/>
          <c:h val="0.11037410993482299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3.4300791556728202E-2"/>
          <c:w val="0.68098532946539603"/>
          <c:h val="0.79208464047534899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Sensitivity!$E$202:$E$208</c:f>
              <c:numCache>
                <c:formatCode>"$"#,##0</c:formatCode>
                <c:ptCount val="7"/>
                <c:pt idx="0">
                  <c:v>0</c:v>
                </c:pt>
                <c:pt idx="1">
                  <c:v>6000</c:v>
                </c:pt>
                <c:pt idx="2">
                  <c:v>12000</c:v>
                </c:pt>
                <c:pt idx="3">
                  <c:v>18000</c:v>
                </c:pt>
                <c:pt idx="4">
                  <c:v>24000</c:v>
                </c:pt>
                <c:pt idx="5">
                  <c:v>30000</c:v>
                </c:pt>
                <c:pt idx="6">
                  <c:v>36000</c:v>
                </c:pt>
              </c:numCache>
            </c:numRef>
          </c:cat>
          <c:val>
            <c:numRef>
              <c:f>Sensitivity!$F$202:$F$208</c:f>
              <c:numCache>
                <c:formatCode>"$"#,##0</c:formatCode>
                <c:ptCount val="7"/>
                <c:pt idx="0">
                  <c:v>29935.840947234101</c:v>
                </c:pt>
                <c:pt idx="1">
                  <c:v>25083.894571184861</c:v>
                </c:pt>
                <c:pt idx="2">
                  <c:v>20231.948195135636</c:v>
                </c:pt>
                <c:pt idx="3">
                  <c:v>15380.001819086399</c:v>
                </c:pt>
                <c:pt idx="4">
                  <c:v>10528.05544303717</c:v>
                </c:pt>
                <c:pt idx="5">
                  <c:v>5676.1090669879413</c:v>
                </c:pt>
                <c:pt idx="6">
                  <c:v>824.16269093871779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1-1643-82DC-68E09821C8EA}"/>
            </c:ext>
          </c:extLst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Sensitivity!$E$202:$E$208</c:f>
              <c:numCache>
                <c:formatCode>"$"#,##0</c:formatCode>
                <c:ptCount val="7"/>
                <c:pt idx="0">
                  <c:v>0</c:v>
                </c:pt>
                <c:pt idx="1">
                  <c:v>6000</c:v>
                </c:pt>
                <c:pt idx="2">
                  <c:v>12000</c:v>
                </c:pt>
                <c:pt idx="3">
                  <c:v>18000</c:v>
                </c:pt>
                <c:pt idx="4">
                  <c:v>24000</c:v>
                </c:pt>
                <c:pt idx="5">
                  <c:v>30000</c:v>
                </c:pt>
                <c:pt idx="6">
                  <c:v>36000</c:v>
                </c:pt>
              </c:numCache>
            </c:numRef>
          </c:cat>
          <c:val>
            <c:numRef>
              <c:f>'Warning Criteria'!$D$31:$D$37</c:f>
              <c:numCache>
                <c:formatCode>"$"#,##0_);[Red]\("$"#,##0\)</c:formatCode>
                <c:ptCount val="7"/>
                <c:pt idx="0">
                  <c:v>5847.6208326920741</c:v>
                </c:pt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1-1643-82DC-68E09821C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4117056"/>
        <c:axId val="-2034111872"/>
      </c:lineChart>
      <c:catAx>
        <c:axId val="-20341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 Additional</a:t>
                </a:r>
                <a:r>
                  <a:rPr lang="en-US" sz="1600" baseline="0"/>
                  <a:t> Repair Cost ($)</a:t>
                </a:r>
              </a:p>
            </c:rich>
          </c:tx>
          <c:layout>
            <c:manualLayout>
              <c:xMode val="edge"/>
              <c:yMode val="edge"/>
              <c:x val="0.333593285869207"/>
              <c:y val="0.89854008684270703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-2034111872"/>
        <c:crosses val="autoZero"/>
        <c:auto val="1"/>
        <c:lblAlgn val="ctr"/>
        <c:lblOffset val="100"/>
        <c:noMultiLvlLbl val="0"/>
      </c:catAx>
      <c:valAx>
        <c:axId val="-2034111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-2034117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71743127917404"/>
          <c:y val="6.6412232771695098E-2"/>
          <c:w val="0.225548902195609"/>
          <c:h val="0.1442203893378760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3.4300791556728202E-2"/>
          <c:w val="0.69289010748656399"/>
          <c:h val="0.81319281989487502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Sensitivity!$E$82:$E$91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Sensitivity!$F$82:$F$91</c:f>
              <c:numCache>
                <c:formatCode>"$"#,##0</c:formatCode>
                <c:ptCount val="10"/>
                <c:pt idx="0">
                  <c:v>13592.025901462252</c:v>
                </c:pt>
                <c:pt idx="1">
                  <c:v>-3263.7705211328112</c:v>
                </c:pt>
                <c:pt idx="2">
                  <c:v>-20119.566943727867</c:v>
                </c:pt>
                <c:pt idx="3">
                  <c:v>-36975.363366322927</c:v>
                </c:pt>
                <c:pt idx="4">
                  <c:v>-53831.159788917983</c:v>
                </c:pt>
                <c:pt idx="5">
                  <c:v>-70686.956211513039</c:v>
                </c:pt>
                <c:pt idx="6">
                  <c:v>-87542.752634108096</c:v>
                </c:pt>
                <c:pt idx="7">
                  <c:v>-104398.54905670317</c:v>
                </c:pt>
                <c:pt idx="8">
                  <c:v>-121254.34547929822</c:v>
                </c:pt>
                <c:pt idx="9">
                  <c:v>-138110.14190189325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0-F54E-8B31-5A66BD86E4E2}"/>
            </c:ext>
          </c:extLst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Sensitivity!$E$82:$E$91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cat>
          <c:val>
            <c:numRef>
              <c:f>'Warning Criteria'!$D$31:$D$40</c:f>
              <c:numCache>
                <c:formatCode>"$"#,##0_);[Red]\("$"#,##0\)</c:formatCode>
                <c:ptCount val="10"/>
                <c:pt idx="0">
                  <c:v>5847.6208326920741</c:v>
                </c:pt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  <c:pt idx="7">
                  <c:v>5847.6208326920741</c:v>
                </c:pt>
                <c:pt idx="8">
                  <c:v>5847.6208326920741</c:v>
                </c:pt>
                <c:pt idx="9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0-F54E-8B31-5A66BD86E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0018032"/>
        <c:axId val="-2044913504"/>
      </c:lineChart>
      <c:catAx>
        <c:axId val="-204001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 Projected Milking</a:t>
                </a:r>
                <a:r>
                  <a:rPr lang="en-US" sz="1600" baseline="0"/>
                  <a:t> Chore (hours)</a:t>
                </a:r>
              </a:p>
            </c:rich>
          </c:tx>
          <c:layout>
            <c:manualLayout>
              <c:xMode val="edge"/>
              <c:yMode val="edge"/>
              <c:x val="0.275612892138483"/>
              <c:y val="0.892348492718094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44913504"/>
        <c:crosses val="autoZero"/>
        <c:auto val="1"/>
        <c:lblAlgn val="ctr"/>
        <c:lblOffset val="100"/>
        <c:noMultiLvlLbl val="0"/>
      </c:catAx>
      <c:valAx>
        <c:axId val="-204491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-2040018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82030371203605"/>
          <c:y val="2.68343963600856E-2"/>
          <c:w val="0.224408063941756"/>
          <c:h val="0.1375131767065700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3.4300791556728202E-2"/>
          <c:w val="0.69296132145158496"/>
          <c:h val="0.81583134232231502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Sensitivity!$E$52:$E$63</c:f>
              <c:numCache>
                <c:formatCode>General</c:formatCode>
                <c:ptCount val="12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</c:numCache>
            </c:numRef>
          </c:cat>
          <c:val>
            <c:numRef>
              <c:f>Sensitivity!$F$52:$F$63</c:f>
              <c:numCache>
                <c:formatCode>"$"#,##0</c:formatCode>
                <c:ptCount val="12"/>
                <c:pt idx="0">
                  <c:v>-111543.1877650512</c:v>
                </c:pt>
                <c:pt idx="1">
                  <c:v>-83423.804553711569</c:v>
                </c:pt>
                <c:pt idx="2">
                  <c:v>-55304.42134237197</c:v>
                </c:pt>
                <c:pt idx="3">
                  <c:v>-27185.03813103235</c:v>
                </c:pt>
                <c:pt idx="4">
                  <c:v>934.34508030728102</c:v>
                </c:pt>
                <c:pt idx="5">
                  <c:v>29053.728291646876</c:v>
                </c:pt>
                <c:pt idx="6">
                  <c:v>57173.111502986518</c:v>
                </c:pt>
                <c:pt idx="7">
                  <c:v>85292.494714326152</c:v>
                </c:pt>
                <c:pt idx="8">
                  <c:v>113411.87792566582</c:v>
                </c:pt>
                <c:pt idx="9">
                  <c:v>141531.26113700544</c:v>
                </c:pt>
                <c:pt idx="10">
                  <c:v>169650.64434834503</c:v>
                </c:pt>
                <c:pt idx="11">
                  <c:v>197770.02755968468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B-BA45-9363-5A66B5B41948}"/>
            </c:ext>
          </c:extLst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Sensitivity!$E$52:$E$63</c:f>
              <c:numCache>
                <c:formatCode>General</c:formatCode>
                <c:ptCount val="12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</c:numCache>
            </c:numRef>
          </c:cat>
          <c:val>
            <c:numRef>
              <c:f>'Warning Criteria'!$D$31:$D$42</c:f>
              <c:numCache>
                <c:formatCode>"$"#,##0_);[Red]\("$"#,##0\)</c:formatCode>
                <c:ptCount val="12"/>
                <c:pt idx="0">
                  <c:v>5847.6208326920741</c:v>
                </c:pt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  <c:pt idx="7">
                  <c:v>5847.6208326920741</c:v>
                </c:pt>
                <c:pt idx="8">
                  <c:v>5847.6208326920741</c:v>
                </c:pt>
                <c:pt idx="9">
                  <c:v>5847.6208326920741</c:v>
                </c:pt>
                <c:pt idx="10">
                  <c:v>5847.6208326920741</c:v>
                </c:pt>
                <c:pt idx="11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B-BA45-9363-5A66B5B41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3999312"/>
        <c:axId val="-2003994112"/>
      </c:lineChart>
      <c:catAx>
        <c:axId val="-200399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 Projected</a:t>
                </a:r>
                <a:r>
                  <a:rPr lang="en-US" sz="1600" baseline="0"/>
                  <a:t> Milk Production (lb/cow/day)</a:t>
                </a:r>
              </a:p>
            </c:rich>
          </c:tx>
          <c:layout>
            <c:manualLayout>
              <c:xMode val="edge"/>
              <c:yMode val="edge"/>
              <c:x val="0.23207050465997101"/>
              <c:y val="0.884432925435772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03994112"/>
        <c:crosses val="autoZero"/>
        <c:auto val="1"/>
        <c:lblAlgn val="ctr"/>
        <c:lblOffset val="100"/>
        <c:noMultiLvlLbl val="0"/>
      </c:catAx>
      <c:valAx>
        <c:axId val="-2003994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Net Annual Impact ($)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-2003999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7203859996542"/>
          <c:y val="0.68910352564768496"/>
          <c:w val="0.224408063941756"/>
          <c:h val="0.154774479047639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3.4300791556728202E-2"/>
          <c:w val="0.69296132145158496"/>
          <c:h val="0.76403609348713697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strRef>
              <c:f>Sensitivity!SensitivityTableX</c:f>
              <c:strCache>
                <c:ptCount val="12"/>
                <c:pt idx="0">
                  <c:v>75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</c:strCache>
            </c:strRef>
          </c:cat>
          <c:val>
            <c:numRef>
              <c:f>Sensitivity!SensitivityTableData</c:f>
              <c:numCache>
                <c:formatCode>"$"#,##0</c:formatCode>
                <c:ptCount val="12"/>
                <c:pt idx="0">
                  <c:v>-111543.1877650512</c:v>
                </c:pt>
                <c:pt idx="1">
                  <c:v>-83423.804553711569</c:v>
                </c:pt>
                <c:pt idx="2">
                  <c:v>-55304.42134237197</c:v>
                </c:pt>
                <c:pt idx="3">
                  <c:v>-27185.03813103235</c:v>
                </c:pt>
                <c:pt idx="4">
                  <c:v>934.34508030728102</c:v>
                </c:pt>
                <c:pt idx="5">
                  <c:v>29053.728291646876</c:v>
                </c:pt>
                <c:pt idx="6">
                  <c:v>57173.111502986518</c:v>
                </c:pt>
                <c:pt idx="7">
                  <c:v>85292.494714326152</c:v>
                </c:pt>
                <c:pt idx="8">
                  <c:v>113411.87792566582</c:v>
                </c:pt>
                <c:pt idx="9">
                  <c:v>141531.26113700544</c:v>
                </c:pt>
                <c:pt idx="10">
                  <c:v>169650.64434834503</c:v>
                </c:pt>
                <c:pt idx="11">
                  <c:v>197770.02755968468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A-8540-A624-6EC274612CB7}"/>
            </c:ext>
          </c:extLst>
        </c:ser>
        <c:ser>
          <c:idx val="1"/>
          <c:order val="1"/>
          <c:tx>
            <c:v>Parlor</c:v>
          </c:tx>
          <c:marker>
            <c:symbol val="none"/>
          </c:marker>
          <c:cat>
            <c:strRef>
              <c:f>Sensitivity!SensitivityTableX</c:f>
              <c:strCache>
                <c:ptCount val="12"/>
                <c:pt idx="0">
                  <c:v>75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</c:strCache>
            </c:strRef>
          </c:cat>
          <c:val>
            <c:numRef>
              <c:f>[0]!SensitivityTableParlor</c:f>
              <c:numCache>
                <c:formatCode>"$"#,##0_);[Red]\("$"#,##0\)</c:formatCode>
                <c:ptCount val="12"/>
                <c:pt idx="0">
                  <c:v>5847.6208326920741</c:v>
                </c:pt>
                <c:pt idx="1">
                  <c:v>5847.6208326920741</c:v>
                </c:pt>
                <c:pt idx="2">
                  <c:v>5847.6208326920741</c:v>
                </c:pt>
                <c:pt idx="3">
                  <c:v>5847.6208326920741</c:v>
                </c:pt>
                <c:pt idx="4">
                  <c:v>5847.6208326920741</c:v>
                </c:pt>
                <c:pt idx="5">
                  <c:v>5847.6208326920741</c:v>
                </c:pt>
                <c:pt idx="6">
                  <c:v>5847.6208326920741</c:v>
                </c:pt>
                <c:pt idx="7">
                  <c:v>5847.6208326920741</c:v>
                </c:pt>
                <c:pt idx="8">
                  <c:v>5847.6208326920741</c:v>
                </c:pt>
                <c:pt idx="9">
                  <c:v>5847.6208326920741</c:v>
                </c:pt>
                <c:pt idx="10">
                  <c:v>5847.6208326920741</c:v>
                </c:pt>
                <c:pt idx="11">
                  <c:v>5847.6208326920741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A-8540-A624-6EC274612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3959648"/>
        <c:axId val="-2003954336"/>
      </c:lineChart>
      <c:catAx>
        <c:axId val="-2003959648"/>
        <c:scaling>
          <c:orientation val="minMax"/>
        </c:scaling>
        <c:delete val="0"/>
        <c:axPos val="b"/>
        <c:title>
          <c:tx>
            <c:strRef>
              <c:f>Sensitivity!$B$12</c:f>
              <c:strCache>
                <c:ptCount val="1"/>
                <c:pt idx="0">
                  <c:v>Robot's Projected milk production (lb/cow/day)</c:v>
                </c:pt>
              </c:strCache>
            </c:strRef>
          </c:tx>
          <c:layout>
            <c:manualLayout>
              <c:xMode val="edge"/>
              <c:yMode val="edge"/>
              <c:x val="0.41073697168036299"/>
              <c:y val="0.90783599732270603"/>
            </c:manualLayout>
          </c:layout>
          <c:overlay val="0"/>
          <c:txPr>
            <a:bodyPr anchor="ctr" anchorCtr="1"/>
            <a:lstStyle/>
            <a:p>
              <a:pPr>
                <a:defRPr sz="1600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-1200000"/>
          <a:lstStyle/>
          <a:p>
            <a:pPr>
              <a:defRPr/>
            </a:pPr>
            <a:endParaRPr lang="en-US"/>
          </a:p>
        </c:txPr>
        <c:crossAx val="-2003954336"/>
        <c:crosses val="autoZero"/>
        <c:auto val="1"/>
        <c:lblAlgn val="ctr"/>
        <c:lblOffset val="100"/>
        <c:noMultiLvlLbl val="0"/>
      </c:catAx>
      <c:valAx>
        <c:axId val="-2003954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7.4853613589382695E-2"/>
              <c:y val="4.5598942182322098E-2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-2003959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7739800088777999E-2"/>
          <c:y val="0.63847693449313603"/>
          <c:w val="0.119072110997459"/>
          <c:h val="0.1675965700622500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68" dropStyle="combo" dx="16" fmlaLink="Depreciation!$S$9" fmlaRange="Depreciation!$R$5:$R$6" sel="1" val="0"/>
</file>

<file path=xl/ctrlProps/ctrlProp2.xml><?xml version="1.0" encoding="utf-8"?>
<formControlPr xmlns="http://schemas.microsoft.com/office/spreadsheetml/2009/9/main" objectType="Drop" dropLines="85" dropStyle="combo" dx="16" fmlaLink="$H$35" fmlaRange="'Warning Criteria'!$B$22:$B$24" sel="2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41</xdr:row>
          <xdr:rowOff>12700</xdr:rowOff>
        </xdr:from>
        <xdr:to>
          <xdr:col>4</xdr:col>
          <xdr:colOff>0</xdr:colOff>
          <xdr:row>42</xdr:row>
          <xdr:rowOff>63500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431800</xdr:colOff>
          <xdr:row>34</xdr:row>
          <xdr:rowOff>63500</xdr:rowOff>
        </xdr:from>
        <xdr:to>
          <xdr:col>10</xdr:col>
          <xdr:colOff>0</xdr:colOff>
          <xdr:row>35</xdr:row>
          <xdr:rowOff>114300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833120</xdr:colOff>
      <xdr:row>26</xdr:row>
      <xdr:rowOff>10160</xdr:rowOff>
    </xdr:from>
    <xdr:to>
      <xdr:col>4</xdr:col>
      <xdr:colOff>812800</xdr:colOff>
      <xdr:row>42</xdr:row>
      <xdr:rowOff>142240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48260</xdr:colOff>
      <xdr:row>89</xdr:row>
      <xdr:rowOff>5080</xdr:rowOff>
    </xdr:from>
    <xdr:to>
      <xdr:col>4</xdr:col>
      <xdr:colOff>731520</xdr:colOff>
      <xdr:row>103</xdr:row>
      <xdr:rowOff>132080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105</xdr:row>
      <xdr:rowOff>30480</xdr:rowOff>
    </xdr:from>
    <xdr:to>
      <xdr:col>4</xdr:col>
      <xdr:colOff>711200</xdr:colOff>
      <xdr:row>121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108</xdr:row>
      <xdr:rowOff>215900</xdr:rowOff>
    </xdr:from>
    <xdr:to>
      <xdr:col>13</xdr:col>
      <xdr:colOff>889000</xdr:colOff>
      <xdr:row>133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139</xdr:row>
      <xdr:rowOff>12700</xdr:rowOff>
    </xdr:from>
    <xdr:to>
      <xdr:col>13</xdr:col>
      <xdr:colOff>965200</xdr:colOff>
      <xdr:row>167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169</xdr:row>
      <xdr:rowOff>0</xdr:rowOff>
    </xdr:from>
    <xdr:to>
      <xdr:col>14</xdr:col>
      <xdr:colOff>0</xdr:colOff>
      <xdr:row>196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787400</xdr:colOff>
      <xdr:row>199</xdr:row>
      <xdr:rowOff>25400</xdr:rowOff>
    </xdr:from>
    <xdr:to>
      <xdr:col>13</xdr:col>
      <xdr:colOff>927100</xdr:colOff>
      <xdr:row>223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79</xdr:row>
      <xdr:rowOff>0</xdr:rowOff>
    </xdr:from>
    <xdr:to>
      <xdr:col>14</xdr:col>
      <xdr:colOff>25400</xdr:colOff>
      <xdr:row>103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49</xdr:row>
      <xdr:rowOff>25400</xdr:rowOff>
    </xdr:from>
    <xdr:to>
      <xdr:col>13</xdr:col>
      <xdr:colOff>965200</xdr:colOff>
      <xdr:row>74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161923</xdr:colOff>
      <xdr:row>10</xdr:row>
      <xdr:rowOff>101600</xdr:rowOff>
    </xdr:from>
    <xdr:to>
      <xdr:col>11</xdr:col>
      <xdr:colOff>609600</xdr:colOff>
      <xdr:row>36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86591</xdr:colOff>
      <xdr:row>2</xdr:row>
      <xdr:rowOff>112568</xdr:rowOff>
    </xdr:from>
    <xdr:to>
      <xdr:col>3</xdr:col>
      <xdr:colOff>355023</xdr:colOff>
      <xdr:row>5</xdr:row>
      <xdr:rowOff>82090</xdr:rowOff>
    </xdr:to>
    <xdr:pic>
      <xdr:nvPicPr>
        <xdr:cNvPr id="5" name="Picture 4" descr="vertMixedDtoD.gif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91" y="442768"/>
          <a:ext cx="1881332" cy="5410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609600</xdr:colOff>
      <xdr:row>28</xdr:row>
      <xdr:rowOff>12700</xdr:rowOff>
    </xdr:from>
    <xdr:to>
      <xdr:col>8</xdr:col>
      <xdr:colOff>127000</xdr:colOff>
      <xdr:row>32</xdr:row>
      <xdr:rowOff>30897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609600" y="6553200"/>
          <a:ext cx="7620000" cy="8309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 i="1"/>
            <a:t>This material is based upon work supported by USDA-NIFA under Award Number 2015-49200-24226.</a:t>
          </a:r>
        </a:p>
      </xdr:txBody>
    </xdr:sp>
    <xdr:clientData/>
  </xdr:twoCellAnchor>
  <xdr:twoCellAnchor editAs="oneCell">
    <xdr:from>
      <xdr:col>2</xdr:col>
      <xdr:colOff>482600</xdr:colOff>
      <xdr:row>32</xdr:row>
      <xdr:rowOff>127000</xdr:rowOff>
    </xdr:from>
    <xdr:to>
      <xdr:col>7</xdr:col>
      <xdr:colOff>177800</xdr:colOff>
      <xdr:row>39</xdr:row>
      <xdr:rowOff>40619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7480300"/>
          <a:ext cx="4267200" cy="13360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112726</xdr:rowOff>
    </xdr:from>
    <xdr:to>
      <xdr:col>7</xdr:col>
      <xdr:colOff>1340542</xdr:colOff>
      <xdr:row>46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9091626"/>
          <a:ext cx="6738042" cy="128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tension.umn.edu/agriculture/dairy/" TargetMode="External"/><Relationship Id="rId1" Type="http://schemas.openxmlformats.org/officeDocument/2006/relationships/hyperlink" Target="https://z.umn.edu/RobotParlo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kota@umn.edu" TargetMode="External"/><Relationship Id="rId3" Type="http://schemas.openxmlformats.org/officeDocument/2006/relationships/hyperlink" Target="mailto:bberning@umn.edu" TargetMode="External"/><Relationship Id="rId7" Type="http://schemas.openxmlformats.org/officeDocument/2006/relationships/hyperlink" Target="http://wlazarus.cfans.umn.edu/william-lazarus-spreadsheet-decision-tools/" TargetMode="External"/><Relationship Id="rId2" Type="http://schemas.openxmlformats.org/officeDocument/2006/relationships/hyperlink" Target="mailto:salfe001@umn.edu" TargetMode="External"/><Relationship Id="rId1" Type="http://schemas.openxmlformats.org/officeDocument/2006/relationships/hyperlink" Target="../../../Downloads/wlazarus@umn.edu" TargetMode="External"/><Relationship Id="rId6" Type="http://schemas.openxmlformats.org/officeDocument/2006/relationships/hyperlink" Target="http://www.extension.iastate.edu/dairyteam/milking-systems" TargetMode="External"/><Relationship Id="rId5" Type="http://schemas.openxmlformats.org/officeDocument/2006/relationships/hyperlink" Target="mailto:miendres@umn.edu" TargetMode="External"/><Relationship Id="rId4" Type="http://schemas.openxmlformats.org/officeDocument/2006/relationships/hyperlink" Target="mailto:kota@umn.edu" TargetMode="External"/><Relationship Id="rId9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6:H30"/>
  <sheetViews>
    <sheetView showGridLines="0" tabSelected="1" workbookViewId="0"/>
  </sheetViews>
  <sheetFormatPr baseColWidth="10" defaultColWidth="10.83203125" defaultRowHeight="16" x14ac:dyDescent="0.2"/>
  <cols>
    <col min="1" max="1" width="10.83203125" style="55"/>
    <col min="2" max="2" width="10.83203125" style="55" customWidth="1"/>
    <col min="3" max="3" width="5.1640625" style="55" customWidth="1"/>
    <col min="4" max="4" width="67.33203125" style="55" customWidth="1"/>
    <col min="5" max="16384" width="10.83203125" style="55"/>
  </cols>
  <sheetData>
    <row r="6" spans="3:8" ht="33" x14ac:dyDescent="0.35">
      <c r="C6" s="42" t="s">
        <v>177</v>
      </c>
    </row>
    <row r="7" spans="3:8" ht="21" x14ac:dyDescent="0.25">
      <c r="D7" s="101" t="s">
        <v>193</v>
      </c>
      <c r="E7" s="101"/>
      <c r="F7" s="101"/>
      <c r="G7" s="101"/>
      <c r="H7" s="101"/>
    </row>
    <row r="8" spans="3:8" ht="21" x14ac:dyDescent="0.25">
      <c r="C8" s="87"/>
      <c r="D8" s="87"/>
      <c r="E8" s="87"/>
      <c r="F8" s="87"/>
      <c r="G8" s="87"/>
      <c r="H8" s="87"/>
    </row>
    <row r="10" spans="3:8" ht="21" x14ac:dyDescent="0.25">
      <c r="C10" s="74" t="s">
        <v>139</v>
      </c>
      <c r="D10" s="74"/>
      <c r="E10" s="102"/>
      <c r="F10" s="102"/>
      <c r="G10" s="102"/>
      <c r="H10" s="102"/>
    </row>
    <row r="11" spans="3:8" ht="21" x14ac:dyDescent="0.25">
      <c r="C11" s="72" t="s">
        <v>141</v>
      </c>
      <c r="D11" s="72"/>
    </row>
    <row r="12" spans="3:8" ht="21" x14ac:dyDescent="0.25">
      <c r="C12" s="72"/>
      <c r="D12" s="73" t="s">
        <v>153</v>
      </c>
    </row>
    <row r="13" spans="3:8" ht="21" x14ac:dyDescent="0.25">
      <c r="C13" s="72" t="s">
        <v>140</v>
      </c>
      <c r="D13" s="72"/>
    </row>
    <row r="14" spans="3:8" ht="21" x14ac:dyDescent="0.25">
      <c r="C14" s="72"/>
      <c r="D14" s="73" t="s">
        <v>154</v>
      </c>
    </row>
    <row r="15" spans="3:8" ht="21" x14ac:dyDescent="0.25">
      <c r="C15" s="72"/>
      <c r="D15" s="73" t="s">
        <v>155</v>
      </c>
    </row>
    <row r="16" spans="3:8" ht="21" x14ac:dyDescent="0.25">
      <c r="C16" s="72" t="s">
        <v>142</v>
      </c>
      <c r="D16" s="72"/>
    </row>
    <row r="17" spans="3:4" ht="21" x14ac:dyDescent="0.25">
      <c r="C17" s="72"/>
      <c r="D17" s="73" t="s">
        <v>148</v>
      </c>
    </row>
    <row r="18" spans="3:4" ht="21" x14ac:dyDescent="0.25">
      <c r="C18" s="72"/>
      <c r="D18" s="73" t="s">
        <v>149</v>
      </c>
    </row>
    <row r="19" spans="3:4" ht="21" x14ac:dyDescent="0.25">
      <c r="C19" s="72"/>
      <c r="D19" s="73" t="s">
        <v>150</v>
      </c>
    </row>
    <row r="20" spans="3:4" ht="21" x14ac:dyDescent="0.25">
      <c r="C20" s="72"/>
      <c r="D20" s="73" t="s">
        <v>151</v>
      </c>
    </row>
    <row r="21" spans="3:4" ht="21" x14ac:dyDescent="0.25">
      <c r="C21" s="72"/>
      <c r="D21" s="73" t="s">
        <v>152</v>
      </c>
    </row>
    <row r="22" spans="3:4" ht="21" x14ac:dyDescent="0.25">
      <c r="C22" s="72" t="s">
        <v>179</v>
      </c>
      <c r="D22" s="72"/>
    </row>
    <row r="23" spans="3:4" ht="21" x14ac:dyDescent="0.25">
      <c r="C23" s="72"/>
      <c r="D23" s="73" t="s">
        <v>180</v>
      </c>
    </row>
    <row r="25" spans="3:4" ht="21" x14ac:dyDescent="0.25">
      <c r="C25" s="72" t="s">
        <v>288</v>
      </c>
      <c r="D25" s="72"/>
    </row>
    <row r="26" spans="3:4" ht="21" x14ac:dyDescent="0.25">
      <c r="C26" s="72"/>
      <c r="D26" s="73" t="s">
        <v>289</v>
      </c>
    </row>
    <row r="30" spans="3:4" ht="21" x14ac:dyDescent="0.25">
      <c r="C30" s="72" t="s">
        <v>290</v>
      </c>
    </row>
  </sheetData>
  <hyperlinks>
    <hyperlink ref="D12" location="Data!A1" display="1a. Data" xr:uid="{00000000-0004-0000-0000-000000000000}"/>
    <hyperlink ref="D14" location="Results!A1" display="2a. Results" xr:uid="{00000000-0004-0000-0000-000001000000}"/>
    <hyperlink ref="D15" location="Sensitivity!A1" display="2b. Sensitivity" xr:uid="{00000000-0004-0000-0000-000002000000}"/>
    <hyperlink ref="D17" location="Cashflow!A1" display="3a. Changes in Cash Flows (Summary including 3b, 3c, and 3d)" xr:uid="{00000000-0004-0000-0000-000003000000}"/>
    <hyperlink ref="D18" location="'Revenue Cost'!A1" display="3b. Changes in Revenues and Costs" xr:uid="{00000000-0004-0000-0000-000004000000}"/>
    <hyperlink ref="D19" location="Debt!A1" display="3c. Changes in Debt Finance" xr:uid="{00000000-0004-0000-0000-000005000000}"/>
    <hyperlink ref="D20" location="Depreciation!A1" display="3d. Changes in Depreciation" xr:uid="{00000000-0004-0000-0000-000006000000}"/>
    <hyperlink ref="D21" location="'Warning Criteria'!A1" display="3e. Warning Notification Criteria" xr:uid="{00000000-0004-0000-0000-000007000000}"/>
    <hyperlink ref="D26" r:id="rId1" xr:uid="{00000000-0004-0000-0000-000008000000}"/>
    <hyperlink ref="D23" location="About!A1" display="4a. About " xr:uid="{00000000-0004-0000-0000-000009000000}"/>
    <hyperlink ref="D7" r:id="rId2" display="   By University of Minnesota Dairy Extention" xr:uid="{00000000-0004-0000-0000-00000A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J51"/>
  <sheetViews>
    <sheetView showGridLines="0" topLeftCell="A16" workbookViewId="0">
      <selection activeCell="I25" sqref="I25"/>
    </sheetView>
  </sheetViews>
  <sheetFormatPr baseColWidth="10" defaultColWidth="11" defaultRowHeight="16" x14ac:dyDescent="0.2"/>
  <cols>
    <col min="3" max="3" width="41.1640625" bestFit="1" customWidth="1"/>
    <col min="7" max="7" width="37" bestFit="1" customWidth="1"/>
  </cols>
  <sheetData>
    <row r="2" spans="2:10" ht="26" x14ac:dyDescent="0.3">
      <c r="B2" s="160" t="s">
        <v>143</v>
      </c>
      <c r="C2" s="160"/>
    </row>
    <row r="4" spans="2:10" ht="21" x14ac:dyDescent="0.2">
      <c r="B4" s="157" t="s">
        <v>56</v>
      </c>
      <c r="C4" s="158"/>
      <c r="D4" s="158"/>
      <c r="E4" s="158"/>
      <c r="F4" s="158"/>
      <c r="G4" s="158"/>
      <c r="H4" s="158"/>
      <c r="I4" s="158"/>
      <c r="J4" s="158"/>
    </row>
    <row r="5" spans="2:10" x14ac:dyDescent="0.2">
      <c r="B5" s="159" t="s">
        <v>55</v>
      </c>
      <c r="C5" s="159"/>
      <c r="D5" s="159"/>
      <c r="E5" s="159"/>
      <c r="F5" s="159"/>
      <c r="G5" s="159"/>
      <c r="H5" s="159"/>
      <c r="I5" s="159"/>
      <c r="J5" s="159"/>
    </row>
    <row r="6" spans="2:10" x14ac:dyDescent="0.2">
      <c r="B6" s="159" t="s">
        <v>253</v>
      </c>
      <c r="C6" s="159"/>
      <c r="D6" s="159"/>
      <c r="E6" s="159"/>
      <c r="F6" s="159"/>
      <c r="G6" s="159"/>
      <c r="H6" s="159"/>
      <c r="I6" s="159"/>
      <c r="J6" s="159"/>
    </row>
    <row r="8" spans="2:10" x14ac:dyDescent="0.2">
      <c r="B8" s="40"/>
      <c r="C8" s="40" t="s">
        <v>109</v>
      </c>
      <c r="D8" s="41" t="s">
        <v>23</v>
      </c>
      <c r="F8" s="41"/>
      <c r="G8" s="41" t="s">
        <v>109</v>
      </c>
      <c r="H8" s="41" t="s">
        <v>30</v>
      </c>
      <c r="I8" s="41" t="s">
        <v>31</v>
      </c>
      <c r="J8" s="41" t="s">
        <v>44</v>
      </c>
    </row>
    <row r="9" spans="2:10" x14ac:dyDescent="0.2">
      <c r="B9" s="26" t="s">
        <v>252</v>
      </c>
      <c r="C9" s="27"/>
      <c r="D9" s="27"/>
      <c r="F9" s="51" t="s">
        <v>240</v>
      </c>
      <c r="G9" s="51"/>
      <c r="H9" s="51"/>
      <c r="I9" s="51"/>
      <c r="J9" s="51"/>
    </row>
    <row r="10" spans="2:10" x14ac:dyDescent="0.2">
      <c r="B10" s="28"/>
      <c r="C10" s="28" t="s">
        <v>275</v>
      </c>
      <c r="D10" s="31">
        <v>180</v>
      </c>
      <c r="F10" s="52"/>
      <c r="G10" s="52" t="s">
        <v>239</v>
      </c>
      <c r="H10" s="35">
        <v>540000</v>
      </c>
      <c r="I10" s="35">
        <v>540000</v>
      </c>
      <c r="J10" s="53">
        <f>Sensitivity!$E$141-I10</f>
        <v>0</v>
      </c>
    </row>
    <row r="11" spans="2:10" x14ac:dyDescent="0.2">
      <c r="B11" s="29"/>
      <c r="C11" s="29" t="s">
        <v>276</v>
      </c>
      <c r="D11" s="32">
        <v>0</v>
      </c>
      <c r="F11" s="52"/>
      <c r="G11" s="52" t="s">
        <v>238</v>
      </c>
      <c r="H11" s="35">
        <v>1260000</v>
      </c>
      <c r="I11" s="35">
        <v>540000</v>
      </c>
      <c r="J11" s="53">
        <f>Sensitivity!$E$171-I11</f>
        <v>720000</v>
      </c>
    </row>
    <row r="12" spans="2:10" x14ac:dyDescent="0.2">
      <c r="B12" s="29"/>
      <c r="C12" s="29" t="s">
        <v>237</v>
      </c>
      <c r="D12" s="32">
        <v>75</v>
      </c>
      <c r="F12" s="52"/>
      <c r="G12" s="52" t="s">
        <v>18</v>
      </c>
      <c r="H12" s="36">
        <v>15</v>
      </c>
      <c r="I12" s="36">
        <v>30</v>
      </c>
      <c r="J12" s="53">
        <f>Sensitivity!$E$111-I12</f>
        <v>-15</v>
      </c>
    </row>
    <row r="13" spans="2:10" x14ac:dyDescent="0.2">
      <c r="B13" s="29"/>
      <c r="C13" s="29" t="s">
        <v>244</v>
      </c>
      <c r="D13" s="129">
        <v>3.65</v>
      </c>
      <c r="F13" s="52"/>
      <c r="G13" s="52" t="s">
        <v>293</v>
      </c>
      <c r="H13" s="35">
        <v>15000</v>
      </c>
      <c r="I13" s="35">
        <v>10000</v>
      </c>
      <c r="J13" s="53">
        <f t="shared" ref="J13:J14" si="0">H13-I13</f>
        <v>5000</v>
      </c>
    </row>
    <row r="14" spans="2:10" x14ac:dyDescent="0.2">
      <c r="B14" s="29"/>
      <c r="C14" s="29" t="s">
        <v>9</v>
      </c>
      <c r="D14" s="32">
        <v>13.5</v>
      </c>
      <c r="F14" s="52"/>
      <c r="G14" s="52" t="s">
        <v>294</v>
      </c>
      <c r="H14" s="35">
        <v>3000</v>
      </c>
      <c r="I14" s="35">
        <v>2000</v>
      </c>
      <c r="J14" s="53">
        <f t="shared" si="0"/>
        <v>1000</v>
      </c>
    </row>
    <row r="15" spans="2:10" x14ac:dyDescent="0.2">
      <c r="B15" s="29"/>
      <c r="C15" s="29" t="s">
        <v>291</v>
      </c>
      <c r="D15" s="32">
        <v>280</v>
      </c>
      <c r="F15" s="52"/>
      <c r="G15" s="52" t="s">
        <v>295</v>
      </c>
      <c r="H15" s="150">
        <f>H11*0.01</f>
        <v>12600</v>
      </c>
      <c r="I15" s="150">
        <f>I11*0.01</f>
        <v>5400</v>
      </c>
      <c r="J15" s="53">
        <f>H15-I15</f>
        <v>7200</v>
      </c>
    </row>
    <row r="16" spans="2:10" x14ac:dyDescent="0.2">
      <c r="B16" s="29"/>
      <c r="C16" s="154" t="s">
        <v>297</v>
      </c>
      <c r="D16" s="155">
        <v>20000</v>
      </c>
      <c r="F16" s="52"/>
      <c r="G16" s="52" t="s">
        <v>242</v>
      </c>
      <c r="H16" s="130">
        <v>2.25</v>
      </c>
      <c r="I16" s="131">
        <f>12+12*(D11/D10)</f>
        <v>12</v>
      </c>
      <c r="J16" s="53">
        <f>Sensitivity!$E$81-I16</f>
        <v>-9.75</v>
      </c>
    </row>
    <row r="17" spans="2:10" x14ac:dyDescent="0.2">
      <c r="B17" s="29"/>
      <c r="C17" s="154" t="s">
        <v>296</v>
      </c>
      <c r="D17" s="155">
        <v>2000</v>
      </c>
      <c r="F17" s="52"/>
      <c r="G17" s="52" t="s">
        <v>243</v>
      </c>
      <c r="H17" s="35">
        <v>83</v>
      </c>
      <c r="I17" s="36">
        <v>81</v>
      </c>
      <c r="J17" s="53">
        <f>Sensitivity!E51-I17</f>
        <v>2</v>
      </c>
    </row>
    <row r="18" spans="2:10" x14ac:dyDescent="0.2">
      <c r="F18" s="52"/>
      <c r="G18" s="52" t="s">
        <v>260</v>
      </c>
      <c r="H18" s="139">
        <v>20</v>
      </c>
      <c r="I18" s="139">
        <v>20</v>
      </c>
      <c r="J18" s="52">
        <f t="shared" ref="J18:J23" si="1">H18-I18</f>
        <v>0</v>
      </c>
    </row>
    <row r="19" spans="2:10" x14ac:dyDescent="0.2">
      <c r="F19" s="52"/>
      <c r="G19" s="52" t="s">
        <v>246</v>
      </c>
      <c r="H19" s="140">
        <v>10</v>
      </c>
      <c r="I19" s="140">
        <v>0</v>
      </c>
      <c r="J19" s="52">
        <f t="shared" si="1"/>
        <v>10</v>
      </c>
    </row>
    <row r="20" spans="2:10" x14ac:dyDescent="0.2">
      <c r="F20" s="52"/>
      <c r="G20" s="52" t="s">
        <v>255</v>
      </c>
      <c r="H20" s="140">
        <v>240</v>
      </c>
      <c r="I20" s="140">
        <v>240</v>
      </c>
      <c r="J20" s="137">
        <f t="shared" si="1"/>
        <v>0</v>
      </c>
    </row>
    <row r="21" spans="2:10" x14ac:dyDescent="0.2">
      <c r="B21" s="30" t="s">
        <v>58</v>
      </c>
      <c r="C21" s="30"/>
      <c r="D21" s="30"/>
      <c r="F21" s="52"/>
      <c r="G21" s="52" t="s">
        <v>48</v>
      </c>
      <c r="H21" s="141">
        <f>IF(H12&gt;25,1,2)</f>
        <v>2</v>
      </c>
      <c r="I21" s="141">
        <f>IF(I12&gt;25,1,2)</f>
        <v>1</v>
      </c>
      <c r="J21" s="52">
        <f t="shared" si="1"/>
        <v>1</v>
      </c>
    </row>
    <row r="22" spans="2:10" x14ac:dyDescent="0.2">
      <c r="B22" s="29"/>
      <c r="C22" s="29" t="s">
        <v>10</v>
      </c>
      <c r="D22" s="32">
        <v>17</v>
      </c>
      <c r="F22" s="52"/>
      <c r="G22" s="52" t="s">
        <v>45</v>
      </c>
      <c r="H22" s="142">
        <f>MIN($D$32,Sensitivity!E111*H21)</f>
        <v>30</v>
      </c>
      <c r="I22" s="142">
        <f>MIN($D$32,I12*I21)</f>
        <v>30</v>
      </c>
      <c r="J22" s="52">
        <f t="shared" si="1"/>
        <v>0</v>
      </c>
    </row>
    <row r="23" spans="2:10" x14ac:dyDescent="0.2">
      <c r="B23" s="29"/>
      <c r="C23" s="29" t="s">
        <v>11</v>
      </c>
      <c r="D23" s="32">
        <v>16</v>
      </c>
      <c r="F23" s="52"/>
      <c r="G23" s="52" t="s">
        <v>43</v>
      </c>
      <c r="H23" s="143">
        <f>($D$27*(Sensitivity!$E$141+Sensitivity!$E$171)*$D$26+($D$24*Sensitivity!$E$141+$D$25*Sensitivity!$E$171)*(1-$D$26)*(1-$D$28))/(Sensitivity!$E$141+Sensitivity!$E$171)</f>
        <v>3.3149999999999999E-2</v>
      </c>
      <c r="I23" s="143">
        <f>($D$27*(I10+I11)*$D$26+($D$24*I10+$D$25*I11)*(1-$D$26)*(1-$D$28))/(I10+I11)</f>
        <v>3.3149999999999999E-2</v>
      </c>
      <c r="J23" s="138">
        <f t="shared" si="1"/>
        <v>0</v>
      </c>
    </row>
    <row r="24" spans="2:10" x14ac:dyDescent="0.2">
      <c r="B24" s="29"/>
      <c r="C24" s="29" t="s">
        <v>195</v>
      </c>
      <c r="D24" s="33">
        <v>0.05</v>
      </c>
    </row>
    <row r="25" spans="2:10" x14ac:dyDescent="0.2">
      <c r="B25" s="29"/>
      <c r="C25" s="29" t="s">
        <v>196</v>
      </c>
      <c r="D25" s="33">
        <v>0.05</v>
      </c>
      <c r="F25" s="17"/>
      <c r="J25" s="84" t="s">
        <v>181</v>
      </c>
    </row>
    <row r="26" spans="2:10" x14ac:dyDescent="0.2">
      <c r="B26" s="29"/>
      <c r="C26" s="29" t="s">
        <v>12</v>
      </c>
      <c r="D26" s="34">
        <v>0.1</v>
      </c>
      <c r="F26" s="17"/>
    </row>
    <row r="27" spans="2:10" x14ac:dyDescent="0.2">
      <c r="B27" s="29"/>
      <c r="C27" s="29" t="s">
        <v>13</v>
      </c>
      <c r="D27" s="33">
        <v>0.03</v>
      </c>
    </row>
    <row r="28" spans="2:10" x14ac:dyDescent="0.2">
      <c r="B28" s="29"/>
      <c r="C28" s="29" t="s">
        <v>192</v>
      </c>
      <c r="D28" s="34">
        <v>0.33</v>
      </c>
    </row>
    <row r="29" spans="2:10" x14ac:dyDescent="0.2">
      <c r="B29" s="52"/>
      <c r="C29" s="52" t="s">
        <v>7</v>
      </c>
      <c r="D29" s="136">
        <v>10</v>
      </c>
    </row>
    <row r="30" spans="2:10" x14ac:dyDescent="0.2">
      <c r="B30" s="52"/>
      <c r="C30" s="52" t="s">
        <v>8</v>
      </c>
      <c r="D30" s="136">
        <v>20</v>
      </c>
    </row>
    <row r="31" spans="2:10" x14ac:dyDescent="0.2">
      <c r="B31" s="52"/>
      <c r="C31" s="52" t="s">
        <v>33</v>
      </c>
      <c r="D31" s="136">
        <v>0.11</v>
      </c>
    </row>
    <row r="32" spans="2:10" x14ac:dyDescent="0.2">
      <c r="B32" s="52"/>
      <c r="C32" s="52" t="s">
        <v>241</v>
      </c>
      <c r="D32" s="136">
        <v>30</v>
      </c>
    </row>
    <row r="34" spans="2:10" x14ac:dyDescent="0.2">
      <c r="B34" s="12" t="s">
        <v>16</v>
      </c>
      <c r="C34" s="12"/>
      <c r="D34" s="12" t="s">
        <v>23</v>
      </c>
      <c r="G34" s="125" t="s">
        <v>224</v>
      </c>
      <c r="H34" s="126"/>
      <c r="I34" s="126"/>
      <c r="J34" s="127"/>
    </row>
    <row r="35" spans="2:10" x14ac:dyDescent="0.2">
      <c r="C35" t="s">
        <v>247</v>
      </c>
      <c r="D35" s="2">
        <v>0</v>
      </c>
      <c r="G35" s="123"/>
      <c r="H35" s="124">
        <v>2</v>
      </c>
      <c r="I35" s="123"/>
    </row>
    <row r="36" spans="2:10" x14ac:dyDescent="0.2">
      <c r="C36" t="s">
        <v>15</v>
      </c>
      <c r="D36" s="2">
        <v>2.8000000000000001E-2</v>
      </c>
      <c r="G36" s="118" t="s">
        <v>223</v>
      </c>
      <c r="H36" s="118"/>
      <c r="I36" s="118"/>
      <c r="J36" s="12"/>
    </row>
    <row r="37" spans="2:10" x14ac:dyDescent="0.2">
      <c r="C37" t="s">
        <v>14</v>
      </c>
      <c r="D37" s="2">
        <v>1.4999999999999999E-2</v>
      </c>
      <c r="G37" s="57" t="s">
        <v>109</v>
      </c>
      <c r="H37" s="57" t="s">
        <v>30</v>
      </c>
      <c r="I37" s="57" t="s">
        <v>31</v>
      </c>
      <c r="J37" s="67" t="s">
        <v>222</v>
      </c>
    </row>
    <row r="38" spans="2:10" x14ac:dyDescent="0.2">
      <c r="C38" t="s">
        <v>4</v>
      </c>
      <c r="D38" s="2">
        <v>5.0000000000000001E-3</v>
      </c>
      <c r="G38" s="57" t="s">
        <v>106</v>
      </c>
      <c r="H38" s="57">
        <f>IF(Cashflow!L7&lt;J38,1,0)</f>
        <v>0</v>
      </c>
      <c r="I38" s="57">
        <f>IF(Cashflow!AC7&lt;J38,1,0)</f>
        <v>0</v>
      </c>
      <c r="J38" s="117">
        <f>INDEX('Warning Criteria'!C16:E16,Data!H35)</f>
        <v>-240000</v>
      </c>
    </row>
    <row r="39" spans="2:10" x14ac:dyDescent="0.2">
      <c r="C39" t="s">
        <v>6</v>
      </c>
      <c r="D39" s="1">
        <v>0.05</v>
      </c>
      <c r="G39" s="57" t="s">
        <v>108</v>
      </c>
      <c r="H39" s="57">
        <f>IF(Results!C22&lt;J39,1,0)</f>
        <v>0</v>
      </c>
      <c r="I39" s="57">
        <f>IF(Results!D22&lt;J39,1,0)</f>
        <v>0</v>
      </c>
      <c r="J39" s="117">
        <f>INDEX('Warning Criteria'!C17:E17,Data!H35)</f>
        <v>-60000</v>
      </c>
    </row>
    <row r="40" spans="2:10" x14ac:dyDescent="0.2">
      <c r="C40" t="s">
        <v>245</v>
      </c>
      <c r="D40" s="2">
        <v>5.0000000000000001E-3</v>
      </c>
      <c r="G40" s="57" t="s">
        <v>107</v>
      </c>
      <c r="H40" s="57">
        <f>IF(Results!C24&lt;J40,1,0)</f>
        <v>0</v>
      </c>
      <c r="I40" s="57">
        <f>IF(Results!D24&lt;J40,1,0)</f>
        <v>0</v>
      </c>
      <c r="J40" s="117">
        <f>INDEX('Warning Criteria'!C18:E18,Data!H35)</f>
        <v>-120000</v>
      </c>
    </row>
    <row r="41" spans="2:10" x14ac:dyDescent="0.2">
      <c r="C41" t="s">
        <v>110</v>
      </c>
      <c r="G41" s="57" t="s">
        <v>225</v>
      </c>
      <c r="H41" s="57">
        <f>IF(H38+H39+H40&gt;0,1,0)</f>
        <v>0</v>
      </c>
      <c r="I41" s="57">
        <f>IF(I38+I39+I40&gt;0,1,0)</f>
        <v>0</v>
      </c>
      <c r="J41" s="57"/>
    </row>
    <row r="44" spans="2:10" x14ac:dyDescent="0.2">
      <c r="C44" t="s">
        <v>277</v>
      </c>
    </row>
    <row r="45" spans="2:10" x14ac:dyDescent="0.2">
      <c r="C45" t="s">
        <v>280</v>
      </c>
      <c r="D45" s="151">
        <v>700</v>
      </c>
    </row>
    <row r="46" spans="2:10" x14ac:dyDescent="0.2">
      <c r="C46" t="s">
        <v>279</v>
      </c>
      <c r="D46" s="1">
        <v>0.3</v>
      </c>
    </row>
    <row r="47" spans="2:10" x14ac:dyDescent="0.2">
      <c r="C47" t="s">
        <v>278</v>
      </c>
      <c r="D47" s="2">
        <v>6.5000000000000002E-2</v>
      </c>
    </row>
    <row r="48" spans="2:10" x14ac:dyDescent="0.2">
      <c r="C48" t="s">
        <v>281</v>
      </c>
      <c r="D48">
        <v>1600</v>
      </c>
    </row>
    <row r="49" spans="3:4" x14ac:dyDescent="0.2">
      <c r="C49" t="s">
        <v>282</v>
      </c>
      <c r="D49">
        <v>750</v>
      </c>
    </row>
    <row r="50" spans="3:4" x14ac:dyDescent="0.2">
      <c r="C50" t="s">
        <v>292</v>
      </c>
      <c r="D50" s="1">
        <v>0.05</v>
      </c>
    </row>
    <row r="51" spans="3:4" x14ac:dyDescent="0.2">
      <c r="C51" t="s">
        <v>284</v>
      </c>
      <c r="D51">
        <v>10</v>
      </c>
    </row>
  </sheetData>
  <mergeCells count="4">
    <mergeCell ref="B4:J4"/>
    <mergeCell ref="B5:J5"/>
    <mergeCell ref="B6:J6"/>
    <mergeCell ref="B2:C2"/>
  </mergeCells>
  <conditionalFormatting sqref="H38:I41">
    <cfRule type="cellIs" dxfId="3" priority="1" operator="greaterThan">
      <formula>0</formula>
    </cfRule>
  </conditionalFormatting>
  <dataValidations xWindow="877" yWindow="486" count="31">
    <dataValidation type="whole" operator="greaterThan" allowBlank="1" showInputMessage="1" showErrorMessage="1" error="Should be greater than 30" prompt="The number of current milkinkg cows" sqref="D10" xr:uid="{00000000-0002-0000-0100-000000000000}">
      <formula1>50</formula1>
    </dataValidation>
    <dataValidation type="decimal" allowBlank="1" showInputMessage="1" showErrorMessage="1" error="This should be in the range of 50 - 150." prompt="Typical range of 50 - 105 lb." sqref="D12" xr:uid="{00000000-0002-0000-0100-000001000000}">
      <formula1>50</formula1>
      <formula2>150</formula2>
    </dataValidation>
    <dataValidation type="decimal" operator="greaterThan" allowBlank="1" showInputMessage="1" showErrorMessage="1" error="This should be greater than 10." prompt="Typical range $13 - $20/cwt" sqref="D22" xr:uid="{00000000-0002-0000-0100-000003000000}">
      <formula1>10</formula1>
    </dataValidation>
    <dataValidation type="decimal" operator="greaterThan" allowBlank="1" showInputMessage="1" showErrorMessage="1" error="This should be positive." prompt="Typical range $10 - $18." sqref="D23" xr:uid="{00000000-0002-0000-0100-000004000000}">
      <formula1>0</formula1>
    </dataValidation>
    <dataValidation type="decimal" operator="greaterThan" allowBlank="1" showInputMessage="1" showErrorMessage="1" error="This should be positive." prompt="Interest rate of loans for the milking system" sqref="D24" xr:uid="{00000000-0002-0000-0100-000005000000}">
      <formula1>0</formula1>
    </dataValidation>
    <dataValidation type="decimal" allowBlank="1" showInputMessage="1" showErrorMessage="1" error="The number should be between 0 and 100." prompt="Down payment as a percentage of the investment amount." sqref="D26" xr:uid="{00000000-0002-0000-0100-000006000000}">
      <formula1>0</formula1>
      <formula2>100</formula2>
    </dataValidation>
    <dataValidation type="decimal" operator="greaterThan" allowBlank="1" showInputMessage="1" showErrorMessage="1" error="The number should be positive." prompt="The opportunity cost of the money you put down as down payment. The rate of return you could earn investing elsewhere. " sqref="D27" xr:uid="{00000000-0002-0000-0100-000007000000}">
      <formula1>0</formula1>
    </dataValidation>
    <dataValidation type="decimal" allowBlank="1" showInputMessage="1" showErrorMessage="1" error="This should be between 0 and 100." prompt="Marginal income tax rate on your farm's profit, including federal and state taxes. " sqref="D28" xr:uid="{00000000-0002-0000-0100-000008000000}">
      <formula1>0</formula1>
      <formula2>100</formula2>
    </dataValidation>
    <dataValidation type="decimal" allowBlank="1" showInputMessage="1" showErrorMessage="1" error="Enter a number between 0 and 100." sqref="D35:D40" xr:uid="{00000000-0002-0000-0100-000009000000}">
      <formula1>0</formula1>
      <formula2>100</formula2>
    </dataValidation>
    <dataValidation type="whole" allowBlank="1" showInputMessage="1" showErrorMessage="1" error="The number should be between 1 and 30." sqref="D29:D30" xr:uid="{00000000-0002-0000-0100-00000A000000}">
      <formula1>1</formula1>
      <formula2>30</formula2>
    </dataValidation>
    <dataValidation type="decimal" operator="greaterThan" allowBlank="1" showInputMessage="1" showErrorMessage="1" error="The number should be positive." prompt="Typical range of $0.8 - $0.15 per lb of DM." sqref="D31" xr:uid="{00000000-0002-0000-0100-00000B000000}">
      <formula1>0</formula1>
    </dataValidation>
    <dataValidation type="whole" allowBlank="1" showInputMessage="1" showErrorMessage="1" error="The number should be between 1 and 30." prompt="Time horizon will be the smaller of this number and the duration of the milking system (lifespan times cycles)." sqref="D32 H22:I22" xr:uid="{00000000-0002-0000-0100-00000C000000}">
      <formula1>1</formula1>
      <formula2>30</formula2>
    </dataValidation>
    <dataValidation type="decimal" operator="greaterThan" allowBlank="1" showInputMessage="1" showErrorMessage="1" error="The number should be positive." prompt="The total cost of the new barn or barn renovation." sqref="H11:I11" xr:uid="{00000000-0002-0000-0100-00000D000000}">
      <formula1>0</formula1>
    </dataValidation>
    <dataValidation type="decimal" operator="greaterThan" allowBlank="1" showInputMessage="1" showErrorMessage="1" error="The number should be positive." prompt="The total cost of the milking system." sqref="H10:I10" xr:uid="{00000000-0002-0000-0100-00000F000000}">
      <formula1>0</formula1>
    </dataValidation>
    <dataValidation type="decimal" operator="greaterThan" allowBlank="1" showInputMessage="1" showErrorMessage="1" error="The number should be positive." prompt="Projected total labor hours for milking and chores under the new milking system." sqref="H16:I16" xr:uid="{00000000-0002-0000-0100-000011000000}">
      <formula1>0</formula1>
    </dataValidation>
    <dataValidation type="decimal" allowBlank="1" showInputMessage="1" showErrorMessage="1" error="The number should be between 50 and 150." prompt="Projected milk yield under the new milking system. " sqref="H17:I17" xr:uid="{00000000-0002-0000-0100-000012000000}">
      <formula1>50</formula1>
      <formula2>150</formula2>
    </dataValidation>
    <dataValidation type="decimal" operator="greaterThanOrEqual" allowBlank="1" showInputMessage="1" showErrorMessage="1" error="The number should be positive." sqref="I19 H18:H19" xr:uid="{00000000-0002-0000-0100-000013000000}">
      <formula1>0</formula1>
    </dataValidation>
    <dataValidation type="whole" allowBlank="1" showInputMessage="1" showErrorMessage="1" error="The number should be either 1 or 2." prompt="Select either one cycle or two cycles of milking system installment over the time horizon. " sqref="H21:I21" xr:uid="{00000000-0002-0000-0100-000014000000}">
      <formula1>1</formula1>
      <formula2>2</formula2>
    </dataValidation>
    <dataValidation allowBlank="1" showInputMessage="1" showErrorMessage="1" error="Check interest rate, return on equity, and downpayment data. " prompt="Weighted average cost of capital (WACC) is calculated from the interest rate and the return on equity weighted by the porportions of loan and downpayment respectively. " sqref="I23" xr:uid="{00000000-0002-0000-0100-000015000000}"/>
    <dataValidation type="decimal" operator="greaterThan" allowBlank="1" showInputMessage="1" showErrorMessage="1" error="This should be positive." prompt="Interest rate of loans for the barn " sqref="D25" xr:uid="{00000000-0002-0000-0100-000016000000}">
      <formula1>0</formula1>
    </dataValidation>
    <dataValidation showInputMessage="1" showErrorMessage="1" error="Check interest rate, return on equity, and downpayment data. " prompt="Weighted average cost of capital (WACC) is calculated from the interest rate and the return on equity weighted by the porportions of loan and downpayment respectively. " sqref="H23" xr:uid="{00000000-0002-0000-0100-000017000000}"/>
    <dataValidation type="decimal" operator="greaterThan" allowBlank="1" showInputMessage="1" showErrorMessage="1" error="The number should be positive." sqref="I18" xr:uid="{00000000-0002-0000-0100-000018000000}">
      <formula1>0</formula1>
    </dataValidation>
    <dataValidation allowBlank="1" showInputMessage="1" showErrorMessage="1" prompt="Projected SCC under the new milking system." sqref="H20:I20" xr:uid="{00000000-0002-0000-0100-000019000000}"/>
    <dataValidation allowBlank="1" showInputMessage="1" showErrorMessage="1" prompt="The number of milking cows for a projected herd expansion." sqref="D11" xr:uid="{00000000-0002-0000-0100-00001A000000}"/>
    <dataValidation type="whole" allowBlank="1" showInputMessage="1" showErrorMessage="1" error="The number should be between 1 and 30." prompt="Economic lifespan of the milking system." sqref="H12:I12" xr:uid="{00000000-0002-0000-0100-00000E000000}">
      <formula1>1</formula1>
      <formula2>30</formula2>
    </dataValidation>
    <dataValidation type="whole" operator="greaterThanOrEqual" allowBlank="1" showInputMessage="1" showErrorMessage="1" error="The number should be between 1 and 30." prompt="Repair and maintenance cost of milking system. For robots, it starts around $5,000/robot and typically increases by about $1,000 a year. " sqref="H13" xr:uid="{61DF0041-752C-B046-8619-E27427DA0DB4}">
      <formula1>0</formula1>
    </dataValidation>
    <dataValidation operator="greaterThanOrEqual" allowBlank="1" showInputMessage="1" showErrorMessage="1" error="The number should be between 1 and 30." prompt="Repair and maintenance cost of milking system. For robots, it starts around $5,000/robot and typically increases by about $1,000 a year. " sqref="H14" xr:uid="{449504A4-D8EA-804D-9646-7A1149F01153}"/>
    <dataValidation allowBlank="1" showInputMessage="1" showErrorMessage="1" error="The number should be between 1 and 30." prompt="Repair and maintenance cost of milking system. " sqref="I13:I14" xr:uid="{111E256C-F820-3344-AECC-9029284CC65E}"/>
    <dataValidation type="decimal" operator="greaterThan" allowBlank="1" showInputMessage="1" showErrorMessage="1" error="This should be positive." prompt="Average annual repair cost of the existing milking system." sqref="D16:D17" xr:uid="{EF6CBF62-620E-BE48-8C96-737463621AD2}">
      <formula1>0</formula1>
    </dataValidation>
    <dataValidation type="decimal" operator="greaterThan" allowBlank="1" showInputMessage="1" showErrorMessage="1" error="This should be positive." prompt="Total hours of all workers sepnt on milking and chores" sqref="D14:D17" xr:uid="{00000000-0002-0000-0100-000002000000}">
      <formula1>0</formula1>
    </dataValidation>
    <dataValidation type="decimal" operator="greaterThan" allowBlank="1" showInputMessage="1" showErrorMessage="1" error="The number shoud be positive." prompt="Additional repair and maintenance costs compared to the status quo. " sqref="H15:I15" xr:uid="{00000000-0002-0000-0100-000010000000}">
      <formula1>0</formula1>
    </dataValidation>
  </dataValidations>
  <hyperlinks>
    <hyperlink ref="J25" location="Results!A1" display="Go to Results -&gt;" xr:uid="{00000000-0004-0000-0100-000000000000}"/>
    <hyperlink ref="J37" location="'Warning Criteria'!A1" display="Criteria" xr:uid="{00000000-0004-0000-0100-000001000000}"/>
  </hyperlink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2</xdr:col>
                    <xdr:colOff>381000</xdr:colOff>
                    <xdr:row>41</xdr:row>
                    <xdr:rowOff>12700</xdr:rowOff>
                  </from>
                  <to>
                    <xdr:col>4</xdr:col>
                    <xdr:colOff>0</xdr:colOff>
                    <xdr:row>42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Drop Down 3">
              <controlPr defaultSize="0" autoLine="0" autoPict="0">
                <anchor moveWithCells="1">
                  <from>
                    <xdr:col>8</xdr:col>
                    <xdr:colOff>431800</xdr:colOff>
                    <xdr:row>34</xdr:row>
                    <xdr:rowOff>63500</xdr:rowOff>
                  </from>
                  <to>
                    <xdr:col>10</xdr:col>
                    <xdr:colOff>0</xdr:colOff>
                    <xdr:row>35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G128"/>
  <sheetViews>
    <sheetView showGridLines="0" zoomScale="125" zoomScaleNormal="125" zoomScalePageLayoutView="125" workbookViewId="0">
      <selection activeCell="A26" sqref="A26"/>
    </sheetView>
  </sheetViews>
  <sheetFormatPr baseColWidth="10" defaultColWidth="11" defaultRowHeight="16" x14ac:dyDescent="0.2"/>
  <cols>
    <col min="2" max="2" width="40.83203125" customWidth="1"/>
    <col min="3" max="3" width="12.6640625" bestFit="1" customWidth="1"/>
    <col min="6" max="6" width="7" customWidth="1"/>
  </cols>
  <sheetData>
    <row r="2" spans="2:7" ht="26" x14ac:dyDescent="0.3">
      <c r="B2" s="56" t="s">
        <v>144</v>
      </c>
    </row>
    <row r="4" spans="2:7" ht="21" x14ac:dyDescent="0.25">
      <c r="B4" s="165" t="s">
        <v>57</v>
      </c>
      <c r="C4" s="166"/>
      <c r="D4" s="166"/>
      <c r="E4" s="166"/>
    </row>
    <row r="5" spans="2:7" x14ac:dyDescent="0.2">
      <c r="B5" s="167" t="s">
        <v>183</v>
      </c>
      <c r="C5" s="167"/>
      <c r="D5" s="167"/>
      <c r="E5" s="167"/>
    </row>
    <row r="6" spans="2:7" x14ac:dyDescent="0.2">
      <c r="B6" s="167" t="s">
        <v>184</v>
      </c>
      <c r="C6" s="167"/>
      <c r="D6" s="167"/>
      <c r="E6" s="167"/>
    </row>
    <row r="7" spans="2:7" ht="17" thickBot="1" x14ac:dyDescent="0.25"/>
    <row r="8" spans="2:7" ht="23" thickTop="1" thickBot="1" x14ac:dyDescent="0.3">
      <c r="B8" s="168" t="str">
        <f>IF(E16&gt;0,CONCATENATE("ROBOT is more profitable than PARLOR by ", TEXT(E16,"$#,##0")," per year"),CONCATENATE("PARLOR is more profitable than ROBOT by ",TEXT(-E16,"$#,##0"), " per year"))</f>
        <v>ROBOT is more profitable than PARLOR by $11,958 per year</v>
      </c>
      <c r="C8" s="168"/>
      <c r="D8" s="168"/>
      <c r="E8" s="168"/>
    </row>
    <row r="9" spans="2:7" ht="20" thickTop="1" x14ac:dyDescent="0.25">
      <c r="B9" s="116" t="str">
        <f>CONCATENATE("ROBOT averages ", TEXT(C16,"$#,##0"), " per year over a ", C14, "-year time horizon.*")</f>
        <v>ROBOT averages $17,806 per year over a 30-year time horizon.*</v>
      </c>
      <c r="C9" s="115"/>
      <c r="D9" s="115"/>
      <c r="E9" s="115"/>
    </row>
    <row r="10" spans="2:7" ht="19" x14ac:dyDescent="0.25">
      <c r="B10" s="116" t="str">
        <f>CONCATENATE("PARLOR averages ",TEXT(D16,"$#,##0"),,  " per year over a ", D14, "-year time horizon.*")</f>
        <v>PARLOR averages $5,848 per year over a 30-year time horizon.*</v>
      </c>
      <c r="C10" s="115"/>
      <c r="D10" s="115"/>
      <c r="E10" s="115"/>
    </row>
    <row r="11" spans="2:7" ht="18" customHeight="1" x14ac:dyDescent="0.2">
      <c r="B11" s="169" t="s">
        <v>213</v>
      </c>
      <c r="C11" s="169"/>
      <c r="D11" s="169"/>
      <c r="E11" s="169"/>
    </row>
    <row r="13" spans="2:7" x14ac:dyDescent="0.2">
      <c r="B13" s="19" t="s">
        <v>210</v>
      </c>
      <c r="C13" s="19" t="s">
        <v>30</v>
      </c>
      <c r="D13" s="19" t="s">
        <v>31</v>
      </c>
      <c r="E13" s="19" t="s">
        <v>44</v>
      </c>
    </row>
    <row r="14" spans="2:7" x14ac:dyDescent="0.2">
      <c r="B14" s="110" t="s">
        <v>230</v>
      </c>
      <c r="C14" s="110">
        <f>Data!H22</f>
        <v>30</v>
      </c>
      <c r="D14" s="110">
        <f>Data!I22</f>
        <v>30</v>
      </c>
      <c r="E14" s="111">
        <f>C14-D14</f>
        <v>0</v>
      </c>
      <c r="G14" s="128" t="str">
        <f>IF(Data!H38=1,CONCATENATE("Warning for ROBOT: Initial Downpayment exceeds ",TEXT(ABS(Data!J38),"$#,##0"),"."),"")</f>
        <v/>
      </c>
    </row>
    <row r="15" spans="2:7" x14ac:dyDescent="0.2">
      <c r="B15" s="20" t="s">
        <v>231</v>
      </c>
      <c r="C15" s="21">
        <f>NPV(Data!H23,Cashflow!N8:N37)+Cashflow!N7</f>
        <v>335212.79245658161</v>
      </c>
      <c r="D15" s="21">
        <f>NPV(Data!I23,Cashflow!AE8:AE37)+Cashflow!AE7</f>
        <v>110086.49106668768</v>
      </c>
      <c r="E15" s="21">
        <f>C15-D15</f>
        <v>225126.30138989392</v>
      </c>
      <c r="G15" s="128" t="str">
        <f>IF(Data!H39=1,CONCATENATE("Warning for ROBOT: the Minimum of Annual Cash Flows hits below ",TEXT(ABS(Data!J39),"$#,##0"),"."),"")</f>
        <v/>
      </c>
    </row>
    <row r="16" spans="2:7" x14ac:dyDescent="0.2">
      <c r="B16" s="20" t="s">
        <v>232</v>
      </c>
      <c r="C16" s="21">
        <f>-PMT(Data!H23,Data!H22,C15)</f>
        <v>17805.975007111017</v>
      </c>
      <c r="D16" s="21">
        <f>-PMT(Data!I23,Data!I22,D15)</f>
        <v>5847.6208326920741</v>
      </c>
      <c r="E16" s="21">
        <f>C16-D16</f>
        <v>11958.354174418942</v>
      </c>
      <c r="G16" s="128" t="str">
        <f>IF(Data!H40=1,CONCATENATE("Warning for ROBOT: the Sum of Three-year Cash Flows hits below ",TEXT(ABS(Data!J40),"$#,##0"),"."),"")</f>
        <v/>
      </c>
    </row>
    <row r="17" spans="2:7" x14ac:dyDescent="0.2">
      <c r="B17" t="str">
        <f>IF(AND(Data!H21&gt;1,Data!I21=1),CONCATENATE(" * TIme horizon Includes the second installment of ROBOT in year ",Data!H12,"."),IF(AND(Data!H21=1,Data!I21&gt;1),CONCATENATE(" * TIme horizon Includes the second installment of PARLOR in year ",Data!I12,"."),IF(AND(Data!H21&gt;1,Data!I21&gt;1),CONCATENATE(" * TIme horizons Include  the second installments of ROBOT and PARLOR in years ",Data!H12," and ",Data!I12," respectively."),"")))</f>
        <v xml:space="preserve"> * TIme horizon Includes the second installment of ROBOT in year 15.</v>
      </c>
      <c r="D17" s="6"/>
      <c r="G17" s="128" t="str">
        <f>IF(Data!I38,CONCATENATE("Warning for PARLOR: Initial Downpayment exceeds ",TEXT(ABS(Data!J38),"$#,##0"),"."),"")</f>
        <v/>
      </c>
    </row>
    <row r="18" spans="2:7" x14ac:dyDescent="0.2">
      <c r="B18" t="s">
        <v>233</v>
      </c>
      <c r="D18" s="6"/>
      <c r="G18" s="128" t="str">
        <f>IF(Data!I39,CONCATENATE("Warning for ROBOT: the Minimum of Annual Cash Flows hits below ",TEXT(ABS(Data!J39),"$#,##0"),"."),"")</f>
        <v/>
      </c>
    </row>
    <row r="19" spans="2:7" x14ac:dyDescent="0.2">
      <c r="B19" t="s">
        <v>234</v>
      </c>
      <c r="D19" s="6"/>
      <c r="G19" s="128" t="str">
        <f>IF(Data!I40,CONCATENATE("Warning for ROBOT: the Sum of Three-year Cash Flows hits below ",TEXT(ABS(Data!J40),"$#,##0"),"."),"")</f>
        <v/>
      </c>
    </row>
    <row r="20" spans="2:7" x14ac:dyDescent="0.2">
      <c r="D20" s="6"/>
    </row>
    <row r="21" spans="2:7" x14ac:dyDescent="0.2">
      <c r="B21" s="19" t="s">
        <v>218</v>
      </c>
      <c r="C21" s="19" t="s">
        <v>30</v>
      </c>
      <c r="D21" s="19" t="s">
        <v>31</v>
      </c>
      <c r="E21" s="19" t="s">
        <v>44</v>
      </c>
    </row>
    <row r="22" spans="2:7" x14ac:dyDescent="0.2">
      <c r="B22" s="22" t="s">
        <v>214</v>
      </c>
      <c r="C22" s="24">
        <f>MIN(Cashflow!N8:N37)</f>
        <v>-42151.365293921335</v>
      </c>
      <c r="D22" s="24">
        <f>MIN(Cashflow!AE8:AE37)</f>
        <v>-35307.708180603368</v>
      </c>
      <c r="E22" s="24">
        <f>C22-D22</f>
        <v>-6843.6571133179677</v>
      </c>
    </row>
    <row r="23" spans="2:7" x14ac:dyDescent="0.2">
      <c r="B23" s="22" t="s">
        <v>215</v>
      </c>
      <c r="C23" s="24">
        <f>MAX(Cashflow!N8:N37)</f>
        <v>174767.70627216058</v>
      </c>
      <c r="D23" s="24">
        <f>MAX(Cashflow!AE8:AE37)</f>
        <v>81958.905633367787</v>
      </c>
      <c r="E23" s="24">
        <f>C23-D23</f>
        <v>92808.800638792789</v>
      </c>
    </row>
    <row r="24" spans="2:7" x14ac:dyDescent="0.2">
      <c r="B24" s="22" t="s">
        <v>216</v>
      </c>
      <c r="C24" s="24">
        <f>MIN(Cashflow!Q9:Q37)</f>
        <v>-100011.26731364403</v>
      </c>
      <c r="D24" s="24">
        <f>MIN(Cashflow!AH9:AH37)</f>
        <v>-103230.98926114157</v>
      </c>
      <c r="E24" s="24">
        <f>C24-D24</f>
        <v>3219.7219474975427</v>
      </c>
    </row>
    <row r="25" spans="2:7" x14ac:dyDescent="0.2">
      <c r="B25" s="22" t="s">
        <v>217</v>
      </c>
      <c r="C25" s="24">
        <f>MAX(Cashflow!Q9:Q37)</f>
        <v>462957.22435877303</v>
      </c>
      <c r="D25" s="24">
        <f>MAX(Cashflow!AH9:AH37)</f>
        <v>188514.46888472559</v>
      </c>
      <c r="E25" s="24">
        <f>C25-D25</f>
        <v>274442.75547404744</v>
      </c>
    </row>
    <row r="29" spans="2:7" x14ac:dyDescent="0.2">
      <c r="C29" s="120"/>
      <c r="D29" s="120"/>
      <c r="E29" s="120"/>
    </row>
    <row r="31" spans="2:7" ht="29" customHeight="1" x14ac:dyDescent="0.2"/>
    <row r="44" spans="2:6" ht="37" customHeight="1" x14ac:dyDescent="0.2">
      <c r="B44" s="161" t="s">
        <v>228</v>
      </c>
      <c r="C44" s="161"/>
      <c r="D44" s="161"/>
      <c r="E44" s="161"/>
      <c r="F44" s="120"/>
    </row>
    <row r="46" spans="2:6" ht="17" thickBot="1" x14ac:dyDescent="0.25">
      <c r="B46" s="114"/>
      <c r="C46" s="114"/>
      <c r="D46" s="114"/>
      <c r="E46" s="114"/>
    </row>
    <row r="47" spans="2:6" ht="20" thickTop="1" x14ac:dyDescent="0.2">
      <c r="B47" s="170" t="str">
        <f>CONCATENATE("Net Annual Impact of ROBOT consists of average annual impacts of:")</f>
        <v>Net Annual Impact of ROBOT consists of average annual impacts of:</v>
      </c>
      <c r="C47" s="170"/>
      <c r="D47" s="170"/>
      <c r="E47" s="170"/>
    </row>
    <row r="48" spans="2:6" ht="19" x14ac:dyDescent="0.2">
      <c r="B48" s="171" t="str">
        <f>CONCATENATE($B$60, " (",TEXT( $C$60,"$#,###"), ")")</f>
        <v>A. Net Revenue Increase ($93,746)</v>
      </c>
      <c r="C48" s="171"/>
      <c r="D48" s="171"/>
      <c r="E48" s="171"/>
    </row>
    <row r="49" spans="2:5" ht="19" x14ac:dyDescent="0.2">
      <c r="B49" s="162" t="str">
        <f>CONCATENATE($B$64, " (",TEXT( $C$64,"$#,###"), ")")</f>
        <v>B. Net Expense Reduction ($56,163)</v>
      </c>
      <c r="C49" s="162"/>
      <c r="D49" s="162"/>
      <c r="E49" s="162"/>
    </row>
    <row r="50" spans="2:5" ht="19" x14ac:dyDescent="0.2">
      <c r="B50" s="162" t="str">
        <f>CONCATENATE($B$69, " (",TEXT( $C$69,"$#,###"), ")")</f>
        <v>C. Investment Finance (-$128,935)</v>
      </c>
      <c r="C50" s="162"/>
      <c r="D50" s="162"/>
      <c r="E50" s="162"/>
    </row>
    <row r="51" spans="2:5" ht="20" thickBot="1" x14ac:dyDescent="0.25">
      <c r="B51" s="163" t="str">
        <f>CONCATENATE($B$75, " (",TEXT( $C$75,"$#,###"), ")")</f>
        <v>D. Net Tax Deduction* (-$3,168)</v>
      </c>
      <c r="C51" s="163"/>
      <c r="D51" s="163"/>
      <c r="E51" s="163"/>
    </row>
    <row r="52" spans="2:5" ht="21" thickTop="1" thickBot="1" x14ac:dyDescent="0.25">
      <c r="B52" s="122"/>
      <c r="C52" s="122"/>
      <c r="D52" s="122"/>
      <c r="E52" s="122"/>
    </row>
    <row r="53" spans="2:5" ht="20" thickTop="1" x14ac:dyDescent="0.2">
      <c r="B53" s="170" t="str">
        <f>CONCATENATE("Net Annual Impact of PARLOR consists of average annual impacts of:")</f>
        <v>Net Annual Impact of PARLOR consists of average annual impacts of:</v>
      </c>
      <c r="C53" s="170"/>
      <c r="D53" s="170"/>
      <c r="E53" s="170"/>
    </row>
    <row r="54" spans="2:5" ht="19" x14ac:dyDescent="0.2">
      <c r="B54" s="171" t="str">
        <f>CONCATENATE($B$60, " (",TEXT( $D$60,"$#,###"), ")")</f>
        <v>A. Net Revenue Increase ($72,086)</v>
      </c>
      <c r="C54" s="171"/>
      <c r="D54" s="171"/>
      <c r="E54" s="171"/>
    </row>
    <row r="55" spans="2:5" ht="19" x14ac:dyDescent="0.2">
      <c r="B55" s="162" t="str">
        <f>CONCATENATE($B$64, " (",TEXT( $D$64,"$#,###"), ")")</f>
        <v>B. Net Expense Reduction (-$3,005)</v>
      </c>
      <c r="C55" s="162"/>
      <c r="D55" s="162"/>
      <c r="E55" s="162"/>
    </row>
    <row r="56" spans="2:5" ht="15" customHeight="1" x14ac:dyDescent="0.2">
      <c r="B56" s="162" t="str">
        <f>CONCATENATE($B$69, " (",TEXT( $D$69,"$#,###"), ")")</f>
        <v>C. Investment Finance (-$62,912)</v>
      </c>
      <c r="C56" s="162"/>
      <c r="D56" s="162"/>
      <c r="E56" s="162"/>
    </row>
    <row r="57" spans="2:5" ht="16" customHeight="1" thickBot="1" x14ac:dyDescent="0.25">
      <c r="B57" s="163" t="str">
        <f>CONCATENATE($B$75, " (",TEXT( $D$75,"$#,###"), ")")</f>
        <v>D. Net Tax Deduction* (-$321)</v>
      </c>
      <c r="C57" s="163"/>
      <c r="D57" s="163"/>
      <c r="E57" s="163"/>
    </row>
    <row r="58" spans="2:5" ht="16" customHeight="1" thickTop="1" x14ac:dyDescent="0.2">
      <c r="B58" s="119"/>
      <c r="C58" s="119"/>
      <c r="D58" s="119"/>
      <c r="E58" s="119"/>
    </row>
    <row r="59" spans="2:5" x14ac:dyDescent="0.2">
      <c r="B59" s="19" t="s">
        <v>221</v>
      </c>
      <c r="C59" s="19" t="s">
        <v>30</v>
      </c>
      <c r="D59" s="19" t="s">
        <v>31</v>
      </c>
      <c r="E59" s="19" t="s">
        <v>44</v>
      </c>
    </row>
    <row r="60" spans="2:5" x14ac:dyDescent="0.2">
      <c r="B60" s="20" t="s">
        <v>205</v>
      </c>
      <c r="C60" s="21">
        <f>'Revenue Cost'!H50</f>
        <v>93746.013234257582</v>
      </c>
      <c r="D60" s="21">
        <f>'Revenue Cost'!I50</f>
        <v>72085.600610916139</v>
      </c>
      <c r="E60" s="21">
        <f>'Revenue Cost'!J50</f>
        <v>21660.412623341443</v>
      </c>
    </row>
    <row r="61" spans="2:5" x14ac:dyDescent="0.2">
      <c r="B61" s="22" t="s">
        <v>80</v>
      </c>
      <c r="C61" s="23">
        <f>'Revenue Cost'!H51</f>
        <v>85883.851801003912</v>
      </c>
      <c r="D61" s="23">
        <f>'Revenue Cost'!I51</f>
        <v>64412.888850752912</v>
      </c>
      <c r="E61" s="23">
        <f>'Revenue Cost'!J51</f>
        <v>21470.962950251</v>
      </c>
    </row>
    <row r="62" spans="2:5" x14ac:dyDescent="0.2">
      <c r="B62" s="22" t="s">
        <v>81</v>
      </c>
      <c r="C62" s="23">
        <f>'Revenue Cost'!H52</f>
        <v>7862.1614332536647</v>
      </c>
      <c r="D62" s="23">
        <f>'Revenue Cost'!I52</f>
        <v>7672.7117601632153</v>
      </c>
      <c r="E62" s="23">
        <f>'Revenue Cost'!J52</f>
        <v>189.44967309044932</v>
      </c>
    </row>
    <row r="63" spans="2:5" x14ac:dyDescent="0.2">
      <c r="B63" s="22"/>
      <c r="C63" s="21"/>
      <c r="D63" s="21"/>
      <c r="E63" s="21"/>
    </row>
    <row r="64" spans="2:5" x14ac:dyDescent="0.2">
      <c r="B64" s="20" t="s">
        <v>226</v>
      </c>
      <c r="C64" s="21">
        <f>'Revenue Cost'!H54</f>
        <v>56162.829595992793</v>
      </c>
      <c r="D64" s="21">
        <f>'Revenue Cost'!I54</f>
        <v>-3004.7723753498531</v>
      </c>
      <c r="E64" s="21">
        <f>'Revenue Cost'!J54</f>
        <v>59167.601971342643</v>
      </c>
    </row>
    <row r="65" spans="2:5" x14ac:dyDescent="0.2">
      <c r="B65" s="22" t="s">
        <v>82</v>
      </c>
      <c r="C65" s="23">
        <f>'Revenue Cost'!H55</f>
        <v>94342.144156315611</v>
      </c>
      <c r="D65" s="23">
        <f>'Revenue Cost'!I55</f>
        <v>12578.952554175416</v>
      </c>
      <c r="E65" s="23">
        <f>'Revenue Cost'!J55</f>
        <v>81763.191602140199</v>
      </c>
    </row>
    <row r="66" spans="2:5" x14ac:dyDescent="0.2">
      <c r="B66" s="22" t="s">
        <v>206</v>
      </c>
      <c r="C66" s="23">
        <f>'Revenue Cost'!H56</f>
        <v>-12373.440841768068</v>
      </c>
      <c r="D66" s="23">
        <f>'Revenue Cost'!I56</f>
        <v>-965.56146787049352</v>
      </c>
      <c r="E66" s="23">
        <f>'Revenue Cost'!J56</f>
        <v>-11407.879373897575</v>
      </c>
    </row>
    <row r="67" spans="2:5" x14ac:dyDescent="0.2">
      <c r="B67" s="22" t="s">
        <v>83</v>
      </c>
      <c r="C67" s="23">
        <f>'Revenue Cost'!H57</f>
        <v>-25805.873718554783</v>
      </c>
      <c r="D67" s="23">
        <f>'Revenue Cost'!I57</f>
        <v>-14618.163461654776</v>
      </c>
      <c r="E67" s="23">
        <f>'Revenue Cost'!J57</f>
        <v>-11187.710256900007</v>
      </c>
    </row>
    <row r="68" spans="2:5" x14ac:dyDescent="0.2">
      <c r="B68" s="22"/>
      <c r="C68" s="24"/>
      <c r="D68" s="24"/>
      <c r="E68" s="24"/>
    </row>
    <row r="69" spans="2:5" x14ac:dyDescent="0.2">
      <c r="B69" s="20" t="s">
        <v>204</v>
      </c>
      <c r="C69" s="21">
        <f>SUM(C70:C73)</f>
        <v>-128935.36272911607</v>
      </c>
      <c r="D69" s="21">
        <f>SUM(D70:D73)</f>
        <v>-62912.011751681137</v>
      </c>
      <c r="E69" s="21">
        <f>C69-D69</f>
        <v>-66023.350977434922</v>
      </c>
    </row>
    <row r="70" spans="2:5" x14ac:dyDescent="0.2">
      <c r="B70" s="22" t="s">
        <v>84</v>
      </c>
      <c r="C70" s="24">
        <f>Cashflow!F40</f>
        <v>-40275.67030264299</v>
      </c>
      <c r="D70" s="24">
        <f>Cashflow!W40</f>
        <v>-18915.107170208466</v>
      </c>
      <c r="E70" s="23">
        <f>C70-D70</f>
        <v>-21360.563132434523</v>
      </c>
    </row>
    <row r="71" spans="2:5" x14ac:dyDescent="0.2">
      <c r="B71" s="22" t="s">
        <v>85</v>
      </c>
      <c r="C71" s="24">
        <f>Cashflow!K40</f>
        <v>-78845.517164906574</v>
      </c>
      <c r="D71" s="24">
        <f>Cashflow!AB40</f>
        <v>-39090.391399050219</v>
      </c>
      <c r="E71" s="23">
        <f>C71-D71</f>
        <v>-39755.125765856355</v>
      </c>
    </row>
    <row r="72" spans="2:5" x14ac:dyDescent="0.2">
      <c r="B72" s="22" t="s">
        <v>86</v>
      </c>
      <c r="C72" s="24">
        <f>Cashflow!L40</f>
        <v>-11727.587397284322</v>
      </c>
      <c r="D72" s="24">
        <f>Cashflow!AC40</f>
        <v>-5736.7897169887156</v>
      </c>
      <c r="E72" s="23">
        <f>C72-D72</f>
        <v>-5990.7976802956064</v>
      </c>
    </row>
    <row r="73" spans="2:5" x14ac:dyDescent="0.2">
      <c r="B73" s="22" t="s">
        <v>87</v>
      </c>
      <c r="C73" s="24">
        <f>Cashflow!H40</f>
        <v>1913.4121357178249</v>
      </c>
      <c r="D73" s="24">
        <f>Cashflow!Y40</f>
        <v>830.27653456626138</v>
      </c>
      <c r="E73" s="23">
        <f>C73-D73</f>
        <v>1083.1356011515636</v>
      </c>
    </row>
    <row r="74" spans="2:5" x14ac:dyDescent="0.2">
      <c r="B74" s="22"/>
      <c r="C74" s="24"/>
      <c r="D74" s="24"/>
      <c r="E74" s="23"/>
    </row>
    <row r="75" spans="2:5" x14ac:dyDescent="0.2">
      <c r="B75" s="20" t="s">
        <v>220</v>
      </c>
      <c r="C75" s="21">
        <f>Cashflow!J40</f>
        <v>-3167.5050940232918</v>
      </c>
      <c r="D75" s="21">
        <f>Cashflow!AA40</f>
        <v>-321.19565119307856</v>
      </c>
      <c r="E75" s="21">
        <f t="shared" ref="E75:E80" si="0">C75-D75</f>
        <v>-2846.3094428302134</v>
      </c>
    </row>
    <row r="76" spans="2:5" x14ac:dyDescent="0.2">
      <c r="B76" s="22" t="s">
        <v>88</v>
      </c>
      <c r="C76" s="24">
        <f>-(Cashflow!C40+Cashflow!D40)*Data!D28</f>
        <v>-49469.918133982632</v>
      </c>
      <c r="D76" s="24">
        <f>-(Cashflow!T40+Cashflow!U40)*Data!D28</f>
        <v>-22796.673317736873</v>
      </c>
      <c r="E76" s="23">
        <f t="shared" si="0"/>
        <v>-26673.244816245759</v>
      </c>
    </row>
    <row r="77" spans="2:5" x14ac:dyDescent="0.2">
      <c r="B77" s="22" t="s">
        <v>89</v>
      </c>
      <c r="C77" s="24">
        <f>-Cashflow!G40*Data!D28</f>
        <v>33642.867844874025</v>
      </c>
      <c r="D77" s="24">
        <f>-Cashflow!X40*Data!D28</f>
        <v>16507.48355678187</v>
      </c>
      <c r="E77" s="23">
        <f t="shared" si="0"/>
        <v>17135.384288092155</v>
      </c>
    </row>
    <row r="78" spans="2:5" x14ac:dyDescent="0.2">
      <c r="B78" s="22" t="s">
        <v>84</v>
      </c>
      <c r="C78" s="24">
        <f>-Cashflow!F40*Data!D28</f>
        <v>13290.971199872187</v>
      </c>
      <c r="D78" s="24">
        <f>-Cashflow!W40*Data!D28</f>
        <v>6241.9853661687939</v>
      </c>
      <c r="E78" s="23">
        <f t="shared" si="0"/>
        <v>7048.9858337033929</v>
      </c>
    </row>
    <row r="79" spans="2:5" x14ac:dyDescent="0.2">
      <c r="B79" s="22" t="s">
        <v>101</v>
      </c>
      <c r="C79" s="24">
        <f>-Cashflow!H40*Data!D28</f>
        <v>-631.42600478688223</v>
      </c>
      <c r="D79" s="24">
        <f>-Cashflow!Y40*Data!D28</f>
        <v>-273.99125640686628</v>
      </c>
      <c r="E79" s="23">
        <f t="shared" si="0"/>
        <v>-357.43474838001595</v>
      </c>
    </row>
    <row r="80" spans="2:5" x14ac:dyDescent="0.2">
      <c r="B80" s="22" t="s">
        <v>274</v>
      </c>
      <c r="C80" s="24">
        <f>-Cashflow!E40*Data!D28</f>
        <v>0</v>
      </c>
      <c r="D80" s="24">
        <f>-Cashflow!V40*Data!D28</f>
        <v>0</v>
      </c>
      <c r="E80" s="23">
        <f t="shared" si="0"/>
        <v>0</v>
      </c>
    </row>
    <row r="81" spans="2:5" x14ac:dyDescent="0.2">
      <c r="B81" s="22"/>
      <c r="C81" s="24"/>
      <c r="D81" s="24"/>
      <c r="E81" s="23"/>
    </row>
    <row r="82" spans="2:5" x14ac:dyDescent="0.2">
      <c r="B82" s="20" t="s">
        <v>272</v>
      </c>
      <c r="C82" s="21">
        <f>Cashflow!E40</f>
        <v>0</v>
      </c>
      <c r="D82" s="21">
        <f>Cashflow!V40</f>
        <v>0</v>
      </c>
      <c r="E82" s="21">
        <f>C82-D82</f>
        <v>0</v>
      </c>
    </row>
    <row r="83" spans="2:5" x14ac:dyDescent="0.2">
      <c r="B83" s="22"/>
      <c r="C83" s="24"/>
      <c r="D83" s="24"/>
      <c r="E83" s="24"/>
    </row>
    <row r="84" spans="2:5" x14ac:dyDescent="0.2">
      <c r="B84" s="20" t="s">
        <v>273</v>
      </c>
      <c r="C84" s="21">
        <f>C60+C64+C69+C75+C82</f>
        <v>17805.975007111032</v>
      </c>
      <c r="D84" s="21">
        <f>D60+D64+D69+D75+D82</f>
        <v>5847.620832692066</v>
      </c>
      <c r="E84" s="23">
        <f>C84-D84</f>
        <v>11958.354174418966</v>
      </c>
    </row>
    <row r="85" spans="2:5" x14ac:dyDescent="0.2">
      <c r="B85" s="57" t="s">
        <v>219</v>
      </c>
    </row>
    <row r="86" spans="2:5" s="121" customFormat="1" x14ac:dyDescent="0.2"/>
    <row r="87" spans="2:5" s="121" customFormat="1" ht="17" thickBot="1" x14ac:dyDescent="0.25"/>
    <row r="88" spans="2:5" ht="18" thickTop="1" thickBot="1" x14ac:dyDescent="0.25">
      <c r="B88" s="164" t="s">
        <v>229</v>
      </c>
      <c r="C88" s="164"/>
      <c r="D88" s="164"/>
      <c r="E88" s="164"/>
    </row>
    <row r="89" spans="2:5" ht="35" customHeight="1" thickTop="1" x14ac:dyDescent="0.2">
      <c r="B89" s="161" t="s">
        <v>212</v>
      </c>
      <c r="C89" s="161"/>
      <c r="D89" s="161"/>
      <c r="E89" s="161"/>
    </row>
    <row r="105" spans="2:5" ht="64" customHeight="1" x14ac:dyDescent="0.2">
      <c r="B105" s="161" t="e">
        <f>CONCATENATE("Notes:  B. Warranty (years 1-",Data!#REF!,IF(Data!H21&gt;1,CONCATENATE(" and ",Data!H12+1,"-",Data!H12+Data!#REF!),""),").  C: Downpayment (year 0",IF(Data!H21&gt;1,CONCATENATE(" and ",Data!H12),""),"), Loan Payments (years 1-",Debt!C8,IF(Data!H21&gt;1,CONCATENATE(" and ",Data!H12+1,"-",Debt!C11+Debt!C8),"")," for Robots and years 1-",Debt!E8," for Barn), Salvage Vage (year ",Debt!C11,IF(Data!H21&gt;1,CONCATENATE(" and ",Data!H22),""),").  D: Depreciation (years 1-",CONCATENATE(Depreciation!S10,IF(Data!H21&gt;1,CONCATENATE(" and ",Data!H12+1,"-",Data!H12+Depreciation!S10),"")," for Robots and years 1-",Depreciation!S11," for Barn)."))</f>
        <v>#REF!</v>
      </c>
      <c r="C105" s="161"/>
      <c r="D105" s="161"/>
      <c r="E105" s="161"/>
    </row>
    <row r="123" spans="2:5" ht="64" customHeight="1" x14ac:dyDescent="0.2">
      <c r="B123" s="161" t="e">
        <f>CONCATENATE("Notes:  B. Warranty (years 1-",Data!#REF!,IF(Data!I21&gt;1,CONCATENATE(" and ",Data!I12+1,"-",Data!I12+Data!#REF!),""),").  C: Downpayment (year 0",IF(Data!I21&gt;1,CONCATENATE(" and ",Data!I12),""),"), Loan Payments (years 1-",Debt!I8,IF(Data!I21&gt;1,CONCATENATE(" and ",Data!I12+1,"-",Debt!I11+Debt!I8),"")," for Parlor and years 1-",Debt!K8," for Barn), Salvage Value (year ",Debt!I11,IF(Data!I21&gt;1,CONCATENATE(" and ",Data!I22),""),").  D: Depreciation (years 1-",CONCATENATE(Depreciation!S10,IF(Data!I21&gt;1,CONCATENATE(" and ",Data!I12+1,"-",Data!I12+Depreciation!S10),"")," for Parlor and years 1-",Depreciation!S11," for Barn)."))</f>
        <v>#REF!</v>
      </c>
      <c r="C123" s="161"/>
      <c r="D123" s="161"/>
      <c r="E123" s="161"/>
    </row>
    <row r="125" spans="2:5" x14ac:dyDescent="0.2">
      <c r="B125" s="114"/>
      <c r="C125" s="114"/>
      <c r="D125" s="114"/>
      <c r="E125" s="114"/>
    </row>
    <row r="126" spans="2:5" x14ac:dyDescent="0.2">
      <c r="E126" s="84" t="s">
        <v>182</v>
      </c>
    </row>
    <row r="127" spans="2:5" x14ac:dyDescent="0.2">
      <c r="E127" s="84"/>
    </row>
    <row r="128" spans="2:5" x14ac:dyDescent="0.2">
      <c r="E128" s="84"/>
    </row>
  </sheetData>
  <mergeCells count="20">
    <mergeCell ref="B4:E4"/>
    <mergeCell ref="B5:E5"/>
    <mergeCell ref="B6:E6"/>
    <mergeCell ref="B89:E89"/>
    <mergeCell ref="B8:E8"/>
    <mergeCell ref="B11:E11"/>
    <mergeCell ref="B47:E47"/>
    <mergeCell ref="B48:E48"/>
    <mergeCell ref="B49:E49"/>
    <mergeCell ref="B50:E50"/>
    <mergeCell ref="B51:E51"/>
    <mergeCell ref="B53:E53"/>
    <mergeCell ref="B54:E54"/>
    <mergeCell ref="B55:E55"/>
    <mergeCell ref="B123:E123"/>
    <mergeCell ref="B105:E105"/>
    <mergeCell ref="B56:E56"/>
    <mergeCell ref="B57:E57"/>
    <mergeCell ref="B44:E44"/>
    <mergeCell ref="B88:E88"/>
  </mergeCells>
  <conditionalFormatting sqref="C15:C16">
    <cfRule type="expression" dxfId="2" priority="4">
      <formula>#REF!=1</formula>
    </cfRule>
  </conditionalFormatting>
  <conditionalFormatting sqref="D15:D16">
    <cfRule type="expression" dxfId="1" priority="5">
      <formula>#REF!=1</formula>
    </cfRule>
  </conditionalFormatting>
  <hyperlinks>
    <hyperlink ref="E126" location="Sensitivity!A1" display="Go to Sensitivity Analysis -&gt;" xr:uid="{00000000-0004-0000-0200-000000000000}"/>
  </hyperlinks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08"/>
  <sheetViews>
    <sheetView showGridLines="0" topLeftCell="A182" workbookViewId="0">
      <selection activeCell="C218" sqref="C218"/>
    </sheetView>
  </sheetViews>
  <sheetFormatPr baseColWidth="10" defaultColWidth="11" defaultRowHeight="16" x14ac:dyDescent="0.2"/>
  <cols>
    <col min="3" max="3" width="19.33203125" customWidth="1"/>
    <col min="5" max="5" width="12.1640625" customWidth="1"/>
    <col min="6" max="6" width="19" customWidth="1"/>
    <col min="8" max="8" width="16.6640625" customWidth="1"/>
    <col min="14" max="14" width="12.83203125" customWidth="1"/>
    <col min="15" max="15" width="11.1640625" bestFit="1" customWidth="1"/>
    <col min="17" max="17" width="12.83203125" bestFit="1" customWidth="1"/>
    <col min="18" max="18" width="11.1640625" bestFit="1" customWidth="1"/>
    <col min="20" max="20" width="15.33203125" bestFit="1" customWidth="1"/>
    <col min="21" max="21" width="11.1640625" bestFit="1" customWidth="1"/>
  </cols>
  <sheetData>
    <row r="1" spans="1:8" x14ac:dyDescent="0.2">
      <c r="A1" s="109"/>
    </row>
    <row r="2" spans="1:8" ht="26" x14ac:dyDescent="0.3">
      <c r="B2" s="160" t="s">
        <v>197</v>
      </c>
      <c r="C2" s="160"/>
      <c r="D2" s="160"/>
      <c r="E2" s="160"/>
      <c r="F2" s="160"/>
      <c r="G2" s="160"/>
    </row>
    <row r="3" spans="1:8" ht="21" x14ac:dyDescent="0.25">
      <c r="B3" s="10" t="s">
        <v>135</v>
      </c>
    </row>
    <row r="4" spans="1:8" x14ac:dyDescent="0.2">
      <c r="B4" t="s">
        <v>189</v>
      </c>
    </row>
    <row r="5" spans="1:8" x14ac:dyDescent="0.2">
      <c r="B5" t="s">
        <v>211</v>
      </c>
    </row>
    <row r="7" spans="1:8" x14ac:dyDescent="0.2">
      <c r="E7" t="s">
        <v>138</v>
      </c>
    </row>
    <row r="9" spans="1:8" ht="22" thickBot="1" x14ac:dyDescent="0.3">
      <c r="B9" s="10" t="s">
        <v>190</v>
      </c>
    </row>
    <row r="10" spans="1:8" ht="22" thickBot="1" x14ac:dyDescent="0.3">
      <c r="B10" s="172" t="s">
        <v>22</v>
      </c>
      <c r="C10" s="173"/>
      <c r="D10" s="173"/>
      <c r="E10" s="173"/>
      <c r="F10" s="174"/>
      <c r="G10" s="99" t="str">
        <f>IF(MATCH(B10,B41:B46,0)&gt;3,"$","")</f>
        <v/>
      </c>
      <c r="H10" s="98" t="str">
        <f>"Robot's "&amp;B10</f>
        <v>Robot's Projected milk production (lb/cow/day)</v>
      </c>
    </row>
    <row r="11" spans="1:8" x14ac:dyDescent="0.2">
      <c r="A11" s="100">
        <v>1</v>
      </c>
      <c r="B11" s="92" t="str">
        <f>H4&amp;IF(INDEX($C49:$F207,MATCH($B$10,$C49:$C207,0)+$A11,3)=0,NA(),INDEX($C49:$F207,MATCH($B$10,$C49:$C207,0)+$A11,3))</f>
        <v>Milk output</v>
      </c>
      <c r="C11" s="92" t="str">
        <f>IF(INDEX($C49:$F207,MATCH($B$10,$C49:$C207,0)+$A11,4)=0,NA(),INDEX($C49:$F207,MATCH($B$10,$C49:$C207,0)+$A11,4))</f>
        <v>Robot Annual Impact</v>
      </c>
    </row>
    <row r="12" spans="1:8" x14ac:dyDescent="0.2">
      <c r="A12" s="100">
        <v>2</v>
      </c>
      <c r="B12" s="93" t="str">
        <f>"Robot's "&amp;$B$10</f>
        <v>Robot's Projected milk production (lb/cow/day)</v>
      </c>
      <c r="C12" s="94">
        <f>IF(INDEX($C49:$F207,MATCH($B$10,$C49:$C207,0)+$A12,4)=0,NA(),INDEX($C49:$F207,MATCH($B$10,$C49:$C207,0)+$A12,4))</f>
        <v>17805.975007111017</v>
      </c>
    </row>
    <row r="13" spans="1:8" x14ac:dyDescent="0.2">
      <c r="A13" s="100">
        <v>3</v>
      </c>
      <c r="B13" s="91" t="str">
        <f>$G$10&amp;IF(INDEX($C$46:$F$281,MATCH($B$10,$C$46:$C$281,0)+$A13,3)=0,0,INDEX($C49:$F207,MATCH($B$10,$C$46:$C$281,0)+$A13,3))</f>
        <v>75</v>
      </c>
      <c r="C13" s="95">
        <f t="shared" ref="C13:C24" si="0">IF(INDEX($C$46:$F$281,MATCH($B$10,$C$46:$C$281,0)+$A13,4)=0,NA(),INDEX($C$46:$F$281,MATCH($B$10,$C$46:$C$281,0)+$A13,4))</f>
        <v>-111543.1877650512</v>
      </c>
    </row>
    <row r="14" spans="1:8" x14ac:dyDescent="0.2">
      <c r="A14" s="100">
        <v>4</v>
      </c>
      <c r="B14" s="91">
        <f t="shared" ref="B14:B24" si="1">IF(INDEX($C$46:$F$281,MATCH($B$10,$C$46:$C$281,0)+$A14,3)=0,NA(),INDEX($C$46:$F$281,MATCH($B$10,$C$46:$C$281,0)+$A14,3))</f>
        <v>65</v>
      </c>
      <c r="C14" s="95">
        <f t="shared" si="0"/>
        <v>-83423.804553711569</v>
      </c>
    </row>
    <row r="15" spans="1:8" x14ac:dyDescent="0.2">
      <c r="A15" s="100">
        <v>5</v>
      </c>
      <c r="B15" s="91">
        <f t="shared" si="1"/>
        <v>70</v>
      </c>
      <c r="C15" s="95">
        <f t="shared" si="0"/>
        <v>-55304.42134237197</v>
      </c>
    </row>
    <row r="16" spans="1:8" x14ac:dyDescent="0.2">
      <c r="A16" s="100">
        <v>6</v>
      </c>
      <c r="B16" s="91">
        <f t="shared" si="1"/>
        <v>75</v>
      </c>
      <c r="C16" s="95">
        <f t="shared" si="0"/>
        <v>-27185.03813103235</v>
      </c>
    </row>
    <row r="17" spans="1:3" x14ac:dyDescent="0.2">
      <c r="A17" s="100">
        <v>7</v>
      </c>
      <c r="B17" s="91">
        <f t="shared" si="1"/>
        <v>80</v>
      </c>
      <c r="C17" s="95">
        <f t="shared" si="0"/>
        <v>934.34508030728102</v>
      </c>
    </row>
    <row r="18" spans="1:3" x14ac:dyDescent="0.2">
      <c r="A18" s="100">
        <v>8</v>
      </c>
      <c r="B18" s="91">
        <f t="shared" si="1"/>
        <v>85</v>
      </c>
      <c r="C18" s="95">
        <f t="shared" si="0"/>
        <v>29053.728291646876</v>
      </c>
    </row>
    <row r="19" spans="1:3" x14ac:dyDescent="0.2">
      <c r="A19" s="100">
        <v>9</v>
      </c>
      <c r="B19" s="91">
        <f t="shared" si="1"/>
        <v>90</v>
      </c>
      <c r="C19" s="95">
        <f t="shared" si="0"/>
        <v>57173.111502986518</v>
      </c>
    </row>
    <row r="20" spans="1:3" x14ac:dyDescent="0.2">
      <c r="A20" s="100">
        <v>10</v>
      </c>
      <c r="B20" s="91">
        <f t="shared" si="1"/>
        <v>95</v>
      </c>
      <c r="C20" s="95">
        <f t="shared" si="0"/>
        <v>85292.494714326152</v>
      </c>
    </row>
    <row r="21" spans="1:3" x14ac:dyDescent="0.2">
      <c r="A21" s="100">
        <v>11</v>
      </c>
      <c r="B21" s="91">
        <f t="shared" si="1"/>
        <v>100</v>
      </c>
      <c r="C21" s="95">
        <f t="shared" si="0"/>
        <v>113411.87792566582</v>
      </c>
    </row>
    <row r="22" spans="1:3" x14ac:dyDescent="0.2">
      <c r="A22" s="100">
        <v>12</v>
      </c>
      <c r="B22" s="91">
        <f t="shared" si="1"/>
        <v>105</v>
      </c>
      <c r="C22" s="95">
        <f t="shared" si="0"/>
        <v>141531.26113700544</v>
      </c>
    </row>
    <row r="23" spans="1:3" x14ac:dyDescent="0.2">
      <c r="A23" s="100">
        <v>13</v>
      </c>
      <c r="B23" s="91">
        <f t="shared" si="1"/>
        <v>110</v>
      </c>
      <c r="C23" s="95">
        <f t="shared" si="0"/>
        <v>169650.64434834503</v>
      </c>
    </row>
    <row r="24" spans="1:3" x14ac:dyDescent="0.2">
      <c r="A24" s="100">
        <v>14</v>
      </c>
      <c r="B24" s="91">
        <f t="shared" si="1"/>
        <v>115</v>
      </c>
      <c r="C24" s="95">
        <f t="shared" si="0"/>
        <v>197770.02755968468</v>
      </c>
    </row>
    <row r="39" spans="2:6" ht="21" x14ac:dyDescent="0.25">
      <c r="B39" s="10" t="s">
        <v>191</v>
      </c>
    </row>
    <row r="40" spans="2:6" ht="21" x14ac:dyDescent="0.25">
      <c r="B40" s="10" t="s">
        <v>188</v>
      </c>
    </row>
    <row r="41" spans="2:6" ht="21" x14ac:dyDescent="0.25">
      <c r="B41" s="89" t="s">
        <v>22</v>
      </c>
      <c r="C41" s="89"/>
      <c r="D41" s="89"/>
      <c r="E41" s="89"/>
      <c r="F41" s="89"/>
    </row>
    <row r="42" spans="2:6" ht="21" x14ac:dyDescent="0.25">
      <c r="B42" s="89" t="s">
        <v>21</v>
      </c>
      <c r="C42" s="90"/>
      <c r="D42" s="90"/>
      <c r="E42" s="90"/>
      <c r="F42" s="90"/>
    </row>
    <row r="43" spans="2:6" ht="21" x14ac:dyDescent="0.25">
      <c r="B43" s="89" t="s">
        <v>18</v>
      </c>
      <c r="C43" s="90"/>
      <c r="D43" s="90"/>
      <c r="E43" s="90"/>
      <c r="F43" s="90"/>
    </row>
    <row r="44" spans="2:6" ht="21" x14ac:dyDescent="0.25">
      <c r="B44" s="89" t="s">
        <v>17</v>
      </c>
      <c r="C44" s="90"/>
      <c r="D44" s="90"/>
      <c r="E44" s="90"/>
      <c r="F44" s="90"/>
    </row>
    <row r="45" spans="2:6" ht="21" x14ac:dyDescent="0.25">
      <c r="B45" s="89" t="s">
        <v>20</v>
      </c>
      <c r="C45" s="90"/>
      <c r="D45" s="90"/>
      <c r="E45" s="90"/>
      <c r="F45" s="90"/>
    </row>
    <row r="46" spans="2:6" ht="21" x14ac:dyDescent="0.25">
      <c r="B46" s="89" t="s">
        <v>19</v>
      </c>
      <c r="C46" s="90"/>
      <c r="D46" s="90"/>
      <c r="E46" s="90"/>
      <c r="F46" s="90"/>
    </row>
    <row r="47" spans="2:6" ht="16" customHeight="1" x14ac:dyDescent="0.25">
      <c r="B47" s="88"/>
    </row>
    <row r="49" spans="2:6" ht="21" x14ac:dyDescent="0.25">
      <c r="C49" s="96" t="s">
        <v>22</v>
      </c>
    </row>
    <row r="50" spans="2:6" x14ac:dyDescent="0.2">
      <c r="E50" s="19" t="s">
        <v>54</v>
      </c>
      <c r="F50" s="19" t="s">
        <v>198</v>
      </c>
    </row>
    <row r="51" spans="2:6" x14ac:dyDescent="0.2">
      <c r="E51" s="44">
        <f>IF(Sensitivity!E49="",Data!H17,Sensitivity!E49)</f>
        <v>83</v>
      </c>
      <c r="F51" s="45">
        <f>Results!C16</f>
        <v>17805.975007111017</v>
      </c>
    </row>
    <row r="52" spans="2:6" x14ac:dyDescent="0.2">
      <c r="E52" s="22">
        <f>'Warning Criteria'!$G$30+('Warning Criteria'!C31-1)*'Warning Criteria'!$H$30</f>
        <v>60</v>
      </c>
      <c r="F52" s="37">
        <f t="dataTable" ref="F52:F63" dt2D="0" dtr="0" r1="E49"/>
        <v>-111543.1877650512</v>
      </c>
    </row>
    <row r="53" spans="2:6" x14ac:dyDescent="0.2">
      <c r="B53" t="s">
        <v>79</v>
      </c>
      <c r="E53" s="22">
        <f>'Warning Criteria'!$G$30+('Warning Criteria'!C32-1)*'Warning Criteria'!$H$30</f>
        <v>65</v>
      </c>
      <c r="F53" s="37">
        <v>-83423.804553711569</v>
      </c>
    </row>
    <row r="54" spans="2:6" x14ac:dyDescent="0.2">
      <c r="E54" s="22">
        <f>'Warning Criteria'!$G$30+('Warning Criteria'!C33-1)*'Warning Criteria'!$H$30</f>
        <v>70</v>
      </c>
      <c r="F54" s="37">
        <v>-55304.42134237197</v>
      </c>
    </row>
    <row r="55" spans="2:6" x14ac:dyDescent="0.2">
      <c r="E55" s="22">
        <f>'Warning Criteria'!$G$30+('Warning Criteria'!C34-1)*'Warning Criteria'!$H$30</f>
        <v>75</v>
      </c>
      <c r="F55" s="37">
        <v>-27185.03813103235</v>
      </c>
    </row>
    <row r="56" spans="2:6" x14ac:dyDescent="0.2">
      <c r="E56" s="22">
        <f>'Warning Criteria'!$G$30+('Warning Criteria'!C35-1)*'Warning Criteria'!$H$30</f>
        <v>80</v>
      </c>
      <c r="F56" s="37">
        <v>934.34508030728102</v>
      </c>
    </row>
    <row r="57" spans="2:6" x14ac:dyDescent="0.2">
      <c r="E57" s="22">
        <f>'Warning Criteria'!$G$30+('Warning Criteria'!C36-1)*'Warning Criteria'!$H$30</f>
        <v>85</v>
      </c>
      <c r="F57" s="37">
        <v>29053.728291646876</v>
      </c>
    </row>
    <row r="58" spans="2:6" x14ac:dyDescent="0.2">
      <c r="E58" s="22">
        <f>'Warning Criteria'!$G$30+('Warning Criteria'!C37-1)*'Warning Criteria'!$H$30</f>
        <v>90</v>
      </c>
      <c r="F58" s="37">
        <v>57173.111502986518</v>
      </c>
    </row>
    <row r="59" spans="2:6" x14ac:dyDescent="0.2">
      <c r="E59" s="22">
        <f>'Warning Criteria'!$G$30+('Warning Criteria'!C38-1)*'Warning Criteria'!$H$30</f>
        <v>95</v>
      </c>
      <c r="F59" s="37">
        <v>85292.494714326152</v>
      </c>
    </row>
    <row r="60" spans="2:6" x14ac:dyDescent="0.2">
      <c r="E60" s="22">
        <f>'Warning Criteria'!$G$30+('Warning Criteria'!C39-1)*'Warning Criteria'!$H$30</f>
        <v>100</v>
      </c>
      <c r="F60" s="37">
        <v>113411.87792566582</v>
      </c>
    </row>
    <row r="61" spans="2:6" x14ac:dyDescent="0.2">
      <c r="E61" s="22">
        <f>'Warning Criteria'!$G$30+('Warning Criteria'!C40-1)*'Warning Criteria'!$H$30</f>
        <v>105</v>
      </c>
      <c r="F61" s="37">
        <v>141531.26113700544</v>
      </c>
    </row>
    <row r="62" spans="2:6" x14ac:dyDescent="0.2">
      <c r="E62" s="22">
        <f>'Warning Criteria'!$G$30+('Warning Criteria'!C41-1)*'Warning Criteria'!$H$30</f>
        <v>110</v>
      </c>
      <c r="F62" s="37">
        <v>169650.64434834503</v>
      </c>
    </row>
    <row r="63" spans="2:6" x14ac:dyDescent="0.2">
      <c r="E63" s="22">
        <f>'Warning Criteria'!$G$30+('Warning Criteria'!C42-1)*'Warning Criteria'!$H$30</f>
        <v>115</v>
      </c>
      <c r="F63" s="37">
        <v>197770.02755968468</v>
      </c>
    </row>
    <row r="79" spans="3:6" ht="21" x14ac:dyDescent="0.25">
      <c r="C79" s="96" t="s">
        <v>21</v>
      </c>
    </row>
    <row r="80" spans="3:6" x14ac:dyDescent="0.2">
      <c r="E80" s="19" t="s">
        <v>103</v>
      </c>
      <c r="F80" s="19" t="s">
        <v>198</v>
      </c>
    </row>
    <row r="81" spans="5:6" x14ac:dyDescent="0.2">
      <c r="E81" s="44">
        <f>IF(Sensitivity!$E$79="",Data!H16,Sensitivity!$E$79)</f>
        <v>2.25</v>
      </c>
      <c r="F81" s="45">
        <f>Results!C16</f>
        <v>17805.975007111017</v>
      </c>
    </row>
    <row r="82" spans="5:6" x14ac:dyDescent="0.2">
      <c r="E82" s="22">
        <f>('Warning Criteria'!$G$31+'Warning Criteria'!$H$31*('Warning Criteria'!C31-1))*'Warning Criteria'!$J$42</f>
        <v>3</v>
      </c>
      <c r="F82" s="37">
        <f t="dataTable" ref="F82:F91" dt2D="0" dtr="0" r1="E79" ca="1"/>
        <v>13592.025901462252</v>
      </c>
    </row>
    <row r="83" spans="5:6" x14ac:dyDescent="0.2">
      <c r="E83" s="22">
        <f>('Warning Criteria'!$G$31+'Warning Criteria'!$H$31*('Warning Criteria'!C32-1))*'Warning Criteria'!$J$42</f>
        <v>6</v>
      </c>
      <c r="F83" s="37">
        <v>-3263.7705211328112</v>
      </c>
    </row>
    <row r="84" spans="5:6" x14ac:dyDescent="0.2">
      <c r="E84" s="22">
        <f>('Warning Criteria'!$G$31+'Warning Criteria'!$H$31*('Warning Criteria'!C33-1))*'Warning Criteria'!$J$42</f>
        <v>9</v>
      </c>
      <c r="F84" s="37">
        <v>-20119.566943727867</v>
      </c>
    </row>
    <row r="85" spans="5:6" x14ac:dyDescent="0.2">
      <c r="E85" s="22">
        <f>('Warning Criteria'!$G$31+'Warning Criteria'!$H$31*('Warning Criteria'!C34-1))*'Warning Criteria'!$J$42</f>
        <v>12</v>
      </c>
      <c r="F85" s="37">
        <v>-36975.363366322927</v>
      </c>
    </row>
    <row r="86" spans="5:6" x14ac:dyDescent="0.2">
      <c r="E86" s="22">
        <f>('Warning Criteria'!$G$31+'Warning Criteria'!$H$31*('Warning Criteria'!C35-1))*'Warning Criteria'!$J$42</f>
        <v>15</v>
      </c>
      <c r="F86" s="37">
        <v>-53831.159788917983</v>
      </c>
    </row>
    <row r="87" spans="5:6" x14ac:dyDescent="0.2">
      <c r="E87" s="22">
        <f>('Warning Criteria'!$G$31+'Warning Criteria'!$H$31*('Warning Criteria'!C36-1))*'Warning Criteria'!$J$42</f>
        <v>18</v>
      </c>
      <c r="F87" s="37">
        <v>-70686.956211513039</v>
      </c>
    </row>
    <row r="88" spans="5:6" x14ac:dyDescent="0.2">
      <c r="E88" s="22">
        <f>('Warning Criteria'!$G$31+'Warning Criteria'!$H$31*('Warning Criteria'!C37-1))*'Warning Criteria'!$J$42</f>
        <v>21</v>
      </c>
      <c r="F88" s="37">
        <v>-87542.752634108096</v>
      </c>
    </row>
    <row r="89" spans="5:6" x14ac:dyDescent="0.2">
      <c r="E89" s="22">
        <f>('Warning Criteria'!$G$31+'Warning Criteria'!$H$31*('Warning Criteria'!C38-1))*'Warning Criteria'!$J$42</f>
        <v>24</v>
      </c>
      <c r="F89" s="37">
        <v>-104398.54905670317</v>
      </c>
    </row>
    <row r="90" spans="5:6" x14ac:dyDescent="0.2">
      <c r="E90" s="22">
        <f>('Warning Criteria'!$G$31+'Warning Criteria'!$H$31*('Warning Criteria'!C39-1))*'Warning Criteria'!$J$42</f>
        <v>27</v>
      </c>
      <c r="F90" s="37">
        <v>-121254.34547929822</v>
      </c>
    </row>
    <row r="91" spans="5:6" x14ac:dyDescent="0.2">
      <c r="E91" s="22">
        <f>('Warning Criteria'!$G$31+'Warning Criteria'!$H$31*('Warning Criteria'!C40-1))*'Warning Criteria'!$J$42</f>
        <v>30</v>
      </c>
      <c r="F91" s="37">
        <v>-138110.14190189325</v>
      </c>
    </row>
    <row r="109" spans="3:6" ht="21" x14ac:dyDescent="0.25">
      <c r="C109" s="96" t="s">
        <v>18</v>
      </c>
    </row>
    <row r="110" spans="3:6" x14ac:dyDescent="0.2">
      <c r="E110" s="19" t="s">
        <v>2</v>
      </c>
      <c r="F110" s="19" t="s">
        <v>198</v>
      </c>
    </row>
    <row r="111" spans="3:6" x14ac:dyDescent="0.2">
      <c r="E111" s="44">
        <f>IF(Sensitivity!E109="",Data!H12,Sensitivity!E109)</f>
        <v>15</v>
      </c>
      <c r="F111" s="45">
        <f>Results!C16</f>
        <v>17805.975007111017</v>
      </c>
    </row>
    <row r="112" spans="3:6" x14ac:dyDescent="0.2">
      <c r="E112" s="22">
        <f>'Warning Criteria'!$G$32+'Warning Criteria'!$H$32*('Warning Criteria'!C31-1)</f>
        <v>7</v>
      </c>
      <c r="F112" s="24">
        <f t="dataTable" ref="F112:F120" dt2D="0" dtr="0" r1="E109" ca="1"/>
        <v>-57323.274966391647</v>
      </c>
    </row>
    <row r="113" spans="5:6" x14ac:dyDescent="0.2">
      <c r="E113" s="22">
        <f>'Warning Criteria'!$G$32+'Warning Criteria'!$H$32*('Warning Criteria'!C32-1)</f>
        <v>8</v>
      </c>
      <c r="F113" s="24">
        <v>-41048.950963219344</v>
      </c>
    </row>
    <row r="114" spans="5:6" x14ac:dyDescent="0.2">
      <c r="E114" s="22">
        <f>'Warning Criteria'!$G$32+'Warning Criteria'!$H$32*('Warning Criteria'!C33-1)</f>
        <v>9</v>
      </c>
      <c r="F114" s="24">
        <v>-28056.18343185788</v>
      </c>
    </row>
    <row r="115" spans="5:6" x14ac:dyDescent="0.2">
      <c r="E115" s="22">
        <f>'Warning Criteria'!$G$32+'Warning Criteria'!$H$32*('Warning Criteria'!C34-1)</f>
        <v>10</v>
      </c>
      <c r="F115" s="24">
        <v>-17358.343254367497</v>
      </c>
    </row>
    <row r="116" spans="5:6" x14ac:dyDescent="0.2">
      <c r="E116" s="22">
        <f>'Warning Criteria'!$G$32+'Warning Criteria'!$H$32*('Warning Criteria'!C35-1)</f>
        <v>11</v>
      </c>
      <c r="F116" s="24">
        <v>-8327.8843400747592</v>
      </c>
    </row>
    <row r="117" spans="5:6" x14ac:dyDescent="0.2">
      <c r="E117" s="22">
        <f>'Warning Criteria'!$G$32+'Warning Criteria'!$H$32*('Warning Criteria'!C36-1)</f>
        <v>12</v>
      </c>
      <c r="F117" s="24">
        <v>-546.72756434842961</v>
      </c>
    </row>
    <row r="118" spans="5:6" x14ac:dyDescent="0.2">
      <c r="E118" s="22">
        <f>'Warning Criteria'!$G$32+'Warning Criteria'!$H$32*('Warning Criteria'!C37-1)</f>
        <v>13</v>
      </c>
      <c r="F118" s="24">
        <v>6274.302590358091</v>
      </c>
    </row>
    <row r="119" spans="5:6" x14ac:dyDescent="0.2">
      <c r="E119" s="22">
        <f>'Warning Criteria'!$G$32+'Warning Criteria'!$H$32*('Warning Criteria'!C38-1)</f>
        <v>14</v>
      </c>
      <c r="F119" s="24">
        <v>12341.515035220829</v>
      </c>
    </row>
    <row r="120" spans="5:6" x14ac:dyDescent="0.2">
      <c r="E120" s="22">
        <f>'Warning Criteria'!$G$32+'Warning Criteria'!$H$32*('Warning Criteria'!C39-1)</f>
        <v>15</v>
      </c>
      <c r="F120" s="24">
        <v>17805.975007111017</v>
      </c>
    </row>
    <row r="139" spans="3:6" ht="21" x14ac:dyDescent="0.25">
      <c r="C139" s="97" t="s">
        <v>17</v>
      </c>
    </row>
    <row r="140" spans="3:6" x14ac:dyDescent="0.2">
      <c r="E140" s="19" t="s">
        <v>50</v>
      </c>
      <c r="F140" s="19" t="s">
        <v>198</v>
      </c>
    </row>
    <row r="141" spans="3:6" x14ac:dyDescent="0.2">
      <c r="E141" s="46">
        <f>IF(Sensitivity!E139="",Data!H10,Sensitivity!E139)</f>
        <v>540000</v>
      </c>
      <c r="F141" s="45">
        <f>Results!C16</f>
        <v>17805.975007111017</v>
      </c>
    </row>
    <row r="142" spans="3:6" x14ac:dyDescent="0.2">
      <c r="E142" s="37">
        <f>('Warning Criteria'!$G$33+'Warning Criteria'!$H$33*('Warning Criteria'!C31-1))*'Warning Criteria'!$J$42</f>
        <v>240000</v>
      </c>
      <c r="F142" s="37">
        <f t="dataTable" ref="F142:F151" dt2D="0" dtr="0" r1="E139" ca="1"/>
        <v>38100.538250613077</v>
      </c>
    </row>
    <row r="143" spans="3:6" x14ac:dyDescent="0.2">
      <c r="E143" s="37">
        <f>('Warning Criteria'!$G$33+'Warning Criteria'!$H$33*('Warning Criteria'!C32-1))*'Warning Criteria'!$J$42</f>
        <v>300000</v>
      </c>
      <c r="F143" s="37">
        <v>34041.625601912674</v>
      </c>
    </row>
    <row r="144" spans="3:6" x14ac:dyDescent="0.2">
      <c r="E144" s="37">
        <f>('Warning Criteria'!$G$33+'Warning Criteria'!$H$33*('Warning Criteria'!C33-1))*'Warning Criteria'!$J$42</f>
        <v>360000</v>
      </c>
      <c r="F144" s="37">
        <v>29982.71295321226</v>
      </c>
    </row>
    <row r="145" spans="5:6" x14ac:dyDescent="0.2">
      <c r="E145" s="37">
        <f>('Warning Criteria'!$G$33+'Warning Criteria'!$H$33*('Warning Criteria'!C34-1))*'Warning Criteria'!$J$42</f>
        <v>420000</v>
      </c>
      <c r="F145" s="37">
        <v>25923.800304511864</v>
      </c>
    </row>
    <row r="146" spans="5:6" x14ac:dyDescent="0.2">
      <c r="E146" s="37">
        <f>('Warning Criteria'!$G$33+'Warning Criteria'!$H$33*('Warning Criteria'!C35-1))*'Warning Criteria'!$J$42</f>
        <v>480000</v>
      </c>
      <c r="F146" s="37">
        <v>21864.887655811424</v>
      </c>
    </row>
    <row r="147" spans="5:6" x14ac:dyDescent="0.2">
      <c r="E147" s="37">
        <f>('Warning Criteria'!$G$33+'Warning Criteria'!$H$33*('Warning Criteria'!C36-1))*'Warning Criteria'!$J$42</f>
        <v>540000</v>
      </c>
      <c r="F147" s="37">
        <v>17805.975007111017</v>
      </c>
    </row>
    <row r="148" spans="5:6" x14ac:dyDescent="0.2">
      <c r="E148" s="37">
        <f>('Warning Criteria'!$G$33+'Warning Criteria'!$H$33*('Warning Criteria'!C37-1))*'Warning Criteria'!$J$42</f>
        <v>600000</v>
      </c>
      <c r="F148" s="37">
        <v>13747.062358410605</v>
      </c>
    </row>
    <row r="149" spans="5:6" x14ac:dyDescent="0.2">
      <c r="E149" s="37">
        <f>('Warning Criteria'!$G$33+'Warning Criteria'!$H$33*('Warning Criteria'!C38-1))*'Warning Criteria'!$J$42</f>
        <v>660000</v>
      </c>
      <c r="F149" s="37">
        <v>9688.1497097101819</v>
      </c>
    </row>
    <row r="150" spans="5:6" x14ac:dyDescent="0.2">
      <c r="E150" s="37">
        <f>('Warning Criteria'!$G$33+'Warning Criteria'!$H$33*('Warning Criteria'!C39-1))*'Warning Criteria'!$J$42</f>
        <v>720000</v>
      </c>
      <c r="F150" s="37">
        <v>5629.2370610097887</v>
      </c>
    </row>
    <row r="151" spans="5:6" x14ac:dyDescent="0.2">
      <c r="E151" s="37">
        <f>('Warning Criteria'!$G$33+'Warning Criteria'!$H$33*('Warning Criteria'!C40-1))*'Warning Criteria'!$J$42</f>
        <v>780000</v>
      </c>
      <c r="F151" s="37">
        <v>1570.3244123093598</v>
      </c>
    </row>
    <row r="169" spans="3:6" ht="21" x14ac:dyDescent="0.25">
      <c r="C169" s="97" t="s">
        <v>20</v>
      </c>
    </row>
    <row r="170" spans="3:6" x14ac:dyDescent="0.2">
      <c r="E170" s="19" t="s">
        <v>51</v>
      </c>
      <c r="F170" s="19" t="s">
        <v>198</v>
      </c>
    </row>
    <row r="171" spans="3:6" x14ac:dyDescent="0.2">
      <c r="E171" s="46">
        <f>IF(Sensitivity!E169="",Data!H11,Sensitivity!E169)</f>
        <v>1260000</v>
      </c>
      <c r="F171" s="45">
        <f>Results!C16</f>
        <v>17805.975007111017</v>
      </c>
    </row>
    <row r="172" spans="3:6" x14ac:dyDescent="0.2">
      <c r="E172" s="37">
        <f>('Warning Criteria'!$G$34+'Warning Criteria'!$H$34*('Warning Criteria'!C31-1))*'Warning Criteria'!$J$42</f>
        <v>0</v>
      </c>
      <c r="F172" s="37">
        <f t="dataTable" ref="F172:F183" dt2D="0" dtr="0" r1="E169" ca="1"/>
        <v>71186.630422037881</v>
      </c>
    </row>
    <row r="173" spans="3:6" x14ac:dyDescent="0.2">
      <c r="E173" s="37">
        <f>('Warning Criteria'!$G$34+'Warning Criteria'!$H$34*('Warning Criteria'!C32-1))*'Warning Criteria'!$J$42</f>
        <v>240000</v>
      </c>
      <c r="F173" s="37">
        <v>61018.88653348037</v>
      </c>
    </row>
    <row r="174" spans="3:6" x14ac:dyDescent="0.2">
      <c r="E174" s="37">
        <f>('Warning Criteria'!$G$34+'Warning Criteria'!$H$34*('Warning Criteria'!C33-1))*'Warning Criteria'!$J$42</f>
        <v>480000</v>
      </c>
      <c r="F174" s="37">
        <v>50851.142644922875</v>
      </c>
    </row>
    <row r="175" spans="3:6" x14ac:dyDescent="0.2">
      <c r="E175" s="37">
        <f>('Warning Criteria'!$G$34+'Warning Criteria'!$H$34*('Warning Criteria'!C34-1))*'Warning Criteria'!$J$42</f>
        <v>720000</v>
      </c>
      <c r="F175" s="37">
        <v>40683.398756365386</v>
      </c>
    </row>
    <row r="176" spans="3:6" x14ac:dyDescent="0.2">
      <c r="E176" s="37">
        <f>('Warning Criteria'!$G$34+'Warning Criteria'!$H$34*('Warning Criteria'!C35-1))*'Warning Criteria'!$J$42</f>
        <v>960000</v>
      </c>
      <c r="F176" s="37">
        <v>30515.654867807876</v>
      </c>
    </row>
    <row r="177" spans="5:6" x14ac:dyDescent="0.2">
      <c r="E177" s="37">
        <f>('Warning Criteria'!$G$34+'Warning Criteria'!$H$34*('Warning Criteria'!C36-1))*'Warning Criteria'!$J$42</f>
        <v>1200000</v>
      </c>
      <c r="F177" s="37">
        <v>20347.910979250406</v>
      </c>
    </row>
    <row r="178" spans="5:6" x14ac:dyDescent="0.2">
      <c r="E178" s="37">
        <f>('Warning Criteria'!$G$34+'Warning Criteria'!$H$34*('Warning Criteria'!C37-1))*'Warning Criteria'!$J$42</f>
        <v>1440000</v>
      </c>
      <c r="F178" s="37">
        <v>10180.167090692907</v>
      </c>
    </row>
    <row r="179" spans="5:6" x14ac:dyDescent="0.2">
      <c r="E179" s="37">
        <f>('Warning Criteria'!$G$34+'Warning Criteria'!$H$34*('Warning Criteria'!C38-1))*'Warning Criteria'!$J$42</f>
        <v>1680000</v>
      </c>
      <c r="F179" s="37">
        <v>12.423202135422031</v>
      </c>
    </row>
    <row r="180" spans="5:6" x14ac:dyDescent="0.2">
      <c r="E180" s="37">
        <f>('Warning Criteria'!$G$34+'Warning Criteria'!$H$34*('Warning Criteria'!C39-1))*'Warning Criteria'!$J$42</f>
        <v>1920000</v>
      </c>
      <c r="F180" s="37">
        <v>-10155.320686422072</v>
      </c>
    </row>
    <row r="181" spans="5:6" x14ac:dyDescent="0.2">
      <c r="E181" s="37">
        <f>('Warning Criteria'!$G$34+'Warning Criteria'!$H$34*('Warning Criteria'!C40-1))*'Warning Criteria'!$J$42</f>
        <v>2160000</v>
      </c>
      <c r="F181" s="37">
        <v>-20323.064574979573</v>
      </c>
    </row>
    <row r="182" spans="5:6" x14ac:dyDescent="0.2">
      <c r="E182" s="37">
        <f>('Warning Criteria'!$G$34+'Warning Criteria'!$H$34*('Warning Criteria'!C41-1))*'Warning Criteria'!$J$42</f>
        <v>2400000</v>
      </c>
      <c r="F182" s="37">
        <v>-30490.808463537047</v>
      </c>
    </row>
    <row r="183" spans="5:6" x14ac:dyDescent="0.2">
      <c r="E183" s="37">
        <f>('Warning Criteria'!$G$34+'Warning Criteria'!$H$34*('Warning Criteria'!C42-1))*'Warning Criteria'!$J$42</f>
        <v>2640000</v>
      </c>
      <c r="F183" s="37">
        <v>-40658.552352094535</v>
      </c>
    </row>
    <row r="199" spans="3:6" ht="21" x14ac:dyDescent="0.25">
      <c r="C199" s="97" t="s">
        <v>293</v>
      </c>
    </row>
    <row r="200" spans="3:6" x14ac:dyDescent="0.2">
      <c r="E200" s="19" t="s">
        <v>298</v>
      </c>
      <c r="F200" s="19" t="s">
        <v>52</v>
      </c>
    </row>
    <row r="201" spans="3:6" x14ac:dyDescent="0.2">
      <c r="E201" s="46">
        <f>IF(Sensitivity!E199="",Data!H13,Sensitivity!E199)</f>
        <v>15000</v>
      </c>
      <c r="F201" s="45">
        <f>Results!C16</f>
        <v>17805.975007111017</v>
      </c>
    </row>
    <row r="202" spans="3:6" x14ac:dyDescent="0.2">
      <c r="E202" s="37">
        <f>('Warning Criteria'!$G$35+'Warning Criteria'!$H$35*('Warning Criteria'!C31-1))*'Warning Criteria'!$J$42</f>
        <v>0</v>
      </c>
      <c r="F202" s="37">
        <f t="dataTable" ref="F202:F208" dt2D="0" dtr="0" r1="E199" ca="1"/>
        <v>29935.840947234101</v>
      </c>
    </row>
    <row r="203" spans="3:6" x14ac:dyDescent="0.2">
      <c r="E203" s="37">
        <f>('Warning Criteria'!$G$35+'Warning Criteria'!$H$35*('Warning Criteria'!C32-1))*'Warning Criteria'!$J$42</f>
        <v>6000</v>
      </c>
      <c r="F203" s="37">
        <v>25083.894571184861</v>
      </c>
    </row>
    <row r="204" spans="3:6" x14ac:dyDescent="0.2">
      <c r="E204" s="37">
        <f>('Warning Criteria'!$G$35+'Warning Criteria'!$H$35*('Warning Criteria'!C33-1))*'Warning Criteria'!$J$42</f>
        <v>12000</v>
      </c>
      <c r="F204" s="37">
        <v>20231.948195135636</v>
      </c>
    </row>
    <row r="205" spans="3:6" x14ac:dyDescent="0.2">
      <c r="E205" s="37">
        <f>('Warning Criteria'!$G$35+'Warning Criteria'!$H$35*('Warning Criteria'!C34-1))*'Warning Criteria'!$J$42</f>
        <v>18000</v>
      </c>
      <c r="F205" s="37">
        <v>15380.001819086399</v>
      </c>
    </row>
    <row r="206" spans="3:6" x14ac:dyDescent="0.2">
      <c r="E206" s="37">
        <f>('Warning Criteria'!$G$35+'Warning Criteria'!$H$35*('Warning Criteria'!C35-1))*'Warning Criteria'!$J$42</f>
        <v>24000</v>
      </c>
      <c r="F206" s="37">
        <v>10528.05544303717</v>
      </c>
    </row>
    <row r="207" spans="3:6" x14ac:dyDescent="0.2">
      <c r="E207" s="37">
        <f>('Warning Criteria'!$G$35+'Warning Criteria'!$H$35*('Warning Criteria'!C36-1))*'Warning Criteria'!$J$42</f>
        <v>30000</v>
      </c>
      <c r="F207" s="37">
        <v>5676.1090669879413</v>
      </c>
    </row>
    <row r="208" spans="3:6" x14ac:dyDescent="0.2">
      <c r="E208" s="37">
        <f>('Warning Criteria'!$G$35+'Warning Criteria'!$H$35*('Warning Criteria'!C37-1))*'Warning Criteria'!$J$42</f>
        <v>36000</v>
      </c>
      <c r="F208" s="37">
        <v>824.16269093871779</v>
      </c>
    </row>
  </sheetData>
  <mergeCells count="2">
    <mergeCell ref="B10:F10"/>
    <mergeCell ref="B2:G2"/>
  </mergeCells>
  <conditionalFormatting sqref="B13:C24">
    <cfRule type="containsErrors" dxfId="0" priority="1">
      <formula>ISERROR(B13)</formula>
    </cfRule>
  </conditionalFormatting>
  <dataValidations count="1">
    <dataValidation type="list" allowBlank="1" showInputMessage="1" showErrorMessage="1" sqref="B10" xr:uid="{00000000-0002-0000-0300-000000000000}">
      <formula1>$B$41:$B$46</formula1>
    </dataValidation>
  </dataValidations>
  <hyperlinks>
    <hyperlink ref="B42" location="Projected_milking_chore_labor" display="2. Projected milking &amp; chore labor (hours/day)" xr:uid="{00000000-0004-0000-0300-000000000000}"/>
    <hyperlink ref="B43" location="Lifespan" display="3. Lifespan (years)" xr:uid="{00000000-0004-0000-0300-000001000000}"/>
    <hyperlink ref="B44" location="Total_cost_of_milking_system" display="4. Total cost of milking system ($)" xr:uid="{00000000-0004-0000-0300-000002000000}"/>
    <hyperlink ref="B45" location="Total_barn_cost" display="5. Total barn cost ($)" xr:uid="{00000000-0004-0000-0300-000003000000}"/>
    <hyperlink ref="B46" location="Additional_repair_cost" display="6. Additional repair cost ($)" xr:uid="{00000000-0004-0000-0300-000004000000}"/>
    <hyperlink ref="B41:F41" location="projected_milk_production" display="1. Projected milk production (lb/cow/day)" xr:uid="{00000000-0004-0000-0300-000005000000}"/>
    <hyperlink ref="B41" location="projected_milk_production" display="1. Projected milk production (lb/cow/day)" xr:uid="{00000000-0004-0000-0300-000006000000}"/>
  </hyperlinks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AH40"/>
  <sheetViews>
    <sheetView workbookViewId="0"/>
  </sheetViews>
  <sheetFormatPr baseColWidth="10" defaultColWidth="11" defaultRowHeight="16" x14ac:dyDescent="0.2"/>
  <cols>
    <col min="2" max="2" width="11" style="17"/>
    <col min="3" max="3" width="12.83203125" customWidth="1"/>
    <col min="4" max="5" width="11.33203125" customWidth="1"/>
    <col min="6" max="6" width="11" bestFit="1" customWidth="1"/>
    <col min="7" max="7" width="12.1640625" customWidth="1"/>
    <col min="8" max="8" width="11.5" customWidth="1"/>
    <col min="9" max="9" width="13.33203125" bestFit="1" customWidth="1"/>
    <col min="10" max="10" width="12.5" bestFit="1" customWidth="1"/>
    <col min="11" max="11" width="12" bestFit="1" customWidth="1"/>
    <col min="12" max="12" width="14.83203125" customWidth="1"/>
    <col min="13" max="13" width="12.5" customWidth="1"/>
    <col min="14" max="14" width="12" bestFit="1" customWidth="1"/>
    <col min="15" max="17" width="12" customWidth="1"/>
    <col min="24" max="24" width="12.33203125" customWidth="1"/>
    <col min="25" max="25" width="11.6640625" customWidth="1"/>
    <col min="31" max="31" width="12" bestFit="1" customWidth="1"/>
    <col min="32" max="34" width="12" customWidth="1"/>
  </cols>
  <sheetData>
    <row r="2" spans="2:34" ht="26" x14ac:dyDescent="0.3">
      <c r="B2" s="175" t="s">
        <v>146</v>
      </c>
      <c r="C2" s="175"/>
      <c r="D2" s="175"/>
      <c r="E2" s="175"/>
      <c r="F2" s="175"/>
    </row>
    <row r="3" spans="2:34" ht="17" customHeight="1" x14ac:dyDescent="0.25">
      <c r="B3" s="18"/>
    </row>
    <row r="4" spans="2:34" x14ac:dyDescent="0.2">
      <c r="B4" s="25" t="s">
        <v>30</v>
      </c>
      <c r="S4" s="19" t="s">
        <v>31</v>
      </c>
    </row>
    <row r="5" spans="2:34" x14ac:dyDescent="0.2">
      <c r="C5" s="176" t="s">
        <v>32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4"/>
      <c r="T5" s="176" t="s">
        <v>32</v>
      </c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03"/>
      <c r="AG5" s="106"/>
      <c r="AH5" s="16"/>
    </row>
    <row r="6" spans="2:34" ht="51" x14ac:dyDescent="0.2">
      <c r="B6" s="17" t="s">
        <v>24</v>
      </c>
      <c r="C6" s="112" t="s">
        <v>208</v>
      </c>
      <c r="D6" s="112" t="s">
        <v>227</v>
      </c>
      <c r="E6" s="112" t="s">
        <v>271</v>
      </c>
      <c r="F6" s="3" t="s">
        <v>26</v>
      </c>
      <c r="G6" s="3" t="s">
        <v>28</v>
      </c>
      <c r="H6" s="3" t="s">
        <v>5</v>
      </c>
      <c r="I6" s="3" t="s">
        <v>25</v>
      </c>
      <c r="J6" s="112" t="s">
        <v>209</v>
      </c>
      <c r="K6" s="3" t="s">
        <v>27</v>
      </c>
      <c r="L6" s="3" t="s">
        <v>1</v>
      </c>
      <c r="M6" s="112" t="s">
        <v>203</v>
      </c>
      <c r="N6" s="112" t="s">
        <v>29</v>
      </c>
      <c r="O6" s="3" t="s">
        <v>200</v>
      </c>
      <c r="P6" s="3" t="s">
        <v>202</v>
      </c>
      <c r="Q6" s="3" t="s">
        <v>100</v>
      </c>
      <c r="R6" s="3"/>
      <c r="S6" t="s">
        <v>24</v>
      </c>
      <c r="T6" s="112" t="s">
        <v>208</v>
      </c>
      <c r="U6" s="112" t="s">
        <v>227</v>
      </c>
      <c r="V6" s="112" t="s">
        <v>271</v>
      </c>
      <c r="W6" s="3" t="s">
        <v>26</v>
      </c>
      <c r="X6" s="3" t="s">
        <v>28</v>
      </c>
      <c r="Y6" s="3" t="s">
        <v>5</v>
      </c>
      <c r="Z6" s="3" t="s">
        <v>25</v>
      </c>
      <c r="AA6" s="112" t="s">
        <v>207</v>
      </c>
      <c r="AB6" s="3" t="s">
        <v>27</v>
      </c>
      <c r="AC6" s="3" t="s">
        <v>1</v>
      </c>
      <c r="AD6" s="112" t="s">
        <v>203</v>
      </c>
      <c r="AE6" s="112" t="s">
        <v>29</v>
      </c>
      <c r="AF6" s="3" t="s">
        <v>200</v>
      </c>
      <c r="AG6" s="3" t="s">
        <v>202</v>
      </c>
      <c r="AH6" s="3" t="s">
        <v>100</v>
      </c>
    </row>
    <row r="7" spans="2:34" x14ac:dyDescent="0.2">
      <c r="B7" s="17">
        <v>0</v>
      </c>
      <c r="C7" s="11">
        <v>0</v>
      </c>
      <c r="D7" s="11">
        <v>0</v>
      </c>
      <c r="E7" s="11">
        <v>0</v>
      </c>
      <c r="F7">
        <v>0</v>
      </c>
      <c r="G7">
        <v>0</v>
      </c>
      <c r="H7">
        <v>0</v>
      </c>
      <c r="I7">
        <v>0</v>
      </c>
      <c r="J7" s="11">
        <v>0</v>
      </c>
      <c r="K7">
        <v>0</v>
      </c>
      <c r="L7" s="6">
        <f>IF(B7=Data!$D$32,0,IF(B7=0,-'Revenue Cost'!$H$8*Data!$D$26-'Revenue Cost'!$H$9*Data!$D$26,IF(B7='Revenue Cost'!$H$10,-'Revenue Cost'!$H$8*(1+Data!$D$37)^(B7-1)*Data!$D$26,0)))</f>
        <v>-180000</v>
      </c>
      <c r="M7" s="113">
        <f t="shared" ref="M7:M37" si="0">F7+H7+K7+L7</f>
        <v>-180000</v>
      </c>
      <c r="N7" s="113">
        <f>C7+D7+J7+M7+E7</f>
        <v>-180000</v>
      </c>
      <c r="O7" s="6">
        <f>N7/(1+Data!$H$23)^B7</f>
        <v>-180000</v>
      </c>
      <c r="P7" s="6"/>
      <c r="Q7" s="6"/>
      <c r="R7" s="7"/>
      <c r="S7">
        <v>0</v>
      </c>
      <c r="T7" s="11">
        <v>0</v>
      </c>
      <c r="U7" s="11">
        <v>0</v>
      </c>
      <c r="V7" s="11">
        <v>0</v>
      </c>
      <c r="W7">
        <v>0</v>
      </c>
      <c r="X7">
        <v>0</v>
      </c>
      <c r="Y7">
        <v>0</v>
      </c>
      <c r="Z7">
        <v>0</v>
      </c>
      <c r="AA7" s="11">
        <v>0</v>
      </c>
      <c r="AB7">
        <v>0</v>
      </c>
      <c r="AC7" s="6">
        <f>IF(S7=Data!$D$32,0,IF(S7=0,-Data!$I$10*Data!$D$26-Data!$I$11*Data!$D$26,IF(S7=Data!$I$12,-Data!$I$10*(1+Data!$D$37)^(S7-1)*Data!$D$26,0)))</f>
        <v>-108000</v>
      </c>
      <c r="AD7" s="113">
        <f>W7+Y7+AB7+AC7</f>
        <v>-108000</v>
      </c>
      <c r="AE7" s="113">
        <f>AC7+T7+U7+W7+AB7+Y7+AA7+V7</f>
        <v>-108000</v>
      </c>
      <c r="AF7" s="6">
        <f>AE7/(1+Data!$I$23)^S7</f>
        <v>-108000</v>
      </c>
      <c r="AG7" s="6"/>
      <c r="AH7" s="6"/>
    </row>
    <row r="8" spans="2:34" x14ac:dyDescent="0.2">
      <c r="B8" s="17">
        <v>1</v>
      </c>
      <c r="C8" s="113">
        <f>'Revenue Cost'!N7</f>
        <v>88179.3</v>
      </c>
      <c r="D8" s="113">
        <f>'Revenue Cost'!Q7</f>
        <v>24826.4996997333</v>
      </c>
      <c r="E8" s="113">
        <f xml:space="preserve"> 'Revenue Cost'!U7</f>
        <v>0</v>
      </c>
      <c r="F8" s="6">
        <f>-(Debt!C16+Debt!E16)</f>
        <v>-81000</v>
      </c>
      <c r="G8" s="6">
        <f>IF(Depreciation!$S$9=1,-(Depreciation!C9+Depreciation!D9),-(Depreciation!K9+Depreciation!L9))</f>
        <v>-304714.28571428568</v>
      </c>
      <c r="H8" s="6">
        <f>IF(B8='Revenue Cost'!$H$10,'Revenue Cost'!$H$8*(1+Data!$D$37)^(B8-1)*Data!$D$39,IF(B8=Data!$H$21*'Revenue Cost'!$H$10,'Revenue Cost'!$H$8*(1+Data!$D$37)^(B8-1)*Data!$D$39,0))</f>
        <v>0</v>
      </c>
      <c r="I8" s="6">
        <f>C8+D8+F8+G8+H8+E8</f>
        <v>-272708.48601455241</v>
      </c>
      <c r="J8" s="113">
        <f>-I8*Data!$D$28</f>
        <v>89993.800384802307</v>
      </c>
      <c r="K8" s="6">
        <f>-(Debt!D16+Debt!F16)</f>
        <v>-72934.317307455902</v>
      </c>
      <c r="L8" s="6">
        <f>IF(B8=Data!$D$32,0,IF(B8=0,-'Revenue Cost'!$H$8*Data!$D$26-'Revenue Cost'!$H$9*Data!$D$26,IF(B8='Revenue Cost'!$H$10,-'Revenue Cost'!$H$8*(1+Data!$D$37)^(B8-1)*Data!$D$26,0)))</f>
        <v>0</v>
      </c>
      <c r="M8" s="113">
        <f>F8+H8+K8+L8</f>
        <v>-153934.3173074559</v>
      </c>
      <c r="N8" s="113">
        <f>C8+D8+J8+M8+E8</f>
        <v>49065.282777079701</v>
      </c>
      <c r="O8" s="6">
        <f>N8/(1+Data!$H$23)^B8</f>
        <v>47490.957534801048</v>
      </c>
      <c r="P8" s="6">
        <f>IF(B8&lt;=Data!$H$22,$N$40,0)</f>
        <v>17805.975007111017</v>
      </c>
      <c r="Q8" s="6"/>
      <c r="R8" s="6"/>
      <c r="S8">
        <v>1</v>
      </c>
      <c r="T8" s="113">
        <f>'Revenue Cost'!X7</f>
        <v>67805.100000000006</v>
      </c>
      <c r="U8" s="113">
        <f>'Revenue Cost'!AA7</f>
        <v>-5790.1252251999667</v>
      </c>
      <c r="V8" s="113">
        <f>'Revenue Cost'!AE7</f>
        <v>0</v>
      </c>
      <c r="W8" s="6">
        <f>-(Debt!I16+Debt!K16)</f>
        <v>-48600</v>
      </c>
      <c r="X8" s="6">
        <f>IF(Depreciation!$S$9=1,-(Depreciation!G9+Depreciation!H9),-(Depreciation!O9+Depreciation!P9))</f>
        <v>-196714.28571428571</v>
      </c>
      <c r="Y8" s="6">
        <f>IF(S8=Data!$I$12,Data!$I$10*(1+Data!$D$37)^(S8-1)*Data!$D$39,IF(S8=Data!$I$21*Data!$I$12,Data!$I$10*(1+Data!$D$37)^(S8-1)*Data!$D$39,0))</f>
        <v>0</v>
      </c>
      <c r="Z8" s="6">
        <f>T8+U8+W8+X8+Y8+V8</f>
        <v>-183299.31093948567</v>
      </c>
      <c r="AA8" s="113">
        <f>-Z8*Data!$D$28</f>
        <v>60488.772610030275</v>
      </c>
      <c r="AB8" s="6">
        <f>-(Debt!J16+Debt!L16)</f>
        <v>-53337.120807887921</v>
      </c>
      <c r="AC8" s="6">
        <f>IF(S8&gt;=Data!$D$32,0,IF(S8=0,-Data!$I$10*Data!$D$26-Data!$I$11*Data!$D$26,IF(S8=Data!$I$12,-Data!$I$10*(1+Data!$D$37)^(S8-1)*Data!$D$26,0)))</f>
        <v>0</v>
      </c>
      <c r="AD8" s="113">
        <f>W8+Y8+AB8+AC8</f>
        <v>-101937.12080788793</v>
      </c>
      <c r="AE8" s="113">
        <f>T8+U8+AA8+V8+AD8</f>
        <v>20566.626576942392</v>
      </c>
      <c r="AF8" s="6">
        <f>AE8/(1+Data!$I$23)^S8</f>
        <v>19906.718847159067</v>
      </c>
      <c r="AG8" s="6">
        <f>IF(S8&lt;=Data!$I$22,$AE$40,0)</f>
        <v>5847.6208326920741</v>
      </c>
      <c r="AH8" s="6"/>
    </row>
    <row r="9" spans="2:34" x14ac:dyDescent="0.2">
      <c r="B9" s="17">
        <v>2</v>
      </c>
      <c r="C9" s="113">
        <f>'Revenue Cost'!N8</f>
        <v>88620.196499999976</v>
      </c>
      <c r="D9" s="113">
        <f>'Revenue Cost'!Q8</f>
        <v>25280.732198231974</v>
      </c>
      <c r="E9" s="113">
        <f xml:space="preserve"> 'Revenue Cost'!U8</f>
        <v>0</v>
      </c>
      <c r="F9" s="6">
        <f>-(Debt!C17+Debt!E17)</f>
        <v>-77353.284134627203</v>
      </c>
      <c r="G9" s="6">
        <f>IF(Depreciation!$S$9=1,-(Depreciation!C10+Depreciation!D10),-(Depreciation!K10+Depreciation!L10))</f>
        <v>-251568.36734693876</v>
      </c>
      <c r="H9" s="6">
        <f>IF(B9='Revenue Cost'!$H$10,'Revenue Cost'!$H$8*(1+Data!$D$37)^(B9-1)*Data!$D$39,IF(B9=Data!$H$21*'Revenue Cost'!$H$10,'Revenue Cost'!$H$8*(1+Data!$D$37)^(B9-1)*Data!$D$39,0))</f>
        <v>0</v>
      </c>
      <c r="I9" s="6">
        <f t="shared" ref="I9:I37" si="1">C9+D9+F9+G9+H9+E9</f>
        <v>-215020.72278333403</v>
      </c>
      <c r="J9" s="113">
        <f>-I9*Data!$D$28</f>
        <v>70956.838518500226</v>
      </c>
      <c r="K9" s="6">
        <f>-(Debt!D17+Debt!F17)</f>
        <v>-76581.033172828698</v>
      </c>
      <c r="L9" s="6">
        <f>IF(B9=Data!$D$32,0,IF(B9=0,-'Revenue Cost'!$H$8*Data!$D$26-'Revenue Cost'!$H$9*Data!$D$26,IF(B9='Revenue Cost'!$H$10,-'Revenue Cost'!$H$8*(1+Data!$D$37)^(B9-1)*Data!$D$26,0)))</f>
        <v>0</v>
      </c>
      <c r="M9" s="113">
        <f t="shared" si="0"/>
        <v>-153934.3173074559</v>
      </c>
      <c r="N9" s="113">
        <f t="shared" ref="N9:N37" si="2">C9+D9+J9+M9+E9</f>
        <v>30923.449909276271</v>
      </c>
      <c r="O9" s="6">
        <f>N9/(1+Data!$H$23)^B9</f>
        <v>28970.846098335151</v>
      </c>
      <c r="P9" s="6">
        <f>IF(B9&lt;=Data!$H$22,$N$40,0)</f>
        <v>17805.975007111017</v>
      </c>
      <c r="Q9" s="6">
        <f t="shared" ref="Q9:Q37" si="3">SUM(N7:N9)</f>
        <v>-100011.26731364403</v>
      </c>
      <c r="R9" s="6"/>
      <c r="S9">
        <v>2</v>
      </c>
      <c r="T9" s="113">
        <f>'Revenue Cost'!X8</f>
        <v>68144.12549999998</v>
      </c>
      <c r="U9" s="113">
        <f>'Revenue Cost'!AA8</f>
        <v>-5625.5958513259648</v>
      </c>
      <c r="V9" s="113">
        <f>'Revenue Cost'!AE8</f>
        <v>0</v>
      </c>
      <c r="W9" s="6">
        <f>-(Debt!I17+Debt!K17)</f>
        <v>-45933.143959605601</v>
      </c>
      <c r="X9" s="6">
        <f>IF(Depreciation!$S$9=1,-(Depreciation!G10+Depreciation!H10),-(Depreciation!O10+Depreciation!P10))</f>
        <v>-159768.36734693876</v>
      </c>
      <c r="Y9" s="6">
        <f>IF(S9=Data!$I$12,Data!$I$10*(1+Data!$D$37)^(S9-1)*Data!$D$39,IF(S9=Data!$I$21*Data!$I$12,Data!$I$10*(1+Data!$D$37)^(S9-1)*Data!$D$39,0))</f>
        <v>0</v>
      </c>
      <c r="Z9" s="6">
        <f t="shared" ref="Z9:Z37" si="4">T9+U9+W9+X9+Y9+V9</f>
        <v>-143182.98165787035</v>
      </c>
      <c r="AA9" s="113">
        <f>-Z9*Data!$D$28</f>
        <v>47250.383947097216</v>
      </c>
      <c r="AB9" s="6">
        <f>-(Debt!J17+Debt!L17)</f>
        <v>-56003.97684828232</v>
      </c>
      <c r="AC9" s="6">
        <f>IF(S9&gt;=Data!$D$32,0,IF(S9=0,-Data!$I$10*Data!$D$26-Data!$I$11*Data!$D$26,IF(S9=Data!$I$12,-Data!$I$10*(1+Data!$D$37)^(S9-1)*Data!$D$26,0)))</f>
        <v>0</v>
      </c>
      <c r="AD9" s="113">
        <f t="shared" ref="AD9:AD37" si="5">W9+Y9+AB9+AC9</f>
        <v>-101937.12080788793</v>
      </c>
      <c r="AE9" s="113">
        <f t="shared" ref="AE9:AE37" si="6">T9+U9+AA9+V9+AD9</f>
        <v>7831.7927878832998</v>
      </c>
      <c r="AF9" s="6">
        <f>AE9/(1+Data!$I$23)^S9</f>
        <v>7337.2687781435343</v>
      </c>
      <c r="AG9" s="6">
        <f>IF(S9&lt;=Data!$I$22,$AE$40,0)</f>
        <v>5847.6208326920741</v>
      </c>
      <c r="AH9" s="6">
        <f>SUM(AE7:AE9)</f>
        <v>-79601.580635174309</v>
      </c>
    </row>
    <row r="10" spans="2:34" x14ac:dyDescent="0.2">
      <c r="B10" s="17">
        <v>3</v>
      </c>
      <c r="C10" s="113">
        <f>'Revenue Cost'!N9</f>
        <v>89063.297482499984</v>
      </c>
      <c r="D10" s="113">
        <f>'Revenue Cost'!Q9</f>
        <v>25751.68165922313</v>
      </c>
      <c r="E10" s="113">
        <f xml:space="preserve"> 'Revenue Cost'!U9</f>
        <v>0</v>
      </c>
      <c r="F10" s="6">
        <f>-(Debt!C18+Debt!E18)</f>
        <v>-73524.232475985773</v>
      </c>
      <c r="G10" s="6">
        <f>IF(Depreciation!$S$9=1,-(Depreciation!C11+Depreciation!D11),-(Depreciation!K11+Depreciation!L11))</f>
        <v>-207988.36005830904</v>
      </c>
      <c r="H10" s="6">
        <f>IF(B10='Revenue Cost'!$H$10,'Revenue Cost'!$H$8*(1+Data!$D$37)^(B10-1)*Data!$D$39,IF(B10=Data!$H$21*'Revenue Cost'!$H$10,'Revenue Cost'!$H$8*(1+Data!$D$37)^(B10-1)*Data!$D$39,0))</f>
        <v>0</v>
      </c>
      <c r="I10" s="6">
        <f t="shared" si="1"/>
        <v>-166697.61339257169</v>
      </c>
      <c r="J10" s="113">
        <f>-I10*Data!$D$28</f>
        <v>55010.212419548661</v>
      </c>
      <c r="K10" s="6">
        <f>-(Debt!D18+Debt!F18)</f>
        <v>-80410.084831470129</v>
      </c>
      <c r="L10" s="6">
        <f>IF(B10=Data!$D$32,0,IF(B10=0,-'Revenue Cost'!$H$8*Data!$D$26-'Revenue Cost'!$H$9*Data!$D$26,IF(B10='Revenue Cost'!$H$10,-'Revenue Cost'!$H$8*(1+Data!$D$37)^(B10-1)*Data!$D$26,0)))</f>
        <v>0</v>
      </c>
      <c r="M10" s="113">
        <f t="shared" si="0"/>
        <v>-153934.3173074559</v>
      </c>
      <c r="N10" s="113">
        <f t="shared" si="2"/>
        <v>15890.874253815884</v>
      </c>
      <c r="O10" s="6">
        <f>N10/(1+Data!$H$23)^B10</f>
        <v>14409.789975221602</v>
      </c>
      <c r="P10" s="6">
        <f>IF(B10&lt;=Data!$H$22,$N$40,0)</f>
        <v>17805.975007111017</v>
      </c>
      <c r="Q10" s="6">
        <f t="shared" si="3"/>
        <v>95879.606940171856</v>
      </c>
      <c r="R10" s="6"/>
      <c r="S10">
        <v>3</v>
      </c>
      <c r="T10" s="113">
        <f>'Revenue Cost'!X9</f>
        <v>68484.846127499972</v>
      </c>
      <c r="U10" s="113">
        <f>'Revenue Cost'!AA9</f>
        <v>-5454.7223905825922</v>
      </c>
      <c r="V10" s="113">
        <f>'Revenue Cost'!AE9</f>
        <v>0</v>
      </c>
      <c r="W10" s="6">
        <f>-(Debt!I18+Debt!K18)</f>
        <v>-43132.945117191484</v>
      </c>
      <c r="X10" s="6">
        <f>IF(Depreciation!$S$9=1,-(Depreciation!G11+Depreciation!H11),-(Depreciation!O11+Depreciation!P11))</f>
        <v>-129958.36005830904</v>
      </c>
      <c r="Y10" s="6">
        <f>IF(S10=Data!$I$12,Data!$I$10*(1+Data!$D$37)^(S10-1)*Data!$D$39,IF(S10=Data!$I$21*Data!$I$12,Data!$I$10*(1+Data!$D$37)^(S10-1)*Data!$D$39,0))</f>
        <v>0</v>
      </c>
      <c r="Z10" s="6">
        <f t="shared" si="4"/>
        <v>-110061.18143858315</v>
      </c>
      <c r="AA10" s="113">
        <f>-Z10*Data!$D$28</f>
        <v>36320.189874732445</v>
      </c>
      <c r="AB10" s="6">
        <f>-(Debt!J18+Debt!L18)</f>
        <v>-58804.175690696437</v>
      </c>
      <c r="AC10" s="6">
        <f>IF(S10&gt;=Data!$D$32,0,IF(S10=0,-Data!$I$10*Data!$D$26-Data!$I$11*Data!$D$26,IF(S10=Data!$I$12,-Data!$I$10*(1+Data!$D$37)^(S10-1)*Data!$D$26,0)))</f>
        <v>0</v>
      </c>
      <c r="AD10" s="113">
        <f t="shared" si="5"/>
        <v>-101937.12080788793</v>
      </c>
      <c r="AE10" s="113">
        <f t="shared" si="6"/>
        <v>-2586.8071962381073</v>
      </c>
      <c r="AF10" s="6">
        <f>AE10/(1+Data!$I$23)^S10</f>
        <v>-2345.7078451949883</v>
      </c>
      <c r="AG10" s="6">
        <f>IF(S10&lt;=Data!$I$22,$AE$40,0)</f>
        <v>5847.6208326920741</v>
      </c>
      <c r="AH10" s="6">
        <f t="shared" ref="AH10:AH37" si="7">SUM(AE8:AE10)</f>
        <v>25811.612168587584</v>
      </c>
    </row>
    <row r="11" spans="2:34" x14ac:dyDescent="0.2">
      <c r="B11" s="17">
        <v>4</v>
      </c>
      <c r="C11" s="113">
        <f>'Revenue Cost'!N10</f>
        <v>89508.613969912461</v>
      </c>
      <c r="D11" s="113">
        <f>'Revenue Cost'!Q10</f>
        <v>26240.046144919255</v>
      </c>
      <c r="E11" s="113">
        <f xml:space="preserve"> 'Revenue Cost'!U10</f>
        <v>0</v>
      </c>
      <c r="F11" s="6">
        <f>-(Debt!C19+Debt!E19)</f>
        <v>-69503.728234412265</v>
      </c>
      <c r="G11" s="6">
        <f>IF(Depreciation!$S$9=1,-(Depreciation!C12+Depreciation!D12),-(Depreciation!K12+Depreciation!L12))</f>
        <v>-181552.49672011664</v>
      </c>
      <c r="H11" s="6">
        <f>IF(B11='Revenue Cost'!$H$10,'Revenue Cost'!$H$8*(1+Data!$D$37)^(B11-1)*Data!$D$39,IF(B11=Data!$H$21*'Revenue Cost'!$H$10,'Revenue Cost'!$H$8*(1+Data!$D$37)^(B11-1)*Data!$D$39,0))</f>
        <v>0</v>
      </c>
      <c r="I11" s="6">
        <f t="shared" si="1"/>
        <v>-135307.56483969721</v>
      </c>
      <c r="J11" s="113">
        <f>-I11*Data!$D$28</f>
        <v>44651.496397100083</v>
      </c>
      <c r="K11" s="6">
        <f>-(Debt!D19+Debt!F19)</f>
        <v>-84430.589073043637</v>
      </c>
      <c r="L11" s="6">
        <f>IF(B11=Data!$D$32,0,IF(B11=0,-'Revenue Cost'!$H$8*Data!$D$26-'Revenue Cost'!$H$9*Data!$D$26,IF(B11='Revenue Cost'!$H$10,-'Revenue Cost'!$H$8*(1+Data!$D$37)^(B11-1)*Data!$D$26,0)))</f>
        <v>0</v>
      </c>
      <c r="M11" s="113">
        <f t="shared" si="0"/>
        <v>-153934.3173074559</v>
      </c>
      <c r="N11" s="113">
        <f t="shared" si="2"/>
        <v>6465.8392044758948</v>
      </c>
      <c r="O11" s="6">
        <f>N11/(1+Data!$H$23)^B11</f>
        <v>5675.0720551704526</v>
      </c>
      <c r="P11" s="6">
        <f>IF(B11&lt;=Data!$H$22,$N$40,0)</f>
        <v>17805.975007111017</v>
      </c>
      <c r="Q11" s="6">
        <f t="shared" si="3"/>
        <v>53280.16336756805</v>
      </c>
      <c r="R11" s="6"/>
      <c r="S11">
        <v>4</v>
      </c>
      <c r="T11" s="113">
        <f>'Revenue Cost'!X10</f>
        <v>68827.270358137466</v>
      </c>
      <c r="U11" s="113">
        <f>'Revenue Cost'!AA10</f>
        <v>-5277.3169622155056</v>
      </c>
      <c r="V11" s="113">
        <f>'Revenue Cost'!AE10</f>
        <v>0</v>
      </c>
      <c r="W11" s="6">
        <f>-(Debt!I19+Debt!K19)</f>
        <v>-40192.736332656663</v>
      </c>
      <c r="X11" s="6">
        <f>IF(Depreciation!$S$9=1,-(Depreciation!G12+Depreciation!H12),-(Depreciation!O12+Depreciation!P12))</f>
        <v>-115226.99672011663</v>
      </c>
      <c r="Y11" s="6">
        <f>IF(S11=Data!$I$12,Data!$I$10*(1+Data!$D$37)^(S11-1)*Data!$D$39,IF(S11=Data!$I$21*Data!$I$12,Data!$I$10*(1+Data!$D$37)^(S11-1)*Data!$D$39,0))</f>
        <v>0</v>
      </c>
      <c r="Z11" s="6">
        <f t="shared" si="4"/>
        <v>-91869.779656851329</v>
      </c>
      <c r="AA11" s="113">
        <f>-Z11*Data!$D$28</f>
        <v>30317.027286760942</v>
      </c>
      <c r="AB11" s="6">
        <f>-(Debt!J19+Debt!L19)</f>
        <v>-61744.384475231258</v>
      </c>
      <c r="AC11" s="6">
        <f>IF(S11&gt;=Data!$D$32,0,IF(S11=0,-Data!$I$10*Data!$D$26-Data!$I$11*Data!$D$26,IF(S11=Data!$I$12,-Data!$I$10*(1+Data!$D$37)^(S11-1)*Data!$D$26,0)))</f>
        <v>0</v>
      </c>
      <c r="AD11" s="113">
        <f t="shared" si="5"/>
        <v>-101937.12080788793</v>
      </c>
      <c r="AE11" s="113">
        <f t="shared" si="6"/>
        <v>-8070.1401252050273</v>
      </c>
      <c r="AF11" s="6">
        <f>AE11/(1+Data!$I$23)^S11</f>
        <v>-7083.1682102699542</v>
      </c>
      <c r="AG11" s="6">
        <f>IF(S11&lt;=Data!$I$22,$AE$40,0)</f>
        <v>5847.6208326920741</v>
      </c>
      <c r="AH11" s="6">
        <f t="shared" si="7"/>
        <v>-2825.1545335598348</v>
      </c>
    </row>
    <row r="12" spans="2:34" x14ac:dyDescent="0.2">
      <c r="B12" s="17">
        <v>5</v>
      </c>
      <c r="C12" s="113">
        <f>'Revenue Cost'!N11</f>
        <v>89956.157039761994</v>
      </c>
      <c r="D12" s="113">
        <f>'Revenue Cost'!Q11</f>
        <v>26746.54954238607</v>
      </c>
      <c r="E12" s="113">
        <f xml:space="preserve"> 'Revenue Cost'!U11</f>
        <v>0</v>
      </c>
      <c r="F12" s="6">
        <f>-(Debt!C20+Debt!E20)</f>
        <v>-65282.198780760082</v>
      </c>
      <c r="G12" s="6">
        <f>IF(Depreciation!$S$9=1,-(Depreciation!C13+Depreciation!D13),-(Depreciation!K13+Depreciation!L13))</f>
        <v>-175104.18422011664</v>
      </c>
      <c r="H12" s="6">
        <f>IF(B12='Revenue Cost'!$H$10,'Revenue Cost'!$H$8*(1+Data!$D$37)^(B12-1)*Data!$D$39,IF(B12=Data!$H$21*'Revenue Cost'!$H$10,'Revenue Cost'!$H$8*(1+Data!$D$37)^(B12-1)*Data!$D$39,0))</f>
        <v>0</v>
      </c>
      <c r="I12" s="6">
        <f t="shared" si="1"/>
        <v>-123683.67641872866</v>
      </c>
      <c r="J12" s="113">
        <f>-I12*Data!$D$28</f>
        <v>40815.613218180457</v>
      </c>
      <c r="K12" s="6">
        <f>-(Debt!D20+Debt!F20)</f>
        <v>-88652.11852669582</v>
      </c>
      <c r="L12" s="6">
        <f>IF(B12=Data!$D$32,0,IF(B12=0,-'Revenue Cost'!$H$8*Data!$D$26-'Revenue Cost'!$H$9*Data!$D$26,IF(B12='Revenue Cost'!$H$10,-'Revenue Cost'!$H$8*(1+Data!$D$37)^(B12-1)*Data!$D$26,0)))</f>
        <v>0</v>
      </c>
      <c r="M12" s="113">
        <f t="shared" si="0"/>
        <v>-153934.3173074559</v>
      </c>
      <c r="N12" s="113">
        <f t="shared" si="2"/>
        <v>3584.0024928726198</v>
      </c>
      <c r="O12" s="6">
        <f>N12/(1+Data!$H$23)^B12</f>
        <v>3044.7483437963651</v>
      </c>
      <c r="P12" s="6">
        <f>IF(B12&lt;=Data!$H$22,$N$40,0)</f>
        <v>17805.975007111017</v>
      </c>
      <c r="Q12" s="6">
        <f t="shared" si="3"/>
        <v>25940.715951164399</v>
      </c>
      <c r="R12" s="6"/>
      <c r="S12">
        <v>5</v>
      </c>
      <c r="T12" s="113">
        <f>'Revenue Cost'!X11</f>
        <v>69171.406709928153</v>
      </c>
      <c r="U12" s="113">
        <f>'Revenue Cost'!AA11</f>
        <v>-5093.186350177617</v>
      </c>
      <c r="V12" s="113">
        <f>'Revenue Cost'!AE11</f>
        <v>0</v>
      </c>
      <c r="W12" s="6">
        <f>-(Debt!I20+Debt!K20)</f>
        <v>-37105.517108895103</v>
      </c>
      <c r="X12" s="6">
        <f>IF(Depreciation!$S$9=1,-(Depreciation!G13+Depreciation!H13),-(Depreciation!O13+Depreciation!P13))</f>
        <v>-112463.43422011663</v>
      </c>
      <c r="Y12" s="6">
        <f>IF(S12=Data!$I$12,Data!$I$10*(1+Data!$D$37)^(S12-1)*Data!$D$39,IF(S12=Data!$I$21*Data!$I$12,Data!$I$10*(1+Data!$D$37)^(S12-1)*Data!$D$39,0))</f>
        <v>0</v>
      </c>
      <c r="Z12" s="6">
        <f t="shared" si="4"/>
        <v>-85490.730969261203</v>
      </c>
      <c r="AA12" s="113">
        <f>-Z12*Data!$D$28</f>
        <v>28211.941219856199</v>
      </c>
      <c r="AB12" s="6">
        <f>-(Debt!J20+Debt!L20)</f>
        <v>-64831.603698992825</v>
      </c>
      <c r="AC12" s="6">
        <f>IF(S12&gt;=Data!$D$32,0,IF(S12=0,-Data!$I$10*Data!$D$26-Data!$I$11*Data!$D$26,IF(S12=Data!$I$12,-Data!$I$10*(1+Data!$D$37)^(S12-1)*Data!$D$26,0)))</f>
        <v>0</v>
      </c>
      <c r="AD12" s="113">
        <f t="shared" si="5"/>
        <v>-101937.12080788793</v>
      </c>
      <c r="AE12" s="113">
        <f t="shared" si="6"/>
        <v>-9646.9592282811936</v>
      </c>
      <c r="AF12" s="6">
        <f>AE12/(1+Data!$I$23)^S12</f>
        <v>-8195.4639237535157</v>
      </c>
      <c r="AG12" s="6">
        <f>IF(S12&lt;=Data!$I$22,$AE$40,0)</f>
        <v>5847.6208326920741</v>
      </c>
      <c r="AH12" s="6">
        <f t="shared" si="7"/>
        <v>-20303.906549724328</v>
      </c>
    </row>
    <row r="13" spans="2:34" x14ac:dyDescent="0.2">
      <c r="B13" s="17">
        <v>6</v>
      </c>
      <c r="C13" s="113">
        <f>'Revenue Cost'!N12</f>
        <v>90405.937824960798</v>
      </c>
      <c r="D13" s="113">
        <f>'Revenue Cost'!Q12</f>
        <v>27271.94242466037</v>
      </c>
      <c r="E13" s="113">
        <f xml:space="preserve"> 'Revenue Cost'!U12</f>
        <v>0</v>
      </c>
      <c r="F13" s="6">
        <f>-(Debt!C21+Debt!E21)</f>
        <v>-60849.592854425289</v>
      </c>
      <c r="G13" s="6">
        <f>IF(Depreciation!$S$9=1,-(Depreciation!C14+Depreciation!D14),-(Depreciation!K14+Depreciation!L14))</f>
        <v>-175104.18422011664</v>
      </c>
      <c r="H13" s="6">
        <f>IF(B13='Revenue Cost'!$H$10,'Revenue Cost'!$H$8*(1+Data!$D$37)^(B13-1)*Data!$D$39,IF(B13=Data!$H$21*'Revenue Cost'!$H$10,'Revenue Cost'!$H$8*(1+Data!$D$37)^(B13-1)*Data!$D$39,0))</f>
        <v>0</v>
      </c>
      <c r="I13" s="6">
        <f t="shared" si="1"/>
        <v>-118275.89682492075</v>
      </c>
      <c r="J13" s="113">
        <f>-I13*Data!$D$28</f>
        <v>39031.045952223853</v>
      </c>
      <c r="K13" s="6">
        <f>-(Debt!D21+Debt!F21)</f>
        <v>-93084.72445303062</v>
      </c>
      <c r="L13" s="6">
        <f>IF(B13=Data!$D$32,0,IF(B13=0,-'Revenue Cost'!$H$8*Data!$D$26-'Revenue Cost'!$H$9*Data!$D$26,IF(B13='Revenue Cost'!$H$10,-'Revenue Cost'!$H$8*(1+Data!$D$37)^(B13-1)*Data!$D$26,0)))</f>
        <v>0</v>
      </c>
      <c r="M13" s="113">
        <f t="shared" si="0"/>
        <v>-153934.3173074559</v>
      </c>
      <c r="N13" s="113">
        <f t="shared" si="2"/>
        <v>2774.6088943891227</v>
      </c>
      <c r="O13" s="6">
        <f>N13/(1+Data!$H$23)^B13</f>
        <v>2281.5053628009919</v>
      </c>
      <c r="P13" s="6">
        <f>IF(B13&lt;=Data!$H$22,$N$40,0)</f>
        <v>17805.975007111017</v>
      </c>
      <c r="Q13" s="6">
        <f t="shared" si="3"/>
        <v>12824.450591737637</v>
      </c>
      <c r="R13" s="6"/>
      <c r="S13">
        <v>6</v>
      </c>
      <c r="T13" s="113">
        <f>'Revenue Cost'!X12</f>
        <v>69517.263743477757</v>
      </c>
      <c r="U13" s="113">
        <f>'Revenue Cost'!AA12</f>
        <v>-4902.1318530167719</v>
      </c>
      <c r="V13" s="113">
        <f>'Revenue Cost'!AE12</f>
        <v>0</v>
      </c>
      <c r="W13" s="6">
        <f>-(Debt!I21+Debt!K21)</f>
        <v>-33863.936923945454</v>
      </c>
      <c r="X13" s="6">
        <f>IF(Depreciation!$S$9=1,-(Depreciation!G14+Depreciation!H14),-(Depreciation!O14+Depreciation!P14))</f>
        <v>-112463.43422011663</v>
      </c>
      <c r="Y13" s="6">
        <f>IF(S13=Data!$I$12,Data!$I$10*(1+Data!$D$37)^(S13-1)*Data!$D$39,IF(S13=Data!$I$21*Data!$I$12,Data!$I$10*(1+Data!$D$37)^(S13-1)*Data!$D$39,0))</f>
        <v>0</v>
      </c>
      <c r="Z13" s="6">
        <f t="shared" si="4"/>
        <v>-81712.239253601088</v>
      </c>
      <c r="AA13" s="113">
        <f>-Z13*Data!$D$28</f>
        <v>26965.038953688359</v>
      </c>
      <c r="AB13" s="6">
        <f>-(Debt!J21+Debt!L21)</f>
        <v>-68073.18388394246</v>
      </c>
      <c r="AC13" s="6">
        <f>IF(S13&gt;=Data!$D$32,0,IF(S13=0,-Data!$I$10*Data!$D$26-Data!$I$11*Data!$D$26,IF(S13=Data!$I$12,-Data!$I$10*(1+Data!$D$37)^(S13-1)*Data!$D$26,0)))</f>
        <v>0</v>
      </c>
      <c r="AD13" s="113">
        <f t="shared" si="5"/>
        <v>-101937.12080788791</v>
      </c>
      <c r="AE13" s="113">
        <f t="shared" si="6"/>
        <v>-10356.949963738574</v>
      </c>
      <c r="AF13" s="6">
        <f>AE13/(1+Data!$I$23)^S13</f>
        <v>-8516.3126710633278</v>
      </c>
      <c r="AG13" s="6">
        <f>IF(S13&lt;=Data!$I$22,$AE$40,0)</f>
        <v>5847.6208326920741</v>
      </c>
      <c r="AH13" s="6">
        <f t="shared" si="7"/>
        <v>-28074.049317224795</v>
      </c>
    </row>
    <row r="14" spans="2:34" x14ac:dyDescent="0.2">
      <c r="B14" s="17">
        <v>7</v>
      </c>
      <c r="C14" s="113">
        <f>'Revenue Cost'!N13</f>
        <v>90857.967514085598</v>
      </c>
      <c r="D14" s="113">
        <f>'Revenue Cost'!Q13</f>
        <v>27817.002938714009</v>
      </c>
      <c r="E14" s="113">
        <f xml:space="preserve"> 'Revenue Cost'!U13</f>
        <v>0</v>
      </c>
      <c r="F14" s="6">
        <f>-(Debt!C22+Debt!E22)</f>
        <v>-56195.356631773757</v>
      </c>
      <c r="G14" s="6">
        <f>IF(Depreciation!$S$9=1,-(Depreciation!C15+Depreciation!D15),-(Depreciation!K15+Depreciation!L15))</f>
        <v>-175104.18422011664</v>
      </c>
      <c r="H14" s="6">
        <f>IF(B14='Revenue Cost'!$H$10,'Revenue Cost'!$H$8*(1+Data!$D$37)^(B14-1)*Data!$D$39,IF(B14=Data!$H$21*'Revenue Cost'!$H$10,'Revenue Cost'!$H$8*(1+Data!$D$37)^(B14-1)*Data!$D$39,0))</f>
        <v>0</v>
      </c>
      <c r="I14" s="6">
        <f t="shared" si="1"/>
        <v>-112624.57039909079</v>
      </c>
      <c r="J14" s="113">
        <f>-I14*Data!$D$28</f>
        <v>37166.10823169996</v>
      </c>
      <c r="K14" s="6">
        <f>-(Debt!D22+Debt!F22)</f>
        <v>-97738.960675682145</v>
      </c>
      <c r="L14" s="6">
        <f>IF(B14=Data!$D$32,0,IF(B14=0,-'Revenue Cost'!$H$8*Data!$D$26-'Revenue Cost'!$H$9*Data!$D$26,IF(B14='Revenue Cost'!$H$10,-'Revenue Cost'!$H$8*(1+Data!$D$37)^(B14-1)*Data!$D$26,0)))</f>
        <v>0</v>
      </c>
      <c r="M14" s="113">
        <f t="shared" si="0"/>
        <v>-153934.3173074559</v>
      </c>
      <c r="N14" s="113">
        <f t="shared" si="2"/>
        <v>1906.7613770436728</v>
      </c>
      <c r="O14" s="6">
        <f>N14/(1+Data!$H$23)^B14</f>
        <v>1517.5838149332535</v>
      </c>
      <c r="P14" s="6">
        <f>IF(B14&lt;=Data!$H$22,$N$40,0)</f>
        <v>17805.975007111017</v>
      </c>
      <c r="Q14" s="6">
        <f t="shared" si="3"/>
        <v>8265.3727643054153</v>
      </c>
      <c r="R14" s="6"/>
      <c r="S14">
        <v>7</v>
      </c>
      <c r="T14" s="113">
        <f>'Revenue Cost'!X13</f>
        <v>69864.850062195139</v>
      </c>
      <c r="U14" s="113">
        <f>'Revenue Cost'!AA13</f>
        <v>-4703.949129551329</v>
      </c>
      <c r="V14" s="113">
        <f>'Revenue Cost'!AE13</f>
        <v>0</v>
      </c>
      <c r="W14" s="6">
        <f>-(Debt!I22+Debt!K22)</f>
        <v>-30460.277729748334</v>
      </c>
      <c r="X14" s="6">
        <f>IF(Depreciation!$S$9=1,-(Depreciation!G15+Depreciation!H15),-(Depreciation!O15+Depreciation!P15))</f>
        <v>-112463.43422011663</v>
      </c>
      <c r="Y14" s="6">
        <f>IF(S14=Data!$I$12,Data!$I$10*(1+Data!$D$37)^(S14-1)*Data!$D$39,IF(S14=Data!$I$21*Data!$I$12,Data!$I$10*(1+Data!$D$37)^(S14-1)*Data!$D$39,0))</f>
        <v>0</v>
      </c>
      <c r="Z14" s="6">
        <f t="shared" si="4"/>
        <v>-77762.81101722116</v>
      </c>
      <c r="AA14" s="113">
        <f>-Z14*Data!$D$28</f>
        <v>25661.727635682983</v>
      </c>
      <c r="AB14" s="6">
        <f>-(Debt!J22+Debt!L22)</f>
        <v>-71476.843078139587</v>
      </c>
      <c r="AC14" s="6">
        <f>IF(S14&gt;=Data!$D$32,0,IF(S14=0,-Data!$I$10*Data!$D$26-Data!$I$11*Data!$D$26,IF(S14=Data!$I$12,-Data!$I$10*(1+Data!$D$37)^(S14-1)*Data!$D$26,0)))</f>
        <v>0</v>
      </c>
      <c r="AD14" s="113">
        <f t="shared" si="5"/>
        <v>-101937.12080788793</v>
      </c>
      <c r="AE14" s="113">
        <f t="shared" si="6"/>
        <v>-11114.492239561136</v>
      </c>
      <c r="AF14" s="6">
        <f>AE14/(1+Data!$I$23)^S14</f>
        <v>-8845.9802768350801</v>
      </c>
      <c r="AG14" s="6">
        <f>IF(S14&lt;=Data!$I$22,$AE$40,0)</f>
        <v>5847.6208326920741</v>
      </c>
      <c r="AH14" s="6">
        <f t="shared" si="7"/>
        <v>-31118.401431580904</v>
      </c>
    </row>
    <row r="15" spans="2:34" x14ac:dyDescent="0.2">
      <c r="B15" s="17">
        <v>8</v>
      </c>
      <c r="C15" s="113">
        <f>'Revenue Cost'!N14</f>
        <v>91312.257351656008</v>
      </c>
      <c r="D15" s="113">
        <f>'Revenue Cost'!Q14</f>
        <v>28382.537721066692</v>
      </c>
      <c r="E15" s="113">
        <f xml:space="preserve"> 'Revenue Cost'!U14</f>
        <v>0</v>
      </c>
      <c r="F15" s="6">
        <f>-(Debt!C23+Debt!E23)</f>
        <v>-51308.408597989648</v>
      </c>
      <c r="G15" s="6">
        <f>IF(Depreciation!$S$9=1,-(Depreciation!C16+Depreciation!D16),-(Depreciation!K16+Depreciation!L16))</f>
        <v>-109621.3125</v>
      </c>
      <c r="H15" s="6">
        <f>IF(B15='Revenue Cost'!$H$10,'Revenue Cost'!$H$8*(1+Data!$D$37)^(B15-1)*Data!$D$39,IF(B15=Data!$H$21*'Revenue Cost'!$H$10,'Revenue Cost'!$H$8*(1+Data!$D$37)^(B15-1)*Data!$D$39,0))</f>
        <v>0</v>
      </c>
      <c r="I15" s="6">
        <f t="shared" si="1"/>
        <v>-41234.926025266948</v>
      </c>
      <c r="J15" s="113">
        <f>-I15*Data!$D$28</f>
        <v>13607.525588338094</v>
      </c>
      <c r="K15" s="6">
        <f>-(Debt!D23+Debt!F23)</f>
        <v>-102625.90870946625</v>
      </c>
      <c r="L15" s="6">
        <f>IF(B15=Data!$D$32,0,IF(B15=0,-'Revenue Cost'!$H$8*Data!$D$26-'Revenue Cost'!$H$9*Data!$D$26,IF(B15='Revenue Cost'!$H$10,-'Revenue Cost'!$H$8*(1+Data!$D$37)^(B15-1)*Data!$D$26,0)))</f>
        <v>0</v>
      </c>
      <c r="M15" s="113">
        <f t="shared" si="0"/>
        <v>-153934.3173074559</v>
      </c>
      <c r="N15" s="113">
        <f t="shared" si="2"/>
        <v>-20631.996646395099</v>
      </c>
      <c r="O15" s="6">
        <f>N15/(1+Data!$H$23)^B15</f>
        <v>-15894.036948782961</v>
      </c>
      <c r="P15" s="6">
        <f>IF(B15&lt;=Data!$H$22,$N$40,0)</f>
        <v>17805.975007111017</v>
      </c>
      <c r="Q15" s="6">
        <f t="shared" si="3"/>
        <v>-15950.626374962303</v>
      </c>
      <c r="R15" s="6"/>
      <c r="S15">
        <v>8</v>
      </c>
      <c r="T15" s="113">
        <f>'Revenue Cost'!X14</f>
        <v>70214.174312506118</v>
      </c>
      <c r="U15" s="113">
        <f>'Revenue Cost'!AA14</f>
        <v>-4498.4280402157001</v>
      </c>
      <c r="V15" s="113">
        <f>'Revenue Cost'!AE14</f>
        <v>0</v>
      </c>
      <c r="W15" s="6">
        <f>-(Debt!I23+Debt!K23)</f>
        <v>-26886.435575841351</v>
      </c>
      <c r="X15" s="6">
        <f>IF(Depreciation!$S$9=1,-(Depreciation!G16+Depreciation!H16),-(Depreciation!O16+Depreciation!P16))</f>
        <v>-46980.5625</v>
      </c>
      <c r="Y15" s="6">
        <f>IF(S15=Data!$I$12,Data!$I$10*(1+Data!$D$37)^(S15-1)*Data!$D$39,IF(S15=Data!$I$21*Data!$I$12,Data!$I$10*(1+Data!$D$37)^(S15-1)*Data!$D$39,0))</f>
        <v>0</v>
      </c>
      <c r="Z15" s="6">
        <f t="shared" si="4"/>
        <v>-8151.2518035509347</v>
      </c>
      <c r="AA15" s="113">
        <f>-Z15*Data!$D$28</f>
        <v>2689.9130951718084</v>
      </c>
      <c r="AB15" s="6">
        <f>-(Debt!J23+Debt!L23)</f>
        <v>-75050.68523204657</v>
      </c>
      <c r="AC15" s="6">
        <f>IF(S15&gt;=Data!$D$32,0,IF(S15=0,-Data!$I$10*Data!$D$26-Data!$I$11*Data!$D$26,IF(S15=Data!$I$12,-Data!$I$10*(1+Data!$D$37)^(S15-1)*Data!$D$26,0)))</f>
        <v>0</v>
      </c>
      <c r="AD15" s="113">
        <f t="shared" si="5"/>
        <v>-101937.12080788793</v>
      </c>
      <c r="AE15" s="113">
        <f t="shared" si="6"/>
        <v>-33531.461440425701</v>
      </c>
      <c r="AF15" s="6">
        <f>AE15/(1+Data!$I$23)^S15</f>
        <v>-25831.251149119216</v>
      </c>
      <c r="AG15" s="6">
        <f>IF(S15&lt;=Data!$I$22,$AE$40,0)</f>
        <v>5847.6208326920741</v>
      </c>
      <c r="AH15" s="6">
        <f t="shared" si="7"/>
        <v>-55002.903643725411</v>
      </c>
    </row>
    <row r="16" spans="2:34" x14ac:dyDescent="0.2">
      <c r="B16" s="17">
        <v>9</v>
      </c>
      <c r="C16" s="113">
        <f>'Revenue Cost'!N15</f>
        <v>91768.818638414275</v>
      </c>
      <c r="D16" s="113">
        <f>'Revenue Cost'!Q15</f>
        <v>28969.382841873776</v>
      </c>
      <c r="E16" s="113">
        <f xml:space="preserve"> 'Revenue Cost'!U15</f>
        <v>0</v>
      </c>
      <c r="F16" s="6">
        <f>-(Debt!C24+Debt!E24)</f>
        <v>-46177.113162516333</v>
      </c>
      <c r="G16" s="6">
        <f>IF(Depreciation!$S$9=1,-(Depreciation!C17+Depreciation!D17),-(Depreciation!K17+Depreciation!L17))</f>
        <v>-109621.3125</v>
      </c>
      <c r="H16" s="6">
        <f>IF(B16='Revenue Cost'!$H$10,'Revenue Cost'!$H$8*(1+Data!$D$37)^(B16-1)*Data!$D$39,IF(B16=Data!$H$21*'Revenue Cost'!$H$10,'Revenue Cost'!$H$8*(1+Data!$D$37)^(B16-1)*Data!$D$39,0))</f>
        <v>0</v>
      </c>
      <c r="I16" s="6">
        <f t="shared" si="1"/>
        <v>-35060.224182228267</v>
      </c>
      <c r="J16" s="113">
        <f>-I16*Data!$D$28</f>
        <v>11569.873980135328</v>
      </c>
      <c r="K16" s="6">
        <f>-(Debt!D24+Debt!F24)</f>
        <v>-107757.20414493958</v>
      </c>
      <c r="L16" s="6">
        <f>IF(B16=Data!$D$32,0,IF(B16=0,-'Revenue Cost'!$H$8*Data!$D$26-'Revenue Cost'!$H$9*Data!$D$26,IF(B16='Revenue Cost'!$H$10,-'Revenue Cost'!$H$8*(1+Data!$D$37)^(B16-1)*Data!$D$26,0)))</f>
        <v>0</v>
      </c>
      <c r="M16" s="113">
        <f t="shared" si="0"/>
        <v>-153934.3173074559</v>
      </c>
      <c r="N16" s="113">
        <f t="shared" si="2"/>
        <v>-21626.241847032506</v>
      </c>
      <c r="O16" s="6">
        <f>N16/(1+Data!$H$23)^B16</f>
        <v>-16125.40515204146</v>
      </c>
      <c r="P16" s="6">
        <f>IF(B16&lt;=Data!$H$22,$N$40,0)</f>
        <v>17805.975007111017</v>
      </c>
      <c r="Q16" s="6">
        <f t="shared" si="3"/>
        <v>-40351.477116383932</v>
      </c>
      <c r="R16" s="6"/>
      <c r="S16">
        <v>9</v>
      </c>
      <c r="T16" s="113">
        <f>'Revenue Cost'!X15</f>
        <v>70565.245184068641</v>
      </c>
      <c r="U16" s="113">
        <f>'Revenue Cost'!AA15</f>
        <v>-4285.3524839544098</v>
      </c>
      <c r="V16" s="113">
        <f>'Revenue Cost'!AE15</f>
        <v>0</v>
      </c>
      <c r="W16" s="6">
        <f>-(Debt!I24+Debt!K24)</f>
        <v>-23133.901314239018</v>
      </c>
      <c r="X16" s="6">
        <f>IF(Depreciation!$S$9=1,-(Depreciation!G17+Depreciation!H17),-(Depreciation!O17+Depreciation!P17))</f>
        <v>-46980.5625</v>
      </c>
      <c r="Y16" s="6">
        <f>IF(S16=Data!$I$12,Data!$I$10*(1+Data!$D$37)^(S16-1)*Data!$D$39,IF(S16=Data!$I$21*Data!$I$12,Data!$I$10*(1+Data!$D$37)^(S16-1)*Data!$D$39,0))</f>
        <v>0</v>
      </c>
      <c r="Z16" s="6">
        <f t="shared" si="4"/>
        <v>-3834.5711141247884</v>
      </c>
      <c r="AA16" s="113">
        <f>-Z16*Data!$D$28</f>
        <v>1265.4084676611803</v>
      </c>
      <c r="AB16" s="6">
        <f>-(Debt!J24+Debt!L24)</f>
        <v>-78803.219493648896</v>
      </c>
      <c r="AC16" s="6">
        <f>IF(S16&gt;=Data!$D$32,0,IF(S16=0,-Data!$I$10*Data!$D$26-Data!$I$11*Data!$D$26,IF(S16=Data!$I$12,-Data!$I$10*(1+Data!$D$37)^(S16-1)*Data!$D$26,0)))</f>
        <v>0</v>
      </c>
      <c r="AD16" s="113">
        <f t="shared" si="5"/>
        <v>-101937.12080788791</v>
      </c>
      <c r="AE16" s="113">
        <f t="shared" si="6"/>
        <v>-34391.819640112502</v>
      </c>
      <c r="AF16" s="6">
        <f>AE16/(1+Data!$I$23)^S16</f>
        <v>-25643.938948590323</v>
      </c>
      <c r="AG16" s="6">
        <f>IF(S16&lt;=Data!$I$22,$AE$40,0)</f>
        <v>5847.6208326920741</v>
      </c>
      <c r="AH16" s="6">
        <f t="shared" si="7"/>
        <v>-79037.773320099339</v>
      </c>
    </row>
    <row r="17" spans="2:34" x14ac:dyDescent="0.2">
      <c r="B17" s="17">
        <v>10</v>
      </c>
      <c r="C17" s="113">
        <f>'Revenue Cost'!N16</f>
        <v>92227.662731606368</v>
      </c>
      <c r="D17" s="113">
        <f>'Revenue Cost'!Q16</f>
        <v>29578.404778339107</v>
      </c>
      <c r="E17" s="113">
        <f xml:space="preserve"> 'Revenue Cost'!U16</f>
        <v>0</v>
      </c>
      <c r="F17" s="6">
        <f>-(Debt!C25+Debt!E25)</f>
        <v>-40789.25295526936</v>
      </c>
      <c r="G17" s="6">
        <f>IF(Depreciation!$S$9=1,-(Depreciation!C18+Depreciation!D18),-(Depreciation!K18+Depreciation!L18))</f>
        <v>-109621.3125</v>
      </c>
      <c r="H17" s="6">
        <f>IF(B17='Revenue Cost'!$H$10,'Revenue Cost'!$H$8*(1+Data!$D$37)^(B17-1)*Data!$D$39,IF(B17=Data!$H$21*'Revenue Cost'!$H$10,'Revenue Cost'!$H$8*(1+Data!$D$37)^(B17-1)*Data!$D$39,0))</f>
        <v>0</v>
      </c>
      <c r="I17" s="6">
        <f t="shared" si="1"/>
        <v>-28604.497945323878</v>
      </c>
      <c r="J17" s="113">
        <f>-I17*Data!$D$28</f>
        <v>9439.4843219568793</v>
      </c>
      <c r="K17" s="6">
        <f>-(Debt!D25+Debt!F25)</f>
        <v>-113145.06435218654</v>
      </c>
      <c r="L17" s="6">
        <f>IF(B17=Data!$D$32,0,IF(B17=0,-'Revenue Cost'!$H$8*Data!$D$26-'Revenue Cost'!$H$9*Data!$D$26,IF(B17='Revenue Cost'!$H$10,-'Revenue Cost'!$H$8*(1+Data!$D$37)^(B17-1)*Data!$D$26,0)))</f>
        <v>0</v>
      </c>
      <c r="M17" s="113">
        <f t="shared" si="0"/>
        <v>-153934.3173074559</v>
      </c>
      <c r="N17" s="113">
        <f t="shared" si="2"/>
        <v>-22688.765475553548</v>
      </c>
      <c r="O17" s="6">
        <f>N17/(1+Data!$H$23)^B17</f>
        <v>-16374.840020473817</v>
      </c>
      <c r="P17" s="6">
        <f>IF(B17&lt;=Data!$H$22,$N$40,0)</f>
        <v>17805.975007111017</v>
      </c>
      <c r="Q17" s="6">
        <f t="shared" si="3"/>
        <v>-64947.003968981153</v>
      </c>
      <c r="R17" s="6"/>
      <c r="S17">
        <v>10</v>
      </c>
      <c r="T17" s="113">
        <f>'Revenue Cost'!X16</f>
        <v>70918.071409988988</v>
      </c>
      <c r="U17" s="113">
        <f>'Revenue Cost'!AA16</f>
        <v>-4064.5002305399248</v>
      </c>
      <c r="V17" s="113">
        <f>'Revenue Cost'!AE16</f>
        <v>0</v>
      </c>
      <c r="W17" s="6">
        <f>-(Debt!I25+Debt!K25)</f>
        <v>-19193.740339556582</v>
      </c>
      <c r="X17" s="6">
        <f>IF(Depreciation!$S$9=1,-(Depreciation!G18+Depreciation!H18),-(Depreciation!O18+Depreciation!P18))</f>
        <v>-46980.5625</v>
      </c>
      <c r="Y17" s="6">
        <f>IF(S17=Data!$I$12,Data!$I$10*(1+Data!$D$37)^(S17-1)*Data!$D$39,IF(S17=Data!$I$21*Data!$I$12,Data!$I$10*(1+Data!$D$37)^(S17-1)*Data!$D$39,0))</f>
        <v>0</v>
      </c>
      <c r="Z17" s="6">
        <f t="shared" si="4"/>
        <v>679.26833989248553</v>
      </c>
      <c r="AA17" s="113">
        <f>-Z17*Data!$D$28</f>
        <v>-224.15855216452024</v>
      </c>
      <c r="AB17" s="6">
        <f>-(Debt!J25+Debt!L25)</f>
        <v>-82743.380468331336</v>
      </c>
      <c r="AC17" s="6">
        <f>IF(S17&gt;=Data!$D$32,0,IF(S17=0,-Data!$I$10*Data!$D$26-Data!$I$11*Data!$D$26,IF(S17=Data!$I$12,-Data!$I$10*(1+Data!$D$37)^(S17-1)*Data!$D$26,0)))</f>
        <v>0</v>
      </c>
      <c r="AD17" s="113">
        <f t="shared" si="5"/>
        <v>-101937.12080788791</v>
      </c>
      <c r="AE17" s="113">
        <f t="shared" si="6"/>
        <v>-35307.708180603368</v>
      </c>
      <c r="AF17" s="6">
        <f>AE17/(1+Data!$I$23)^S17</f>
        <v>-25482.130068729501</v>
      </c>
      <c r="AG17" s="6">
        <f>IF(S17&lt;=Data!$I$22,$AE$40,0)</f>
        <v>5847.6208326920741</v>
      </c>
      <c r="AH17" s="6">
        <f t="shared" si="7"/>
        <v>-103230.98926114157</v>
      </c>
    </row>
    <row r="18" spans="2:34" x14ac:dyDescent="0.2">
      <c r="B18" s="17">
        <v>11</v>
      </c>
      <c r="C18" s="113">
        <f>'Revenue Cost'!N17</f>
        <v>92688.801045264365</v>
      </c>
      <c r="D18" s="113">
        <f>'Revenue Cost'!Q17</f>
        <v>30210.501418328033</v>
      </c>
      <c r="E18" s="113">
        <f xml:space="preserve"> 'Revenue Cost'!U17</f>
        <v>0</v>
      </c>
      <c r="F18" s="6">
        <f>-(Debt!C26+Debt!E26)</f>
        <v>-35131.999737660037</v>
      </c>
      <c r="G18" s="6">
        <f>IF(Depreciation!$S$9=1,-(Depreciation!C19+Depreciation!D19),-(Depreciation!K19+Depreciation!L19))</f>
        <v>0</v>
      </c>
      <c r="H18" s="6">
        <f>IF(B18='Revenue Cost'!$H$10,'Revenue Cost'!$H$8*(1+Data!$D$37)^(B18-1)*Data!$D$39,IF(B18=Data!$H$21*'Revenue Cost'!$H$10,'Revenue Cost'!$H$8*(1+Data!$D$37)^(B18-1)*Data!$D$39,0))</f>
        <v>0</v>
      </c>
      <c r="I18" s="6">
        <f t="shared" si="1"/>
        <v>87767.302725932357</v>
      </c>
      <c r="J18" s="113">
        <f>-I18*Data!$D$28</f>
        <v>-28963.209899557678</v>
      </c>
      <c r="K18" s="6">
        <f>-(Debt!D26+Debt!F26)</f>
        <v>-55863.094136583924</v>
      </c>
      <c r="L18" s="6">
        <f>IF(B18=Data!$D$32,0,IF(B18=0,-'Revenue Cost'!$H$8*Data!$D$26-'Revenue Cost'!$H$9*Data!$D$26,IF(B18='Revenue Cost'!$H$10,-'Revenue Cost'!$H$8*(1+Data!$D$37)^(B18-1)*Data!$D$26,0)))</f>
        <v>0</v>
      </c>
      <c r="M18" s="113">
        <f t="shared" si="0"/>
        <v>-90995.093874243961</v>
      </c>
      <c r="N18" s="113">
        <f t="shared" si="2"/>
        <v>2940.9986897907511</v>
      </c>
      <c r="O18" s="6">
        <f>N18/(1+Data!$H$23)^B18</f>
        <v>2054.4598138189581</v>
      </c>
      <c r="P18" s="6">
        <f>IF(B18&lt;=Data!$H$22,$N$40,0)</f>
        <v>17805.975007111017</v>
      </c>
      <c r="Q18" s="6">
        <f t="shared" si="3"/>
        <v>-41374.008632795303</v>
      </c>
      <c r="R18" s="6"/>
      <c r="S18">
        <v>11</v>
      </c>
      <c r="T18" s="113">
        <f>'Revenue Cost'!X17</f>
        <v>71272.66176703891</v>
      </c>
      <c r="U18" s="113">
        <f>'Revenue Cost'!AA17</f>
        <v>-3835.642748186001</v>
      </c>
      <c r="V18" s="113">
        <f>'Revenue Cost'!AE17</f>
        <v>0</v>
      </c>
      <c r="W18" s="6">
        <f>-(Debt!I26+Debt!K26)</f>
        <v>-15056.571316140014</v>
      </c>
      <c r="X18" s="6">
        <f>IF(Depreciation!$S$9=1,-(Depreciation!G19+Depreciation!H19),-(Depreciation!O19+Depreciation!P19))</f>
        <v>0</v>
      </c>
      <c r="Y18" s="6">
        <f>IF(S18=Data!$I$12,Data!$I$10*(1+Data!$D$37)^(S18-1)*Data!$D$39,IF(S18=Data!$I$21*Data!$I$12,Data!$I$10*(1+Data!$D$37)^(S18-1)*Data!$D$39,0))</f>
        <v>0</v>
      </c>
      <c r="Z18" s="6">
        <f t="shared" si="4"/>
        <v>52380.447702712896</v>
      </c>
      <c r="AA18" s="113">
        <f>-Z18*Data!$D$28</f>
        <v>-17285.547741895258</v>
      </c>
      <c r="AB18" s="6">
        <f>-(Debt!J26+Debt!L26)</f>
        <v>-23941.326058535968</v>
      </c>
      <c r="AC18" s="6">
        <f>IF(S18&gt;=Data!$D$32,0,IF(S18=0,-Data!$I$10*Data!$D$26-Data!$I$11*Data!$D$26,IF(S18=Data!$I$12,-Data!$I$10*(1+Data!$D$37)^(S18-1)*Data!$D$26,0)))</f>
        <v>0</v>
      </c>
      <c r="AD18" s="113">
        <f t="shared" si="5"/>
        <v>-38997.89737467598</v>
      </c>
      <c r="AE18" s="113">
        <f t="shared" si="6"/>
        <v>11153.573902281671</v>
      </c>
      <c r="AF18" s="6">
        <f>AE18/(1+Data!$I$23)^S18</f>
        <v>7791.4245396443685</v>
      </c>
      <c r="AG18" s="6">
        <f>IF(S18&lt;=Data!$I$22,$AE$40,0)</f>
        <v>5847.6208326920741</v>
      </c>
      <c r="AH18" s="6">
        <f t="shared" si="7"/>
        <v>-58545.953918434199</v>
      </c>
    </row>
    <row r="19" spans="2:34" x14ac:dyDescent="0.2">
      <c r="B19" s="17">
        <v>12</v>
      </c>
      <c r="C19" s="113">
        <f>'Revenue Cost'!N18</f>
        <v>93152.245050490659</v>
      </c>
      <c r="D19" s="113">
        <f>'Revenue Cost'!Q18</f>
        <v>30866.603095080838</v>
      </c>
      <c r="E19" s="113">
        <f xml:space="preserve"> 'Revenue Cost'!U18</f>
        <v>0</v>
      </c>
      <c r="F19" s="6">
        <f>-(Debt!C27+Debt!E27)</f>
        <v>-32338.845030830831</v>
      </c>
      <c r="G19" s="6">
        <f>IF(Depreciation!$S$9=1,-(Depreciation!C20+Depreciation!D20),-(Depreciation!K20+Depreciation!L20))</f>
        <v>0</v>
      </c>
      <c r="H19" s="6">
        <f>IF(B19='Revenue Cost'!$H$10,'Revenue Cost'!$H$8*(1+Data!$D$37)^(B19-1)*Data!$D$39,IF(B19=Data!$H$21*'Revenue Cost'!$H$10,'Revenue Cost'!$H$8*(1+Data!$D$37)^(B19-1)*Data!$D$39,0))</f>
        <v>0</v>
      </c>
      <c r="I19" s="6">
        <f t="shared" si="1"/>
        <v>91680.003114740655</v>
      </c>
      <c r="J19" s="113">
        <f>-I19*Data!$D$28</f>
        <v>-30254.401027864416</v>
      </c>
      <c r="K19" s="6">
        <f>-(Debt!D27+Debt!F27)</f>
        <v>-58656.24884341313</v>
      </c>
      <c r="L19" s="6">
        <f>IF(B19=Data!$D$32,0,IF(B19=0,-'Revenue Cost'!$H$8*Data!$D$26-'Revenue Cost'!$H$9*Data!$D$26,IF(B19='Revenue Cost'!$H$10,-'Revenue Cost'!$H$8*(1+Data!$D$37)^(B19-1)*Data!$D$26,0)))</f>
        <v>0</v>
      </c>
      <c r="M19" s="113">
        <f t="shared" si="0"/>
        <v>-90995.093874243961</v>
      </c>
      <c r="N19" s="113">
        <f t="shared" si="2"/>
        <v>2769.3532434631197</v>
      </c>
      <c r="O19" s="6">
        <f>N19/(1+Data!$H$23)^B19</f>
        <v>1872.4826189435219</v>
      </c>
      <c r="P19" s="6">
        <f>IF(B19&lt;=Data!$H$22,$N$40,0)</f>
        <v>17805.975007111017</v>
      </c>
      <c r="Q19" s="6">
        <f t="shared" si="3"/>
        <v>-16978.413542299677</v>
      </c>
      <c r="R19" s="6"/>
      <c r="S19">
        <v>12</v>
      </c>
      <c r="T19" s="113">
        <f>'Revenue Cost'!X18</f>
        <v>71629.025075874102</v>
      </c>
      <c r="U19" s="113">
        <f>'Revenue Cost'!AA18</f>
        <v>-3598.5450263246839</v>
      </c>
      <c r="V19" s="113">
        <f>'Revenue Cost'!AE18</f>
        <v>0</v>
      </c>
      <c r="W19" s="6">
        <f>-(Debt!I27+Debt!K27)</f>
        <v>-13859.505013213211</v>
      </c>
      <c r="X19" s="6">
        <f>IF(Depreciation!$S$9=1,-(Depreciation!G20+Depreciation!H20),-(Depreciation!O20+Depreciation!P20))</f>
        <v>0</v>
      </c>
      <c r="Y19" s="6">
        <f>IF(S19=Data!$I$12,Data!$I$10*(1+Data!$D$37)^(S19-1)*Data!$D$39,IF(S19=Data!$I$21*Data!$I$12,Data!$I$10*(1+Data!$D$37)^(S19-1)*Data!$D$39,0))</f>
        <v>0</v>
      </c>
      <c r="Z19" s="6">
        <f t="shared" si="4"/>
        <v>54170.975036336204</v>
      </c>
      <c r="AA19" s="113">
        <f>-Z19*Data!$D$28</f>
        <v>-17876.421761990947</v>
      </c>
      <c r="AB19" s="6">
        <f>-(Debt!J27+Debt!L27)</f>
        <v>-25138.392361462771</v>
      </c>
      <c r="AC19" s="6">
        <f>IF(S19&gt;=Data!$D$32,0,IF(S19=0,-Data!$I$10*Data!$D$26-Data!$I$11*Data!$D$26,IF(S19=Data!$I$12,-Data!$I$10*(1+Data!$D$37)^(S19-1)*Data!$D$26,0)))</f>
        <v>0</v>
      </c>
      <c r="AD19" s="113">
        <f t="shared" si="5"/>
        <v>-38997.89737467598</v>
      </c>
      <c r="AE19" s="113">
        <f t="shared" si="6"/>
        <v>11156.160912882486</v>
      </c>
      <c r="AF19" s="6">
        <f>AE19/(1+Data!$I$23)^S19</f>
        <v>7543.1754518201624</v>
      </c>
      <c r="AG19" s="6">
        <f>IF(S19&lt;=Data!$I$22,$AE$40,0)</f>
        <v>5847.6208326920741</v>
      </c>
      <c r="AH19" s="6">
        <f t="shared" si="7"/>
        <v>-12997.973365439211</v>
      </c>
    </row>
    <row r="20" spans="2:34" x14ac:dyDescent="0.2">
      <c r="B20" s="17">
        <v>13</v>
      </c>
      <c r="C20" s="113">
        <f>'Revenue Cost'!N19</f>
        <v>93618.006275743086</v>
      </c>
      <c r="D20" s="113">
        <f>'Revenue Cost'!Q19</f>
        <v>31547.673653953058</v>
      </c>
      <c r="E20" s="113">
        <f xml:space="preserve"> 'Revenue Cost'!U19</f>
        <v>0</v>
      </c>
      <c r="F20" s="6">
        <f>-(Debt!C28+Debt!E28)</f>
        <v>-29406.032588660179</v>
      </c>
      <c r="G20" s="6">
        <f>IF(Depreciation!$S$9=1,-(Depreciation!C21+Depreciation!D21),-(Depreciation!K21+Depreciation!L21))</f>
        <v>0</v>
      </c>
      <c r="H20" s="6">
        <f>IF(B20='Revenue Cost'!$H$10,'Revenue Cost'!$H$8*(1+Data!$D$37)^(B20-1)*Data!$D$39,IF(B20=Data!$H$21*'Revenue Cost'!$H$10,'Revenue Cost'!$H$8*(1+Data!$D$37)^(B20-1)*Data!$D$39,0))</f>
        <v>0</v>
      </c>
      <c r="I20" s="6">
        <f t="shared" si="1"/>
        <v>95759.647341035961</v>
      </c>
      <c r="J20" s="113">
        <f>-I20*Data!$D$28</f>
        <v>-31600.68362254187</v>
      </c>
      <c r="K20" s="6">
        <f>-(Debt!D28+Debt!F28)</f>
        <v>-61589.061285583783</v>
      </c>
      <c r="L20" s="6">
        <f>IF(B20=Data!$D$32,0,IF(B20=0,-'Revenue Cost'!$H$8*Data!$D$26-'Revenue Cost'!$H$9*Data!$D$26,IF(B20='Revenue Cost'!$H$10,-'Revenue Cost'!$H$8*(1+Data!$D$37)^(B20-1)*Data!$D$26,0)))</f>
        <v>0</v>
      </c>
      <c r="M20" s="113">
        <f t="shared" si="0"/>
        <v>-90995.093874243961</v>
      </c>
      <c r="N20" s="113">
        <f t="shared" si="2"/>
        <v>2569.9024329103122</v>
      </c>
      <c r="O20" s="6">
        <f>N20/(1+Data!$H$23)^B20</f>
        <v>1681.871049922953</v>
      </c>
      <c r="P20" s="6">
        <f>IF(B20&lt;=Data!$H$22,$N$40,0)</f>
        <v>17805.975007111017</v>
      </c>
      <c r="Q20" s="6">
        <f t="shared" si="3"/>
        <v>8280.254366164183</v>
      </c>
      <c r="R20" s="6"/>
      <c r="S20">
        <v>13</v>
      </c>
      <c r="T20" s="113">
        <f>'Revenue Cost'!X19</f>
        <v>71987.170201253452</v>
      </c>
      <c r="U20" s="113">
        <f>'Revenue Cost'!AA19</f>
        <v>-3352.9653934113885</v>
      </c>
      <c r="V20" s="113">
        <f>'Revenue Cost'!AE19</f>
        <v>0</v>
      </c>
      <c r="W20" s="6">
        <f>-(Debt!I28+Debt!K28)</f>
        <v>-12602.585395140075</v>
      </c>
      <c r="X20" s="6">
        <f>IF(Depreciation!$S$9=1,-(Depreciation!G21+Depreciation!H21),-(Depreciation!O21+Depreciation!P21))</f>
        <v>0</v>
      </c>
      <c r="Y20" s="6">
        <f>IF(S20=Data!$I$12,Data!$I$10*(1+Data!$D$37)^(S20-1)*Data!$D$39,IF(S20=Data!$I$21*Data!$I$12,Data!$I$10*(1+Data!$D$37)^(S20-1)*Data!$D$39,0))</f>
        <v>0</v>
      </c>
      <c r="Z20" s="6">
        <f t="shared" si="4"/>
        <v>56031.619412701984</v>
      </c>
      <c r="AA20" s="113">
        <f>-Z20*Data!$D$28</f>
        <v>-18490.434406191656</v>
      </c>
      <c r="AB20" s="6">
        <f>-(Debt!J28+Debt!L28)</f>
        <v>-26395.311979535905</v>
      </c>
      <c r="AC20" s="6">
        <f>IF(S20&gt;=Data!$D$32,0,IF(S20=0,-Data!$I$10*Data!$D$26-Data!$I$11*Data!$D$26,IF(S20=Data!$I$12,-Data!$I$10*(1+Data!$D$37)^(S20-1)*Data!$D$26,0)))</f>
        <v>0</v>
      </c>
      <c r="AD20" s="113">
        <f t="shared" si="5"/>
        <v>-38997.89737467598</v>
      </c>
      <c r="AE20" s="113">
        <f t="shared" si="6"/>
        <v>11145.873026974426</v>
      </c>
      <c r="AF20" s="6">
        <f>AE20/(1+Data!$I$23)^S20</f>
        <v>7294.4096749059818</v>
      </c>
      <c r="AG20" s="6">
        <f>IF(S20&lt;=Data!$I$22,$AE$40,0)</f>
        <v>5847.6208326920741</v>
      </c>
      <c r="AH20" s="6">
        <f t="shared" si="7"/>
        <v>33455.607842138583</v>
      </c>
    </row>
    <row r="21" spans="2:34" x14ac:dyDescent="0.2">
      <c r="B21" s="17">
        <v>14</v>
      </c>
      <c r="C21" s="113">
        <f>'Revenue Cost'!N20</f>
        <v>94086.096307121799</v>
      </c>
      <c r="D21" s="113">
        <f>'Revenue Cost'!Q20</f>
        <v>32254.711552136516</v>
      </c>
      <c r="E21" s="113">
        <f xml:space="preserve"> 'Revenue Cost'!U20</f>
        <v>0</v>
      </c>
      <c r="F21" s="6">
        <f>-(Debt!C29+Debt!E29)</f>
        <v>-26326.579524380988</v>
      </c>
      <c r="G21" s="6">
        <f>IF(Depreciation!$S$9=1,-(Depreciation!C22+Depreciation!D22),-(Depreciation!K22+Depreciation!L22))</f>
        <v>0</v>
      </c>
      <c r="H21" s="6">
        <f>IF(B21='Revenue Cost'!$H$10,'Revenue Cost'!$H$8*(1+Data!$D$37)^(B21-1)*Data!$D$39,IF(B21=Data!$H$21*'Revenue Cost'!$H$10,'Revenue Cost'!$H$8*(1+Data!$D$37)^(B21-1)*Data!$D$39,0))</f>
        <v>0</v>
      </c>
      <c r="I21" s="6">
        <f t="shared" si="1"/>
        <v>100014.22833487733</v>
      </c>
      <c r="J21" s="113">
        <f>-I21*Data!$D$28</f>
        <v>-33004.695350509523</v>
      </c>
      <c r="K21" s="6">
        <f>-(Debt!D29+Debt!F29)</f>
        <v>-64668.514349862977</v>
      </c>
      <c r="L21" s="6">
        <f>IF(B21=Data!$D$32,0,IF(B21=0,-'Revenue Cost'!$H$8*Data!$D$26-'Revenue Cost'!$H$9*Data!$D$26,IF(B21='Revenue Cost'!$H$10,-'Revenue Cost'!$H$8*(1+Data!$D$37)^(B21-1)*Data!$D$26,0)))</f>
        <v>0</v>
      </c>
      <c r="M21" s="113">
        <f t="shared" si="0"/>
        <v>-90995.093874243961</v>
      </c>
      <c r="N21" s="113">
        <f t="shared" si="2"/>
        <v>2341.0186345048423</v>
      </c>
      <c r="O21" s="6">
        <f>N21/(1+Data!$H$23)^B21</f>
        <v>1482.9194118150854</v>
      </c>
      <c r="P21" s="6">
        <f>IF(B21&lt;=Data!$H$22,$N$40,0)</f>
        <v>17805.975007111017</v>
      </c>
      <c r="Q21" s="6">
        <f t="shared" si="3"/>
        <v>7680.2743108782743</v>
      </c>
      <c r="R21" s="6"/>
      <c r="S21">
        <v>14</v>
      </c>
      <c r="T21" s="113">
        <f>'Revenue Cost'!X20</f>
        <v>72347.106052259711</v>
      </c>
      <c r="U21" s="113">
        <f>'Revenue Cost'!AA20</f>
        <v>-3098.6553296187831</v>
      </c>
      <c r="V21" s="113">
        <f>'Revenue Cost'!AE20</f>
        <v>0</v>
      </c>
      <c r="W21" s="6">
        <f>-(Debt!I29+Debt!K29)</f>
        <v>-11282.81979616328</v>
      </c>
      <c r="X21" s="6">
        <f>IF(Depreciation!$S$9=1,-(Depreciation!G22+Depreciation!H22),-(Depreciation!O22+Depreciation!P22))</f>
        <v>0</v>
      </c>
      <c r="Y21" s="6">
        <f>IF(S21=Data!$I$12,Data!$I$10*(1+Data!$D$37)^(S21-1)*Data!$D$39,IF(S21=Data!$I$21*Data!$I$12,Data!$I$10*(1+Data!$D$37)^(S21-1)*Data!$D$39,0))</f>
        <v>0</v>
      </c>
      <c r="Z21" s="6">
        <f t="shared" si="4"/>
        <v>57965.63092647765</v>
      </c>
      <c r="AA21" s="113">
        <f>-Z21*Data!$D$28</f>
        <v>-19128.658205737625</v>
      </c>
      <c r="AB21" s="6">
        <f>-(Debt!J29+Debt!L29)</f>
        <v>-27715.077578512701</v>
      </c>
      <c r="AC21" s="6">
        <f>IF(S21&gt;=Data!$D$32,0,IF(S21=0,-Data!$I$10*Data!$D$26-Data!$I$11*Data!$D$26,IF(S21=Data!$I$12,-Data!$I$10*(1+Data!$D$37)^(S21-1)*Data!$D$26,0)))</f>
        <v>0</v>
      </c>
      <c r="AD21" s="113">
        <f t="shared" si="5"/>
        <v>-38997.89737467598</v>
      </c>
      <c r="AE21" s="113">
        <f t="shared" si="6"/>
        <v>11121.895142227331</v>
      </c>
      <c r="AF21" s="6">
        <f>AE21/(1+Data!$I$23)^S21</f>
        <v>7045.169978354008</v>
      </c>
      <c r="AG21" s="6">
        <f>IF(S21&lt;=Data!$I$22,$AE$40,0)</f>
        <v>5847.6208326920741</v>
      </c>
      <c r="AH21" s="6">
        <f t="shared" si="7"/>
        <v>33423.929082084243</v>
      </c>
    </row>
    <row r="22" spans="2:34" x14ac:dyDescent="0.2">
      <c r="B22" s="17">
        <v>15</v>
      </c>
      <c r="C22" s="113">
        <f>'Revenue Cost'!N21</f>
        <v>94556.5267886574</v>
      </c>
      <c r="D22" s="113">
        <f>'Revenue Cost'!Q21</f>
        <v>32988.750992342073</v>
      </c>
      <c r="E22" s="113">
        <f xml:space="preserve"> 'Revenue Cost'!U21</f>
        <v>0</v>
      </c>
      <c r="F22" s="6">
        <f>-(Debt!C30+Debt!E30)</f>
        <v>-23093.15380688784</v>
      </c>
      <c r="G22" s="6">
        <f>IF(Depreciation!$S$9=1,-(Depreciation!C23+Depreciation!D23),-(Depreciation!K23+Depreciation!L23))</f>
        <v>0</v>
      </c>
      <c r="H22" s="6">
        <f>IF(B22='Revenue Cost'!$H$10,'Revenue Cost'!$H$8*(1+Data!$D$37)^(B22-1)*Data!$D$39,IF(B22=Data!$H$21*'Revenue Cost'!$H$10,'Revenue Cost'!$H$8*(1+Data!$D$37)^(B22-1)*Data!$D$39,0))</f>
        <v>33257.404728736859</v>
      </c>
      <c r="I22" s="6">
        <f t="shared" si="1"/>
        <v>137709.52870284847</v>
      </c>
      <c r="J22" s="113">
        <f>-I22*Data!$D$28</f>
        <v>-45444.144471939995</v>
      </c>
      <c r="K22" s="6">
        <f>-(Debt!D30+Debt!F30)</f>
        <v>-67901.940067356118</v>
      </c>
      <c r="L22" s="6">
        <f>IF(B22=Data!$D$32,0,IF(B22=0,-'Revenue Cost'!$H$8*Data!$D$26-'Revenue Cost'!$H$9*Data!$D$26,IF(B22='Revenue Cost'!$H$10,-'Revenue Cost'!$H$8*(1+Data!$D$37)^(B22-1)*Data!$D$26,0)))</f>
        <v>-66514.809457473719</v>
      </c>
      <c r="M22" s="113">
        <f t="shared" si="0"/>
        <v>-124252.49860298082</v>
      </c>
      <c r="N22" s="113">
        <f t="shared" si="2"/>
        <v>-42151.365293921335</v>
      </c>
      <c r="O22" s="6">
        <f>N22/(1+Data!$H$23)^B22</f>
        <v>-25844.072198676349</v>
      </c>
      <c r="P22" s="6">
        <f>IF(B22&lt;=Data!$H$22,$N$40,0)</f>
        <v>17805.975007111017</v>
      </c>
      <c r="Q22" s="6">
        <f t="shared" si="3"/>
        <v>-37240.444226506181</v>
      </c>
      <c r="R22" s="6"/>
      <c r="S22">
        <v>15</v>
      </c>
      <c r="T22" s="113">
        <f>'Revenue Cost'!X21</f>
        <v>72708.841582520981</v>
      </c>
      <c r="U22" s="113">
        <f>'Revenue Cost'!AA21</f>
        <v>-2835.3592742761139</v>
      </c>
      <c r="V22" s="113">
        <f>'Revenue Cost'!AE21</f>
        <v>0</v>
      </c>
      <c r="W22" s="6">
        <f>-(Debt!I30+Debt!K30)</f>
        <v>-9897.0659172376454</v>
      </c>
      <c r="X22" s="6">
        <f>IF(Depreciation!$S$9=1,-(Depreciation!G23+Depreciation!H23),-(Depreciation!O23+Depreciation!P23))</f>
        <v>0</v>
      </c>
      <c r="Y22" s="6">
        <f>IF(S22=Data!$I$12,Data!$I$10*(1+Data!$D$37)^(S22-1)*Data!$D$39,IF(S22=Data!$I$21*Data!$I$12,Data!$I$10*(1+Data!$D$37)^(S22-1)*Data!$D$39,0))</f>
        <v>0</v>
      </c>
      <c r="Z22" s="6">
        <f t="shared" si="4"/>
        <v>59976.416391007224</v>
      </c>
      <c r="AA22" s="113">
        <f>-Z22*Data!$D$28</f>
        <v>-19792.217409032386</v>
      </c>
      <c r="AB22" s="6">
        <f>-(Debt!J30+Debt!L30)</f>
        <v>-29100.831457438333</v>
      </c>
      <c r="AC22" s="6">
        <f>IF(S22&gt;=Data!$D$32,0,IF(S22=0,-Data!$I$10*Data!$D$26-Data!$I$11*Data!$D$26,IF(S22=Data!$I$12,-Data!$I$10*(1+Data!$D$37)^(S22-1)*Data!$D$26,0)))</f>
        <v>0</v>
      </c>
      <c r="AD22" s="113">
        <f t="shared" si="5"/>
        <v>-38997.89737467598</v>
      </c>
      <c r="AE22" s="113">
        <f t="shared" si="6"/>
        <v>11083.367524536508</v>
      </c>
      <c r="AF22" s="6">
        <f>AE22/(1+Data!$I$23)^S22</f>
        <v>6795.4940133313739</v>
      </c>
      <c r="AG22" s="6">
        <f>IF(S22&lt;=Data!$I$22,$AE$40,0)</f>
        <v>5847.6208326920741</v>
      </c>
      <c r="AH22" s="6">
        <f t="shared" si="7"/>
        <v>33351.135693738266</v>
      </c>
    </row>
    <row r="23" spans="2:34" x14ac:dyDescent="0.2">
      <c r="B23" s="17">
        <v>16</v>
      </c>
      <c r="C23" s="113">
        <f>'Revenue Cost'!N22</f>
        <v>95029.309422600665</v>
      </c>
      <c r="D23" s="113">
        <f>'Revenue Cost'!Q22</f>
        <v>90011.306090900354</v>
      </c>
      <c r="E23" s="113">
        <f xml:space="preserve"> 'Revenue Cost'!U22</f>
        <v>0</v>
      </c>
      <c r="F23" s="6">
        <f>-(Debt!C31+Debt!E31)</f>
        <v>-49629.721059383206</v>
      </c>
      <c r="G23" s="6">
        <f>IF(Depreciation!$S$9=1,-(Depreciation!C24+Depreciation!D24),-(Depreciation!K24+Depreciation!L24))</f>
        <v>-142531.73455172937</v>
      </c>
      <c r="H23" s="6">
        <f>IF(B23='Revenue Cost'!$H$10,'Revenue Cost'!$H$8*(1+Data!$D$37)^(B23-1)*Data!$D$39,IF(B23=Data!$H$21*'Revenue Cost'!$H$10,'Revenue Cost'!$H$8*(1+Data!$D$37)^(B23-1)*Data!$D$39,0))</f>
        <v>0</v>
      </c>
      <c r="I23" s="6">
        <f t="shared" si="1"/>
        <v>-7120.8400976115663</v>
      </c>
      <c r="J23" s="113">
        <f>-I23*Data!$D$28</f>
        <v>2349.877232211817</v>
      </c>
      <c r="K23" s="6">
        <f>-(Debt!D31+Debt!F31)</f>
        <v>-118891.12196414698</v>
      </c>
      <c r="L23" s="6">
        <f>IF(B23=Data!$D$32,0,IF(B23=0,-'Revenue Cost'!$H$8*Data!$D$26-'Revenue Cost'!$H$9*Data!$D$26,IF(B23='Revenue Cost'!$H$10,-'Revenue Cost'!$H$8*(1+Data!$D$37)^(B23-1)*Data!$D$26,0)))</f>
        <v>0</v>
      </c>
      <c r="M23" s="113">
        <f t="shared" si="0"/>
        <v>-168520.84302353018</v>
      </c>
      <c r="N23" s="113">
        <f t="shared" si="2"/>
        <v>18869.649722182658</v>
      </c>
      <c r="O23" s="6">
        <f>N23/(1+Data!$H$23)^B23</f>
        <v>11198.23966170618</v>
      </c>
      <c r="P23" s="6">
        <f>IF(B23&lt;=Data!$H$22,$N$40,0)</f>
        <v>17805.975007111017</v>
      </c>
      <c r="Q23" s="6">
        <f t="shared" si="3"/>
        <v>-20940.696937233835</v>
      </c>
      <c r="R23" s="6"/>
      <c r="S23">
        <v>16</v>
      </c>
      <c r="T23" s="113">
        <f>'Revenue Cost'!X22</f>
        <v>73072.385790433575</v>
      </c>
      <c r="U23" s="113">
        <f>'Revenue Cost'!AA22</f>
        <v>-2562.8144279068056</v>
      </c>
      <c r="V23" s="113">
        <f>'Revenue Cost'!AE22</f>
        <v>0</v>
      </c>
      <c r="W23" s="6">
        <f>-(Debt!I31+Debt!K31)</f>
        <v>-8442.0243443657291</v>
      </c>
      <c r="X23" s="6">
        <f>IF(Depreciation!$S$9=1,-(Depreciation!G24+Depreciation!H24),-(Depreciation!O24+Depreciation!P24))</f>
        <v>0</v>
      </c>
      <c r="Y23" s="6">
        <f>IF(S23=Data!$I$12,Data!$I$10*(1+Data!$D$37)^(S23-1)*Data!$D$39,IF(S23=Data!$I$21*Data!$I$12,Data!$I$10*(1+Data!$D$37)^(S23-1)*Data!$D$39,0))</f>
        <v>0</v>
      </c>
      <c r="Z23" s="6">
        <f t="shared" si="4"/>
        <v>62067.547018161036</v>
      </c>
      <c r="AA23" s="113">
        <f>-Z23*Data!$D$28</f>
        <v>-20482.290515993143</v>
      </c>
      <c r="AB23" s="6">
        <f>-(Debt!J31+Debt!L31)</f>
        <v>-30555.873030310249</v>
      </c>
      <c r="AC23" s="6">
        <f>IF(S23&gt;=Data!$D$32,0,IF(S23=0,-Data!$I$10*Data!$D$26-Data!$I$11*Data!$D$26,IF(S23=Data!$I$12,-Data!$I$10*(1+Data!$D$37)^(S23-1)*Data!$D$26,0)))</f>
        <v>0</v>
      </c>
      <c r="AD23" s="113">
        <f t="shared" si="5"/>
        <v>-38997.89737467598</v>
      </c>
      <c r="AE23" s="113">
        <f t="shared" si="6"/>
        <v>11029.383471857647</v>
      </c>
      <c r="AF23" s="6">
        <f>AE23/(1+Data!$I$23)^S23</f>
        <v>6545.4145284704582</v>
      </c>
      <c r="AG23" s="6">
        <f>IF(S23&lt;=Data!$I$22,$AE$40,0)</f>
        <v>5847.6208326920741</v>
      </c>
      <c r="AH23" s="6">
        <f t="shared" si="7"/>
        <v>33234.646138621487</v>
      </c>
    </row>
    <row r="24" spans="2:34" x14ac:dyDescent="0.2">
      <c r="B24" s="17">
        <v>17</v>
      </c>
      <c r="C24" s="113">
        <f>'Revenue Cost'!N23</f>
        <v>95504.455969713643</v>
      </c>
      <c r="D24" s="113">
        <f>'Revenue Cost'!Q23</f>
        <v>91646.506729632223</v>
      </c>
      <c r="E24" s="113">
        <f xml:space="preserve"> 'Revenue Cost'!U23</f>
        <v>0</v>
      </c>
      <c r="F24" s="6">
        <f>-(Debt!C32+Debt!E32)</f>
        <v>-43685.164961175848</v>
      </c>
      <c r="G24" s="6">
        <f>IF(Depreciation!$S$9=1,-(Depreciation!C25+Depreciation!D25),-(Depreciation!K25+Depreciation!L25))</f>
        <v>-111989.22000493022</v>
      </c>
      <c r="H24" s="6">
        <f>IF(B24='Revenue Cost'!$H$10,'Revenue Cost'!$H$8*(1+Data!$D$37)^(B24-1)*Data!$D$39,IF(B24=Data!$H$21*'Revenue Cost'!$H$10,'Revenue Cost'!$H$8*(1+Data!$D$37)^(B24-1)*Data!$D$39,0))</f>
        <v>0</v>
      </c>
      <c r="I24" s="6">
        <f t="shared" si="1"/>
        <v>31476.577733239799</v>
      </c>
      <c r="J24" s="113">
        <f>-I24*Data!$D$28</f>
        <v>-10387.270651969135</v>
      </c>
      <c r="K24" s="6">
        <f>-(Debt!D32+Debt!F32)</f>
        <v>-124835.67806235435</v>
      </c>
      <c r="L24" s="6">
        <f>IF(B24=Data!$D$32,0,IF(B24=0,-'Revenue Cost'!$H$8*Data!$D$26-'Revenue Cost'!$H$9*Data!$D$26,IF(B24='Revenue Cost'!$H$10,-'Revenue Cost'!$H$8*(1+Data!$D$37)^(B24-1)*Data!$D$26,0)))</f>
        <v>0</v>
      </c>
      <c r="M24" s="113">
        <f t="shared" si="0"/>
        <v>-168520.84302353021</v>
      </c>
      <c r="N24" s="113">
        <f t="shared" si="2"/>
        <v>8242.8490238465311</v>
      </c>
      <c r="O24" s="6">
        <f>N24/(1+Data!$H$23)^B24</f>
        <v>4734.7808762678824</v>
      </c>
      <c r="P24" s="6">
        <f>IF(B24&lt;=Data!$H$22,$N$40,0)</f>
        <v>17805.975007111017</v>
      </c>
      <c r="Q24" s="6">
        <f t="shared" si="3"/>
        <v>-15038.866547892147</v>
      </c>
      <c r="R24" s="6"/>
      <c r="S24">
        <v>17</v>
      </c>
      <c r="T24" s="113">
        <f>'Revenue Cost'!X23</f>
        <v>73437.747719385734</v>
      </c>
      <c r="U24" s="113">
        <f>'Revenue Cost'!AA23</f>
        <v>-2280.7505487129238</v>
      </c>
      <c r="V24" s="113">
        <f>'Revenue Cost'!AE23</f>
        <v>0</v>
      </c>
      <c r="W24" s="6">
        <f>-(Debt!I32+Debt!K32)</f>
        <v>-6914.2306928502139</v>
      </c>
      <c r="X24" s="6">
        <f>IF(Depreciation!$S$9=1,-(Depreciation!G25+Depreciation!H25),-(Depreciation!O25+Depreciation!P25))</f>
        <v>0</v>
      </c>
      <c r="Y24" s="6">
        <f>IF(S24=Data!$I$12,Data!$I$10*(1+Data!$D$37)^(S24-1)*Data!$D$39,IF(S24=Data!$I$21*Data!$I$12,Data!$I$10*(1+Data!$D$37)^(S24-1)*Data!$D$39,0))</f>
        <v>0</v>
      </c>
      <c r="Z24" s="6">
        <f t="shared" si="4"/>
        <v>64242.766477822595</v>
      </c>
      <c r="AA24" s="113">
        <f>-Z24*Data!$D$28</f>
        <v>-21200.112937681457</v>
      </c>
      <c r="AB24" s="6">
        <f>-(Debt!J32+Debt!L32)</f>
        <v>-32083.666681825765</v>
      </c>
      <c r="AC24" s="6">
        <f>IF(S24&gt;=Data!$D$32,0,IF(S24=0,-Data!$I$10*Data!$D$26-Data!$I$11*Data!$D$26,IF(S24=Data!$I$12,-Data!$I$10*(1+Data!$D$37)^(S24-1)*Data!$D$26,0)))</f>
        <v>0</v>
      </c>
      <c r="AD24" s="113">
        <f t="shared" si="5"/>
        <v>-38997.89737467598</v>
      </c>
      <c r="AE24" s="113">
        <f t="shared" si="6"/>
        <v>10958.986858315373</v>
      </c>
      <c r="AF24" s="6">
        <f>AE24/(1+Data!$I$23)^S24</f>
        <v>6294.9595764655787</v>
      </c>
      <c r="AG24" s="6">
        <f>IF(S24&lt;=Data!$I$22,$AE$40,0)</f>
        <v>5847.6208326920741</v>
      </c>
      <c r="AH24" s="6">
        <f t="shared" si="7"/>
        <v>33071.737854709529</v>
      </c>
    </row>
    <row r="25" spans="2:34" x14ac:dyDescent="0.2">
      <c r="B25" s="17">
        <v>18</v>
      </c>
      <c r="C25" s="113">
        <f>'Revenue Cost'!N24</f>
        <v>95981.97824956222</v>
      </c>
      <c r="D25" s="113">
        <f>'Revenue Cost'!Q24</f>
        <v>93324.696458972394</v>
      </c>
      <c r="E25" s="113">
        <f xml:space="preserve"> 'Revenue Cost'!U24</f>
        <v>0</v>
      </c>
      <c r="F25" s="6">
        <f>-(Debt!C33+Debt!E33)</f>
        <v>-37443.381058058134</v>
      </c>
      <c r="G25" s="6">
        <f>IF(Depreciation!$S$9=1,-(Depreciation!C26+Depreciation!D26),-(Depreciation!K26+Depreciation!L26))</f>
        <v>-87991.530003873748</v>
      </c>
      <c r="H25" s="6">
        <f>IF(B25='Revenue Cost'!$H$10,'Revenue Cost'!$H$8*(1+Data!$D$37)^(B25-1)*Data!$D$39,IF(B25=Data!$H$21*'Revenue Cost'!$H$10,'Revenue Cost'!$H$8*(1+Data!$D$37)^(B25-1)*Data!$D$39,0))</f>
        <v>0</v>
      </c>
      <c r="I25" s="6">
        <f t="shared" si="1"/>
        <v>63871.763646602747</v>
      </c>
      <c r="J25" s="113">
        <f>-I25*Data!$D$28</f>
        <v>-21077.682003378908</v>
      </c>
      <c r="K25" s="6">
        <f>-(Debt!D33+Debt!F33)</f>
        <v>-131077.46196547206</v>
      </c>
      <c r="L25" s="6">
        <f>IF(B25=Data!$D$32,0,IF(B25=0,-'Revenue Cost'!$H$8*Data!$D$26-'Revenue Cost'!$H$9*Data!$D$26,IF(B25='Revenue Cost'!$H$10,-'Revenue Cost'!$H$8*(1+Data!$D$37)^(B25-1)*Data!$D$26,0)))</f>
        <v>0</v>
      </c>
      <c r="M25" s="113">
        <f t="shared" si="0"/>
        <v>-168520.84302353021</v>
      </c>
      <c r="N25" s="113">
        <f t="shared" si="2"/>
        <v>-291.8503183744906</v>
      </c>
      <c r="O25" s="6">
        <f>N25/(1+Data!$H$23)^B25</f>
        <v>-162.26293636006537</v>
      </c>
      <c r="P25" s="6">
        <f>IF(B25&lt;=Data!$H$22,$N$40,0)</f>
        <v>17805.975007111017</v>
      </c>
      <c r="Q25" s="6">
        <f t="shared" si="3"/>
        <v>26820.648427654698</v>
      </c>
      <c r="R25" s="6"/>
      <c r="S25">
        <v>18</v>
      </c>
      <c r="T25" s="113">
        <f>'Revenue Cost'!X24</f>
        <v>73804.936457982665</v>
      </c>
      <c r="U25" s="113">
        <f>'Revenue Cost'!AA24</f>
        <v>-1988.8897433508046</v>
      </c>
      <c r="V25" s="113">
        <f>'Revenue Cost'!AE24</f>
        <v>0</v>
      </c>
      <c r="W25" s="6">
        <f>-(Debt!I33+Debt!K33)</f>
        <v>-5310.0473587589258</v>
      </c>
      <c r="X25" s="6">
        <f>IF(Depreciation!$S$9=1,-(Depreciation!G26+Depreciation!H26),-(Depreciation!O26+Depreciation!P26))</f>
        <v>0</v>
      </c>
      <c r="Y25" s="6">
        <f>IF(S25=Data!$I$12,Data!$I$10*(1+Data!$D$37)^(S25-1)*Data!$D$39,IF(S25=Data!$I$21*Data!$I$12,Data!$I$10*(1+Data!$D$37)^(S25-1)*Data!$D$39,0))</f>
        <v>0</v>
      </c>
      <c r="Z25" s="6">
        <f t="shared" si="4"/>
        <v>66505.999355872933</v>
      </c>
      <c r="AA25" s="113">
        <f>-Z25*Data!$D$28</f>
        <v>-21946.979787438067</v>
      </c>
      <c r="AB25" s="6">
        <f>-(Debt!J33+Debt!L33)</f>
        <v>-33687.850015917051</v>
      </c>
      <c r="AC25" s="6">
        <f>IF(S25&gt;=Data!$D$32,0,IF(S25=0,-Data!$I$10*Data!$D$26-Data!$I$11*Data!$D$26,IF(S25=Data!$I$12,-Data!$I$10*(1+Data!$D$37)^(S25-1)*Data!$D$26,0)))</f>
        <v>0</v>
      </c>
      <c r="AD25" s="113">
        <f t="shared" si="5"/>
        <v>-38997.897374675973</v>
      </c>
      <c r="AE25" s="113">
        <f t="shared" si="6"/>
        <v>10871.169552517815</v>
      </c>
      <c r="AF25" s="6">
        <f>AE25/(1+Data!$I$23)^S25</f>
        <v>6044.1527118575896</v>
      </c>
      <c r="AG25" s="6">
        <f>IF(S25&lt;=Data!$I$22,$AE$40,0)</f>
        <v>5847.6208326920741</v>
      </c>
      <c r="AH25" s="6">
        <f t="shared" si="7"/>
        <v>32859.539882690835</v>
      </c>
    </row>
    <row r="26" spans="2:34" x14ac:dyDescent="0.2">
      <c r="B26" s="17">
        <v>19</v>
      </c>
      <c r="C26" s="113">
        <f>'Revenue Cost'!N25</f>
        <v>96461.888140809999</v>
      </c>
      <c r="D26" s="113">
        <f>'Revenue Cost'!Q25</f>
        <v>95047.254394728399</v>
      </c>
      <c r="E26" s="113">
        <f xml:space="preserve"> 'Revenue Cost'!U25</f>
        <v>0</v>
      </c>
      <c r="F26" s="6">
        <f>-(Debt!C34+Debt!E34)</f>
        <v>-30889.507959784532</v>
      </c>
      <c r="G26" s="6">
        <f>IF(Depreciation!$S$9=1,-(Depreciation!C27+Depreciation!D27),-(Depreciation!K27+Depreciation!L27))</f>
        <v>-80658.90250355094</v>
      </c>
      <c r="H26" s="6">
        <f>IF(B26='Revenue Cost'!$H$10,'Revenue Cost'!$H$8*(1+Data!$D$37)^(B26-1)*Data!$D$39,IF(B26=Data!$H$21*'Revenue Cost'!$H$10,'Revenue Cost'!$H$8*(1+Data!$D$37)^(B26-1)*Data!$D$39,0))</f>
        <v>0</v>
      </c>
      <c r="I26" s="6">
        <f t="shared" si="1"/>
        <v>79960.73207220294</v>
      </c>
      <c r="J26" s="113">
        <f>-I26*Data!$D$28</f>
        <v>-26387.041583826973</v>
      </c>
      <c r="K26" s="6">
        <f>-(Debt!D34+Debt!F34)</f>
        <v>-137631.33506374568</v>
      </c>
      <c r="L26" s="6">
        <f>IF(B26=Data!$D$32,0,IF(B26=0,-'Revenue Cost'!$H$8*Data!$D$26-'Revenue Cost'!$H$9*Data!$D$26,IF(B26='Revenue Cost'!$H$10,-'Revenue Cost'!$H$8*(1+Data!$D$37)^(B26-1)*Data!$D$26,0)))</f>
        <v>0</v>
      </c>
      <c r="M26" s="113">
        <f t="shared" si="0"/>
        <v>-168520.84302353021</v>
      </c>
      <c r="N26" s="113">
        <f t="shared" si="2"/>
        <v>-3398.7420718187641</v>
      </c>
      <c r="O26" s="6">
        <f>N26/(1+Data!$H$23)^B26</f>
        <v>-1829.0011852937598</v>
      </c>
      <c r="P26" s="6">
        <f>IF(B26&lt;=Data!$H$22,$N$40,0)</f>
        <v>17805.975007111017</v>
      </c>
      <c r="Q26" s="6">
        <f t="shared" si="3"/>
        <v>4552.2566336532764</v>
      </c>
      <c r="R26" s="6"/>
      <c r="S26">
        <v>19</v>
      </c>
      <c r="T26" s="113">
        <f>'Revenue Cost'!X25</f>
        <v>74173.961140272571</v>
      </c>
      <c r="U26" s="113">
        <f>'Revenue Cost'!AA25</f>
        <v>-1686.9462518379587</v>
      </c>
      <c r="V26" s="113">
        <f>'Revenue Cost'!AE25</f>
        <v>0</v>
      </c>
      <c r="W26" s="6">
        <f>-(Debt!I34+Debt!K34)</f>
        <v>-3625.6548579630735</v>
      </c>
      <c r="X26" s="6">
        <f>IF(Depreciation!$S$9=1,-(Depreciation!G27+Depreciation!H27),-(Depreciation!O27+Depreciation!P27))</f>
        <v>0</v>
      </c>
      <c r="Y26" s="6">
        <f>IF(S26=Data!$I$12,Data!$I$10*(1+Data!$D$37)^(S26-1)*Data!$D$39,IF(S26=Data!$I$21*Data!$I$12,Data!$I$10*(1+Data!$D$37)^(S26-1)*Data!$D$39,0))</f>
        <v>0</v>
      </c>
      <c r="Z26" s="6">
        <f t="shared" si="4"/>
        <v>68861.360030471536</v>
      </c>
      <c r="AA26" s="113">
        <f>-Z26*Data!$D$28</f>
        <v>-22724.248810055607</v>
      </c>
      <c r="AB26" s="6">
        <f>-(Debt!J34+Debt!L34)</f>
        <v>-35372.242516712904</v>
      </c>
      <c r="AC26" s="6">
        <f>IF(S26&gt;=Data!$D$32,0,IF(S26=0,-Data!$I$10*Data!$D$26-Data!$I$11*Data!$D$26,IF(S26=Data!$I$12,-Data!$I$10*(1+Data!$D$37)^(S26-1)*Data!$D$26,0)))</f>
        <v>0</v>
      </c>
      <c r="AD26" s="113">
        <f t="shared" si="5"/>
        <v>-38997.89737467598</v>
      </c>
      <c r="AE26" s="113">
        <f t="shared" si="6"/>
        <v>10764.868703703025</v>
      </c>
      <c r="AF26" s="6">
        <f>AE26/(1+Data!$I$23)^S26</f>
        <v>5793.0131803348077</v>
      </c>
      <c r="AG26" s="6">
        <f>IF(S26&lt;=Data!$I$22,$AE$40,0)</f>
        <v>5847.6208326920741</v>
      </c>
      <c r="AH26" s="6">
        <f t="shared" si="7"/>
        <v>32595.025114536213</v>
      </c>
    </row>
    <row r="27" spans="2:34" x14ac:dyDescent="0.2">
      <c r="B27" s="17">
        <v>20</v>
      </c>
      <c r="C27" s="113">
        <f>'Revenue Cost'!N26</f>
        <v>96944.197581514047</v>
      </c>
      <c r="D27" s="113">
        <f>'Revenue Cost'!Q26</f>
        <v>96815.60446063726</v>
      </c>
      <c r="E27" s="113">
        <f xml:space="preserve"> 'Revenue Cost'!U26</f>
        <v>0</v>
      </c>
      <c r="F27" s="6">
        <f>-(Debt!C35+Debt!E35)</f>
        <v>-24007.941206597246</v>
      </c>
      <c r="G27" s="6">
        <f>IF(Depreciation!$S$9=1,-(Depreciation!C28+Depreciation!D28),-(Depreciation!K28+Depreciation!L28))</f>
        <v>-80658.90250355094</v>
      </c>
      <c r="H27" s="6">
        <f>IF(B27='Revenue Cost'!$H$10,'Revenue Cost'!$H$8*(1+Data!$D$37)^(B27-1)*Data!$D$39,IF(B27=Data!$H$21*'Revenue Cost'!$H$10,'Revenue Cost'!$H$8*(1+Data!$D$37)^(B27-1)*Data!$D$39,0))</f>
        <v>0</v>
      </c>
      <c r="I27" s="6">
        <f t="shared" si="1"/>
        <v>89092.958332003109</v>
      </c>
      <c r="J27" s="113">
        <f>-I27*Data!$D$28</f>
        <v>-29400.676249561027</v>
      </c>
      <c r="K27" s="6">
        <f>-(Debt!D35+Debt!F35)</f>
        <v>-144512.90181693295</v>
      </c>
      <c r="L27" s="6">
        <f>IF(B27=Data!$D$32,0,IF(B27=0,-'Revenue Cost'!$H$8*Data!$D$26-'Revenue Cost'!$H$9*Data!$D$26,IF(B27='Revenue Cost'!$H$10,-'Revenue Cost'!$H$8*(1+Data!$D$37)^(B27-1)*Data!$D$26,0)))</f>
        <v>0</v>
      </c>
      <c r="M27" s="113">
        <f t="shared" si="0"/>
        <v>-168520.84302353021</v>
      </c>
      <c r="N27" s="113">
        <f t="shared" si="2"/>
        <v>-4161.7172309399175</v>
      </c>
      <c r="O27" s="6">
        <f>N27/(1+Data!$H$23)^B27</f>
        <v>-2167.728901762041</v>
      </c>
      <c r="P27" s="6">
        <f>IF(B27&lt;=Data!$H$22,$N$40,0)</f>
        <v>17805.975007111017</v>
      </c>
      <c r="Q27" s="6">
        <f t="shared" si="3"/>
        <v>-7852.3096211331722</v>
      </c>
      <c r="R27" s="6"/>
      <c r="S27">
        <v>20</v>
      </c>
      <c r="T27" s="113">
        <f>'Revenue Cost'!X26</f>
        <v>74544.83094597391</v>
      </c>
      <c r="U27" s="113">
        <f>'Revenue Cost'!AA26</f>
        <v>-1374.6262264267079</v>
      </c>
      <c r="V27" s="113">
        <f>'Revenue Cost'!AE26</f>
        <v>0</v>
      </c>
      <c r="W27" s="6">
        <f>-(Debt!I35+Debt!K35)</f>
        <v>-1857.0427321274278</v>
      </c>
      <c r="X27" s="6">
        <f>IF(Depreciation!$S$9=1,-(Depreciation!G28+Depreciation!H28),-(Depreciation!O28+Depreciation!P28))</f>
        <v>0</v>
      </c>
      <c r="Y27" s="6">
        <f>IF(S27=Data!$I$12,Data!$I$10*(1+Data!$D$37)^(S27-1)*Data!$D$39,IF(S27=Data!$I$21*Data!$I$12,Data!$I$10*(1+Data!$D$37)^(S27-1)*Data!$D$39,0))</f>
        <v>0</v>
      </c>
      <c r="Z27" s="6">
        <f t="shared" si="4"/>
        <v>71313.161987419764</v>
      </c>
      <c r="AA27" s="113">
        <f>-Z27*Data!$D$28</f>
        <v>-23533.343455848524</v>
      </c>
      <c r="AB27" s="6">
        <f>-(Debt!J35+Debt!L35)</f>
        <v>-37140.854642548555</v>
      </c>
      <c r="AC27" s="6">
        <f>IF(S27&gt;=Data!$D$32,0,IF(S27=0,-Data!$I$10*Data!$D$26-Data!$I$11*Data!$D$26,IF(S27=Data!$I$12,-Data!$I$10*(1+Data!$D$37)^(S27-1)*Data!$D$26,0)))</f>
        <v>0</v>
      </c>
      <c r="AD27" s="113">
        <f t="shared" si="5"/>
        <v>-38997.89737467598</v>
      </c>
      <c r="AE27" s="113">
        <f t="shared" si="6"/>
        <v>10638.963889022692</v>
      </c>
      <c r="AF27" s="6">
        <f>AE27/(1+Data!$I$23)^S27</f>
        <v>5541.5560998671135</v>
      </c>
      <c r="AG27" s="6">
        <f>IF(S27&lt;=Data!$I$22,$AE$40,0)</f>
        <v>5847.6208326920741</v>
      </c>
      <c r="AH27" s="6">
        <f t="shared" si="7"/>
        <v>32275.002145243532</v>
      </c>
    </row>
    <row r="28" spans="2:34" x14ac:dyDescent="0.2">
      <c r="B28" s="17">
        <v>21</v>
      </c>
      <c r="C28" s="113">
        <f>'Revenue Cost'!N27</f>
        <v>97428.918569421599</v>
      </c>
      <c r="D28" s="113">
        <f>'Revenue Cost'!Q27</f>
        <v>98631.216790802326</v>
      </c>
      <c r="E28" s="113">
        <f xml:space="preserve"> 'Revenue Cost'!U27</f>
        <v>0</v>
      </c>
      <c r="F28" s="6">
        <f>-(Debt!C36+Debt!E36)</f>
        <v>-16782.296115750596</v>
      </c>
      <c r="G28" s="6">
        <f>IF(Depreciation!$S$9=1,-(Depreciation!C29+Depreciation!D29),-(Depreciation!K29+Depreciation!L29))</f>
        <v>-80658.90250355094</v>
      </c>
      <c r="H28" s="6">
        <f>IF(B28='Revenue Cost'!$H$10,'Revenue Cost'!$H$8*(1+Data!$D$37)^(B28-1)*Data!$D$39,IF(B28=Data!$H$21*'Revenue Cost'!$H$10,'Revenue Cost'!$H$8*(1+Data!$D$37)^(B28-1)*Data!$D$39,0))</f>
        <v>0</v>
      </c>
      <c r="I28" s="6">
        <f t="shared" si="1"/>
        <v>98618.936740922407</v>
      </c>
      <c r="J28" s="113">
        <f>-I28*Data!$D$28</f>
        <v>-32544.249124504397</v>
      </c>
      <c r="K28" s="6">
        <f>-(Debt!D36+Debt!F36)</f>
        <v>-60743.453033535639</v>
      </c>
      <c r="L28" s="6">
        <f>IF(B28=Data!$D$32,0,IF(B28=0,-'Revenue Cost'!$H$8*Data!$D$26-'Revenue Cost'!$H$9*Data!$D$26,IF(B28='Revenue Cost'!$H$10,-'Revenue Cost'!$H$8*(1+Data!$D$37)^(B28-1)*Data!$D$26,0)))</f>
        <v>0</v>
      </c>
      <c r="M28" s="113">
        <f t="shared" si="0"/>
        <v>-77525.749149286232</v>
      </c>
      <c r="N28" s="113">
        <f t="shared" si="2"/>
        <v>85990.137086433315</v>
      </c>
      <c r="O28" s="6">
        <f>N28/(1+Data!$H$23)^B28</f>
        <v>43352.850752087194</v>
      </c>
      <c r="P28" s="6">
        <f>IF(B28&lt;=Data!$H$22,$N$40,0)</f>
        <v>17805.975007111017</v>
      </c>
      <c r="Q28" s="6">
        <f t="shared" si="3"/>
        <v>78429.677783674633</v>
      </c>
      <c r="R28" s="6"/>
      <c r="S28">
        <v>21</v>
      </c>
      <c r="T28" s="113">
        <f>'Revenue Cost'!X27</f>
        <v>74917.555100703772</v>
      </c>
      <c r="U28" s="113">
        <f>'Revenue Cost'!AA27</f>
        <v>-1051.6275042755042</v>
      </c>
      <c r="V28" s="113">
        <f>'Revenue Cost'!AE27</f>
        <v>0</v>
      </c>
      <c r="W28" s="6">
        <f>-(Debt!I36+Debt!K36)</f>
        <v>0</v>
      </c>
      <c r="X28" s="6">
        <f>IF(Depreciation!$S$9=1,-(Depreciation!G29+Depreciation!H29),-(Depreciation!O29+Depreciation!P29))</f>
        <v>0</v>
      </c>
      <c r="Y28" s="6">
        <f>IF(S28=Data!$I$12,Data!$I$10*(1+Data!$D$37)^(S28-1)*Data!$D$39,IF(S28=Data!$I$21*Data!$I$12,Data!$I$10*(1+Data!$D$37)^(S28-1)*Data!$D$39,0))</f>
        <v>0</v>
      </c>
      <c r="Z28" s="6">
        <f t="shared" si="4"/>
        <v>73865.927596428271</v>
      </c>
      <c r="AA28" s="113">
        <f>-Z28*Data!$D$28</f>
        <v>-24375.756106821329</v>
      </c>
      <c r="AB28" s="6">
        <f>-(Debt!J36+Debt!L36)</f>
        <v>0</v>
      </c>
      <c r="AC28" s="6">
        <f>IF(S28&gt;=Data!$D$32,0,IF(S28=0,-Data!$I$10*Data!$D$26-Data!$I$11*Data!$D$26,IF(S28=Data!$I$12,-Data!$I$10*(1+Data!$D$37)^(S28-1)*Data!$D$26,0)))</f>
        <v>0</v>
      </c>
      <c r="AD28" s="113">
        <f t="shared" si="5"/>
        <v>0</v>
      </c>
      <c r="AE28" s="113">
        <f t="shared" si="6"/>
        <v>49490.171489606946</v>
      </c>
      <c r="AF28" s="6">
        <f>AE28/(1+Data!$I$23)^S28</f>
        <v>24951.00125410351</v>
      </c>
      <c r="AG28" s="6">
        <f>IF(S28&lt;=Data!$I$22,$AE$40,0)</f>
        <v>5847.6208326920741</v>
      </c>
      <c r="AH28" s="6">
        <f t="shared" si="7"/>
        <v>70894.004082332656</v>
      </c>
    </row>
    <row r="29" spans="2:34" x14ac:dyDescent="0.2">
      <c r="B29" s="17">
        <v>22</v>
      </c>
      <c r="C29" s="113">
        <f>'Revenue Cost'!N28</f>
        <v>97916.063162268678</v>
      </c>
      <c r="D29" s="113">
        <f>'Revenue Cost'!Q28</f>
        <v>100495.60917444715</v>
      </c>
      <c r="E29" s="113">
        <f xml:space="preserve"> 'Revenue Cost'!U28</f>
        <v>0</v>
      </c>
      <c r="F29" s="6">
        <f>-(Debt!C37+Debt!E37)</f>
        <v>-13745.123464073811</v>
      </c>
      <c r="G29" s="6">
        <f>IF(Depreciation!$S$9=1,-(Depreciation!C30+Depreciation!D30),-(Depreciation!K30+Depreciation!L30))</f>
        <v>-80658.90250355094</v>
      </c>
      <c r="H29" s="6">
        <f>IF(B29='Revenue Cost'!$H$10,'Revenue Cost'!$H$8*(1+Data!$D$37)^(B29-1)*Data!$D$39,IF(B29=Data!$H$21*'Revenue Cost'!$H$10,'Revenue Cost'!$H$8*(1+Data!$D$37)^(B29-1)*Data!$D$39,0))</f>
        <v>0</v>
      </c>
      <c r="I29" s="6">
        <f t="shared" si="1"/>
        <v>104007.64636909108</v>
      </c>
      <c r="J29" s="113">
        <f>-I29*Data!$D$28</f>
        <v>-34322.523301800058</v>
      </c>
      <c r="K29" s="6">
        <f>-(Debt!D37+Debt!F37)</f>
        <v>-63780.625685212421</v>
      </c>
      <c r="L29" s="6">
        <f>IF(B29=Data!$D$32,0,IF(B29=0,-'Revenue Cost'!$H$8*Data!$D$26-'Revenue Cost'!$H$9*Data!$D$26,IF(B29='Revenue Cost'!$H$10,-'Revenue Cost'!$H$8*(1+Data!$D$37)^(B29-1)*Data!$D$26,0)))</f>
        <v>0</v>
      </c>
      <c r="M29" s="113">
        <f t="shared" si="0"/>
        <v>-77525.749149286232</v>
      </c>
      <c r="N29" s="113">
        <f t="shared" si="2"/>
        <v>86563.399885629551</v>
      </c>
      <c r="O29" s="6">
        <f>N29/(1+Data!$H$23)^B29</f>
        <v>42241.55964430824</v>
      </c>
      <c r="P29" s="6">
        <f>IF(B29&lt;=Data!$H$22,$N$40,0)</f>
        <v>17805.975007111017</v>
      </c>
      <c r="Q29" s="6">
        <f t="shared" si="3"/>
        <v>168391.81974112295</v>
      </c>
      <c r="R29" s="6"/>
      <c r="S29">
        <v>22</v>
      </c>
      <c r="T29" s="113">
        <f>'Revenue Cost'!X28</f>
        <v>75292.142876207276</v>
      </c>
      <c r="U29" s="113">
        <f>'Revenue Cost'!AA28</f>
        <v>-717.63937374409215</v>
      </c>
      <c r="V29" s="113">
        <f>'Revenue Cost'!AE28</f>
        <v>0</v>
      </c>
      <c r="W29" s="6">
        <f>-(Debt!I37+Debt!K37)</f>
        <v>0</v>
      </c>
      <c r="X29" s="6">
        <f>IF(Depreciation!$S$9=1,-(Depreciation!G30+Depreciation!H30),-(Depreciation!O30+Depreciation!P30))</f>
        <v>0</v>
      </c>
      <c r="Y29" s="6">
        <f>IF(S29=Data!$I$12,Data!$I$10*(1+Data!$D$37)^(S29-1)*Data!$D$39,IF(S29=Data!$I$21*Data!$I$12,Data!$I$10*(1+Data!$D$37)^(S29-1)*Data!$D$39,0))</f>
        <v>0</v>
      </c>
      <c r="Z29" s="6">
        <f t="shared" si="4"/>
        <v>74574.50350246318</v>
      </c>
      <c r="AA29" s="113">
        <f>-Z29*Data!$D$28</f>
        <v>-24609.586155812849</v>
      </c>
      <c r="AB29" s="6">
        <f>-(Debt!J37+Debt!L37)</f>
        <v>0</v>
      </c>
      <c r="AC29" s="6">
        <f>IF(S29&gt;=Data!$D$32,0,IF(S29=0,-Data!$I$10*Data!$D$26-Data!$I$11*Data!$D$26,IF(S29=Data!$I$12,-Data!$I$10*(1+Data!$D$37)^(S29-1)*Data!$D$26,0)))</f>
        <v>0</v>
      </c>
      <c r="AD29" s="113">
        <f t="shared" si="5"/>
        <v>0</v>
      </c>
      <c r="AE29" s="113">
        <f t="shared" si="6"/>
        <v>49964.917346650327</v>
      </c>
      <c r="AF29" s="6">
        <f>AE29/(1+Data!$I$23)^S29</f>
        <v>24382.0834095016</v>
      </c>
      <c r="AG29" s="6">
        <f>IF(S29&lt;=Data!$I$22,$AE$40,0)</f>
        <v>5847.6208326920741</v>
      </c>
      <c r="AH29" s="6">
        <f t="shared" si="7"/>
        <v>110094.05272527997</v>
      </c>
    </row>
    <row r="30" spans="2:34" x14ac:dyDescent="0.2">
      <c r="B30" s="17">
        <v>23</v>
      </c>
      <c r="C30" s="113">
        <f>'Revenue Cost'!N29</f>
        <v>98405.643478080005</v>
      </c>
      <c r="D30" s="113">
        <f>'Revenue Cost'!Q29</f>
        <v>102410.34854422935</v>
      </c>
      <c r="E30" s="113">
        <f xml:space="preserve"> 'Revenue Cost'!U29</f>
        <v>0</v>
      </c>
      <c r="F30" s="6">
        <f>-(Debt!C38+Debt!E38)</f>
        <v>-10556.092179813189</v>
      </c>
      <c r="G30" s="6">
        <f>IF(Depreciation!$S$9=1,-(Depreciation!C31+Depreciation!D31),-(Depreciation!K31+Depreciation!L31))</f>
        <v>0</v>
      </c>
      <c r="H30" s="6">
        <f>IF(B30='Revenue Cost'!$H$10,'Revenue Cost'!$H$8*(1+Data!$D$37)^(B30-1)*Data!$D$39,IF(B30=Data!$H$21*'Revenue Cost'!$H$10,'Revenue Cost'!$H$8*(1+Data!$D$37)^(B30-1)*Data!$D$39,0))</f>
        <v>0</v>
      </c>
      <c r="I30" s="6">
        <f t="shared" si="1"/>
        <v>190259.89984249615</v>
      </c>
      <c r="J30" s="113">
        <f>-I30*Data!$D$28</f>
        <v>-62785.766948023731</v>
      </c>
      <c r="K30" s="6">
        <f>-(Debt!D38+Debt!F38)</f>
        <v>-66969.656969473042</v>
      </c>
      <c r="L30" s="6">
        <f>IF(B30=Data!$D$32,0,IF(B30=0,-'Revenue Cost'!$H$8*Data!$D$26-'Revenue Cost'!$H$9*Data!$D$26,IF(B30='Revenue Cost'!$H$10,-'Revenue Cost'!$H$8*(1+Data!$D$37)^(B30-1)*Data!$D$26,0)))</f>
        <v>0</v>
      </c>
      <c r="M30" s="113">
        <f t="shared" si="0"/>
        <v>-77525.749149286232</v>
      </c>
      <c r="N30" s="113">
        <f t="shared" si="2"/>
        <v>60504.47592499938</v>
      </c>
      <c r="O30" s="6">
        <f>N30/(1+Data!$H$23)^B30</f>
        <v>28577.863847670713</v>
      </c>
      <c r="P30" s="6">
        <f>IF(B30&lt;=Data!$H$22,$N$40,0)</f>
        <v>17805.975007111017</v>
      </c>
      <c r="Q30" s="6">
        <f t="shared" si="3"/>
        <v>233058.01289706223</v>
      </c>
      <c r="R30" s="6"/>
      <c r="S30">
        <v>23</v>
      </c>
      <c r="T30" s="113">
        <f>'Revenue Cost'!X29</f>
        <v>75668.603590588304</v>
      </c>
      <c r="U30" s="113">
        <f>'Revenue Cost'!AA29</f>
        <v>-372.3423341338621</v>
      </c>
      <c r="V30" s="113">
        <f>'Revenue Cost'!AE29</f>
        <v>0</v>
      </c>
      <c r="W30" s="6">
        <f>-(Debt!I38+Debt!K38)</f>
        <v>0</v>
      </c>
      <c r="X30" s="6">
        <f>IF(Depreciation!$S$9=1,-(Depreciation!G31+Depreciation!H31),-(Depreciation!O31+Depreciation!P31))</f>
        <v>0</v>
      </c>
      <c r="Y30" s="6">
        <f>IF(S30=Data!$I$12,Data!$I$10*(1+Data!$D$37)^(S30-1)*Data!$D$39,IF(S30=Data!$I$21*Data!$I$12,Data!$I$10*(1+Data!$D$37)^(S30-1)*Data!$D$39,0))</f>
        <v>0</v>
      </c>
      <c r="Z30" s="6">
        <f t="shared" si="4"/>
        <v>75296.26125645444</v>
      </c>
      <c r="AA30" s="113">
        <f>-Z30*Data!$D$28</f>
        <v>-24847.766214629966</v>
      </c>
      <c r="AB30" s="6">
        <f>-(Debt!J38+Debt!L38)</f>
        <v>0</v>
      </c>
      <c r="AC30" s="6">
        <f>IF(S30&gt;=Data!$D$32,0,IF(S30=0,-Data!$I$10*Data!$D$26-Data!$I$11*Data!$D$26,IF(S30=Data!$I$12,-Data!$I$10*(1+Data!$D$37)^(S30-1)*Data!$D$26,0)))</f>
        <v>0</v>
      </c>
      <c r="AD30" s="113">
        <f t="shared" si="5"/>
        <v>0</v>
      </c>
      <c r="AE30" s="113">
        <f t="shared" si="6"/>
        <v>50448.49504182447</v>
      </c>
      <c r="AF30" s="6">
        <f>AE30/(1+Data!$I$23)^S30</f>
        <v>23828.15817481466</v>
      </c>
      <c r="AG30" s="6">
        <f>IF(S30&lt;=Data!$I$22,$AE$40,0)</f>
        <v>5847.6208326920741</v>
      </c>
      <c r="AH30" s="6">
        <f t="shared" si="7"/>
        <v>149903.58387808176</v>
      </c>
    </row>
    <row r="31" spans="2:34" x14ac:dyDescent="0.2">
      <c r="B31" s="17">
        <v>24</v>
      </c>
      <c r="C31" s="113">
        <f>'Revenue Cost'!N30</f>
        <v>98897.671695470373</v>
      </c>
      <c r="D31" s="113">
        <f>'Revenue Cost'!Q30</f>
        <v>104377.05250939322</v>
      </c>
      <c r="E31" s="113">
        <f xml:space="preserve"> 'Revenue Cost'!U30</f>
        <v>0</v>
      </c>
      <c r="F31" s="6">
        <f>-(Debt!C39+Debt!E39)</f>
        <v>-7207.6093313395386</v>
      </c>
      <c r="G31" s="6">
        <f>IF(Depreciation!$S$9=1,-(Depreciation!C32+Depreciation!D32),-(Depreciation!K32+Depreciation!L32))</f>
        <v>0</v>
      </c>
      <c r="H31" s="6">
        <f>IF(B31='Revenue Cost'!$H$10,'Revenue Cost'!$H$8*(1+Data!$D$37)^(B31-1)*Data!$D$39,IF(B31=Data!$H$21*'Revenue Cost'!$H$10,'Revenue Cost'!$H$8*(1+Data!$D$37)^(B31-1)*Data!$D$39,0))</f>
        <v>0</v>
      </c>
      <c r="I31" s="6">
        <f t="shared" si="1"/>
        <v>196067.11487352406</v>
      </c>
      <c r="J31" s="113">
        <f>-I31*Data!$D$28</f>
        <v>-64702.147908262945</v>
      </c>
      <c r="K31" s="6">
        <f>-(Debt!D39+Debt!F39)</f>
        <v>-70318.139817946692</v>
      </c>
      <c r="L31" s="6">
        <f>IF(B31=Data!$D$32,0,IF(B31=0,-'Revenue Cost'!$H$8*Data!$D$26-'Revenue Cost'!$H$9*Data!$D$26,IF(B31='Revenue Cost'!$H$10,-'Revenue Cost'!$H$8*(1+Data!$D$37)^(B31-1)*Data!$D$26,0)))</f>
        <v>0</v>
      </c>
      <c r="M31" s="113">
        <f t="shared" si="0"/>
        <v>-77525.749149286232</v>
      </c>
      <c r="N31" s="113">
        <f t="shared" si="2"/>
        <v>61046.827147314427</v>
      </c>
      <c r="O31" s="6">
        <f>N31/(1+Data!$H$23)^B31</f>
        <v>27908.852219814427</v>
      </c>
      <c r="P31" s="6">
        <f>IF(B31&lt;=Data!$H$22,$N$40,0)</f>
        <v>17805.975007111017</v>
      </c>
      <c r="Q31" s="6">
        <f t="shared" si="3"/>
        <v>208114.70295794337</v>
      </c>
      <c r="R31" s="6"/>
      <c r="S31">
        <v>24</v>
      </c>
      <c r="T31" s="113">
        <f>'Revenue Cost'!X30</f>
        <v>76046.946608541228</v>
      </c>
      <c r="U31" s="113">
        <f>'Revenue Cost'!AA30</f>
        <v>-15.407848689681487</v>
      </c>
      <c r="V31" s="113">
        <f>'Revenue Cost'!AE30</f>
        <v>0</v>
      </c>
      <c r="W31" s="6">
        <f>-(Debt!I39+Debt!K39)</f>
        <v>0</v>
      </c>
      <c r="X31" s="6">
        <f>IF(Depreciation!$S$9=1,-(Depreciation!G32+Depreciation!H32),-(Depreciation!O32+Depreciation!P32))</f>
        <v>0</v>
      </c>
      <c r="Y31" s="6">
        <f>IF(S31=Data!$I$12,Data!$I$10*(1+Data!$D$37)^(S31-1)*Data!$D$39,IF(S31=Data!$I$21*Data!$I$12,Data!$I$10*(1+Data!$D$37)^(S31-1)*Data!$D$39,0))</f>
        <v>0</v>
      </c>
      <c r="Z31" s="6">
        <f t="shared" si="4"/>
        <v>76031.538759851552</v>
      </c>
      <c r="AA31" s="113">
        <f>-Z31*Data!$D$28</f>
        <v>-25090.407790751015</v>
      </c>
      <c r="AB31" s="6">
        <f>-(Debt!J39+Debt!L39)</f>
        <v>0</v>
      </c>
      <c r="AC31" s="6">
        <f>IF(S31&gt;=Data!$D$32,0,IF(S31=0,-Data!$I$10*Data!$D$26-Data!$I$11*Data!$D$26,IF(S31=Data!$I$12,-Data!$I$10*(1+Data!$D$37)^(S31-1)*Data!$D$26,0)))</f>
        <v>0</v>
      </c>
      <c r="AD31" s="113">
        <f t="shared" si="5"/>
        <v>0</v>
      </c>
      <c r="AE31" s="113">
        <f t="shared" si="6"/>
        <v>50941.130969100537</v>
      </c>
      <c r="AF31" s="6">
        <f>AE31/(1+Data!$I$23)^S31</f>
        <v>23288.818806193809</v>
      </c>
      <c r="AG31" s="6">
        <f>IF(S31&lt;=Data!$I$22,$AE$40,0)</f>
        <v>5847.6208326920741</v>
      </c>
      <c r="AH31" s="6">
        <f t="shared" si="7"/>
        <v>151354.54335757534</v>
      </c>
    </row>
    <row r="32" spans="2:34" x14ac:dyDescent="0.2">
      <c r="B32" s="17">
        <v>25</v>
      </c>
      <c r="C32" s="113">
        <f>'Revenue Cost'!N31</f>
        <v>99392.160053947737</v>
      </c>
      <c r="D32" s="113">
        <f>'Revenue Cost'!Q31</f>
        <v>106397.39093507751</v>
      </c>
      <c r="E32" s="113">
        <f xml:space="preserve"> 'Revenue Cost'!U31</f>
        <v>0</v>
      </c>
      <c r="F32" s="6">
        <f>-(Debt!C40+Debt!E40)</f>
        <v>-3691.702340442203</v>
      </c>
      <c r="G32" s="6">
        <f>IF(Depreciation!$S$9=1,-(Depreciation!C33+Depreciation!D33),-(Depreciation!K33+Depreciation!L33))</f>
        <v>0</v>
      </c>
      <c r="H32" s="6">
        <f>IF(B32='Revenue Cost'!$H$10,'Revenue Cost'!$H$8*(1+Data!$D$37)^(B32-1)*Data!$D$39,IF(B32=Data!$H$21*'Revenue Cost'!$H$10,'Revenue Cost'!$H$8*(1+Data!$D$37)^(B32-1)*Data!$D$39,0))</f>
        <v>0</v>
      </c>
      <c r="I32" s="6">
        <f t="shared" si="1"/>
        <v>202097.84864858305</v>
      </c>
      <c r="J32" s="113">
        <f>-I32*Data!$D$28</f>
        <v>-66692.290054032404</v>
      </c>
      <c r="K32" s="6">
        <f>-(Debt!D40+Debt!F40)</f>
        <v>-73834.046808844025</v>
      </c>
      <c r="L32" s="6">
        <f>IF(B32=Data!$D$32,0,IF(B32=0,-'Revenue Cost'!$H$8*Data!$D$26-'Revenue Cost'!$H$9*Data!$D$26,IF(B32='Revenue Cost'!$H$10,-'Revenue Cost'!$H$8*(1+Data!$D$37)^(B32-1)*Data!$D$26,0)))</f>
        <v>0</v>
      </c>
      <c r="M32" s="113">
        <f t="shared" si="0"/>
        <v>-77525.749149286232</v>
      </c>
      <c r="N32" s="113">
        <f t="shared" si="2"/>
        <v>61571.511785706607</v>
      </c>
      <c r="O32" s="6">
        <f>N32/(1+Data!$H$23)^B32</f>
        <v>27245.533498655608</v>
      </c>
      <c r="P32" s="6">
        <f>IF(B32&lt;=Data!$H$22,$N$40,0)</f>
        <v>17805.975007111017</v>
      </c>
      <c r="Q32" s="6">
        <f t="shared" si="3"/>
        <v>183122.8148580204</v>
      </c>
      <c r="R32" s="6"/>
      <c r="S32">
        <v>25</v>
      </c>
      <c r="T32" s="113">
        <f>'Revenue Cost'!X31</f>
        <v>76427.181341583942</v>
      </c>
      <c r="U32" s="113">
        <f>'Revenue Cost'!AA31</f>
        <v>353.50190932564328</v>
      </c>
      <c r="V32" s="113">
        <f>'Revenue Cost'!AE31</f>
        <v>0</v>
      </c>
      <c r="W32" s="6">
        <f>-(Debt!I40+Debt!K40)</f>
        <v>0</v>
      </c>
      <c r="X32" s="6">
        <f>IF(Depreciation!$S$9=1,-(Depreciation!G33+Depreciation!H33),-(Depreciation!O33+Depreciation!P33))</f>
        <v>0</v>
      </c>
      <c r="Y32" s="6">
        <f>IF(S32=Data!$I$12,Data!$I$10*(1+Data!$D$37)^(S32-1)*Data!$D$39,IF(S32=Data!$I$21*Data!$I$12,Data!$I$10*(1+Data!$D$37)^(S32-1)*Data!$D$39,0))</f>
        <v>0</v>
      </c>
      <c r="Z32" s="6">
        <f t="shared" si="4"/>
        <v>76780.683250909584</v>
      </c>
      <c r="AA32" s="113">
        <f>-Z32*Data!$D$28</f>
        <v>-25337.625472800162</v>
      </c>
      <c r="AB32" s="6">
        <f>-(Debt!J40+Debt!L40)</f>
        <v>0</v>
      </c>
      <c r="AC32" s="6">
        <f>IF(S32&gt;=Data!$D$32,0,IF(S32=0,-Data!$I$10*Data!$D$26-Data!$I$11*Data!$D$26,IF(S32=Data!$I$12,-Data!$I$10*(1+Data!$D$37)^(S32-1)*Data!$D$26,0)))</f>
        <v>0</v>
      </c>
      <c r="AD32" s="113">
        <f t="shared" si="5"/>
        <v>0</v>
      </c>
      <c r="AE32" s="113">
        <f t="shared" si="6"/>
        <v>51443.057778109418</v>
      </c>
      <c r="AF32" s="6">
        <f>AE32/(1+Data!$I$23)^S32</f>
        <v>22763.66964717157</v>
      </c>
      <c r="AG32" s="6">
        <f>IF(S32&lt;=Data!$I$22,$AE$40,0)</f>
        <v>5847.6208326920741</v>
      </c>
      <c r="AH32" s="6">
        <f t="shared" si="7"/>
        <v>152832.68378903443</v>
      </c>
    </row>
    <row r="33" spans="2:34" x14ac:dyDescent="0.2">
      <c r="B33" s="17">
        <v>26</v>
      </c>
      <c r="C33" s="113">
        <f>'Revenue Cost'!N32</f>
        <v>99889.120854217443</v>
      </c>
      <c r="D33" s="113">
        <f>'Revenue Cost'!Q32</f>
        <v>108473.0875691313</v>
      </c>
      <c r="E33" s="113">
        <f xml:space="preserve"> 'Revenue Cost'!U32</f>
        <v>0</v>
      </c>
      <c r="F33" s="6">
        <f>-(Debt!C41+Debt!E41)</f>
        <v>0</v>
      </c>
      <c r="G33" s="6">
        <f>IF(Depreciation!$S$9=1,-(Depreciation!C34+Depreciation!D34),-(Depreciation!K34+Depreciation!L34))</f>
        <v>0</v>
      </c>
      <c r="H33" s="6">
        <f>IF(B33='Revenue Cost'!$H$10,'Revenue Cost'!$H$8*(1+Data!$D$37)^(B33-1)*Data!$D$39,IF(B33=Data!$H$21*'Revenue Cost'!$H$10,'Revenue Cost'!$H$8*(1+Data!$D$37)^(B33-1)*Data!$D$39,0))</f>
        <v>0</v>
      </c>
      <c r="I33" s="6">
        <f t="shared" si="1"/>
        <v>208362.20842334873</v>
      </c>
      <c r="J33" s="113">
        <f>-I33*Data!$D$28</f>
        <v>-68759.528779705084</v>
      </c>
      <c r="K33" s="6">
        <f>-(Debt!D41+Debt!F41)</f>
        <v>0</v>
      </c>
      <c r="L33" s="6">
        <f>IF(B33=Data!$D$32,0,IF(B33=0,-'Revenue Cost'!$H$8*Data!$D$26-'Revenue Cost'!$H$9*Data!$D$26,IF(B33='Revenue Cost'!$H$10,-'Revenue Cost'!$H$8*(1+Data!$D$37)^(B33-1)*Data!$D$26,0)))</f>
        <v>0</v>
      </c>
      <c r="M33" s="113">
        <f t="shared" si="0"/>
        <v>0</v>
      </c>
      <c r="N33" s="113">
        <f t="shared" si="2"/>
        <v>139602.67964364364</v>
      </c>
      <c r="O33" s="6">
        <f>N33/(1+Data!$H$23)^B33</f>
        <v>59792.384561949344</v>
      </c>
      <c r="P33" s="6">
        <f>IF(B33&lt;=Data!$H$22,$N$40,0)</f>
        <v>17805.975007111017</v>
      </c>
      <c r="Q33" s="6">
        <f t="shared" si="3"/>
        <v>262221.01857666468</v>
      </c>
      <c r="R33" s="6"/>
      <c r="S33">
        <v>26</v>
      </c>
      <c r="T33" s="113">
        <f>'Revenue Cost'!X32</f>
        <v>76809.317248291845</v>
      </c>
      <c r="U33" s="113">
        <f>'Revenue Cost'!AA32</f>
        <v>734.73431767837246</v>
      </c>
      <c r="V33" s="113">
        <f>'Revenue Cost'!AE32</f>
        <v>0</v>
      </c>
      <c r="W33" s="6">
        <f>-(Debt!I41+Debt!K41)</f>
        <v>0</v>
      </c>
      <c r="X33" s="6">
        <f>IF(Depreciation!$S$9=1,-(Depreciation!G34+Depreciation!H34),-(Depreciation!O34+Depreciation!P34))</f>
        <v>0</v>
      </c>
      <c r="Y33" s="6">
        <f>IF(S33=Data!$I$12,Data!$I$10*(1+Data!$D$37)^(S33-1)*Data!$D$39,IF(S33=Data!$I$21*Data!$I$12,Data!$I$10*(1+Data!$D$37)^(S33-1)*Data!$D$39,0))</f>
        <v>0</v>
      </c>
      <c r="Z33" s="6">
        <f t="shared" si="4"/>
        <v>77544.051565970221</v>
      </c>
      <c r="AA33" s="113">
        <f>-Z33*Data!$D$28</f>
        <v>-25589.537016770173</v>
      </c>
      <c r="AB33" s="6">
        <f>-(Debt!J41+Debt!L41)</f>
        <v>0</v>
      </c>
      <c r="AC33" s="6">
        <f>IF(S33&gt;=Data!$D$32,0,IF(S33=0,-Data!$I$10*Data!$D$26-Data!$I$11*Data!$D$26,IF(S33=Data!$I$12,-Data!$I$10*(1+Data!$D$37)^(S33-1)*Data!$D$26,0)))</f>
        <v>0</v>
      </c>
      <c r="AD33" s="113">
        <f t="shared" si="5"/>
        <v>0</v>
      </c>
      <c r="AE33" s="113">
        <f t="shared" si="6"/>
        <v>51954.514549200045</v>
      </c>
      <c r="AF33" s="6">
        <f>AE33/(1+Data!$I$23)^S33</f>
        <v>22252.325826301611</v>
      </c>
      <c r="AG33" s="6">
        <f>IF(S33&lt;=Data!$I$22,$AE$40,0)</f>
        <v>5847.6208326920741</v>
      </c>
      <c r="AH33" s="6">
        <f t="shared" si="7"/>
        <v>154338.70329641001</v>
      </c>
    </row>
    <row r="34" spans="2:34" x14ac:dyDescent="0.2">
      <c r="B34" s="17">
        <v>27</v>
      </c>
      <c r="C34" s="113">
        <f>'Revenue Cost'!N33</f>
        <v>100388.56645848855</v>
      </c>
      <c r="D34" s="113">
        <f>'Revenue Cost'!Q33</f>
        <v>110605.92171783182</v>
      </c>
      <c r="E34" s="113">
        <f xml:space="preserve"> 'Revenue Cost'!U33</f>
        <v>0</v>
      </c>
      <c r="F34" s="6">
        <f>-(Debt!C42+Debt!E42)</f>
        <v>0</v>
      </c>
      <c r="G34" s="6">
        <f>IF(Depreciation!$S$9=1,-(Depreciation!C35+Depreciation!D35),-(Depreciation!K35+Depreciation!L35))</f>
        <v>0</v>
      </c>
      <c r="H34" s="6">
        <f>IF(B34='Revenue Cost'!$H$10,'Revenue Cost'!$H$8*(1+Data!$D$37)^(B34-1)*Data!$D$39,IF(B34=Data!$H$21*'Revenue Cost'!$H$10,'Revenue Cost'!$H$8*(1+Data!$D$37)^(B34-1)*Data!$D$39,0))</f>
        <v>0</v>
      </c>
      <c r="I34" s="6">
        <f t="shared" si="1"/>
        <v>210994.48817632039</v>
      </c>
      <c r="J34" s="113">
        <f>-I34*Data!$D$28</f>
        <v>-69628.181098185727</v>
      </c>
      <c r="K34" s="6">
        <f>-(Debt!D42+Debt!F42)</f>
        <v>0</v>
      </c>
      <c r="L34" s="6">
        <f>IF(B34=Data!$D$32,0,IF(B34=0,-'Revenue Cost'!$H$8*Data!$D$26-'Revenue Cost'!$H$9*Data!$D$26,IF(B34='Revenue Cost'!$H$10,-'Revenue Cost'!$H$8*(1+Data!$D$37)^(B34-1)*Data!$D$26,0)))</f>
        <v>0</v>
      </c>
      <c r="M34" s="113">
        <f t="shared" si="0"/>
        <v>0</v>
      </c>
      <c r="N34" s="113">
        <f t="shared" si="2"/>
        <v>141366.30707813468</v>
      </c>
      <c r="O34" s="6">
        <f>N34/(1+Data!$H$23)^B34</f>
        <v>58604.997558142262</v>
      </c>
      <c r="P34" s="6">
        <f>IF(B34&lt;=Data!$H$22,$N$40,0)</f>
        <v>17805.975007111017</v>
      </c>
      <c r="Q34" s="6">
        <f t="shared" si="3"/>
        <v>342540.49850748491</v>
      </c>
      <c r="R34" s="6"/>
      <c r="S34">
        <v>27</v>
      </c>
      <c r="T34" s="113">
        <f>'Revenue Cost'!X33</f>
        <v>77193.363834533287</v>
      </c>
      <c r="U34" s="113">
        <f>'Revenue Cost'!AA33</f>
        <v>1128.6465735318743</v>
      </c>
      <c r="V34" s="113">
        <f>'Revenue Cost'!AE33</f>
        <v>0</v>
      </c>
      <c r="W34" s="6">
        <f>-(Debt!I42+Debt!K42)</f>
        <v>0</v>
      </c>
      <c r="X34" s="6">
        <f>IF(Depreciation!$S$9=1,-(Depreciation!G35+Depreciation!H35),-(Depreciation!O35+Depreciation!P35))</f>
        <v>0</v>
      </c>
      <c r="Y34" s="6">
        <f>IF(S34=Data!$I$12,Data!$I$10*(1+Data!$D$37)^(S34-1)*Data!$D$39,IF(S34=Data!$I$21*Data!$I$12,Data!$I$10*(1+Data!$D$37)^(S34-1)*Data!$D$39,0))</f>
        <v>0</v>
      </c>
      <c r="Z34" s="6">
        <f t="shared" si="4"/>
        <v>78322.010408065165</v>
      </c>
      <c r="AA34" s="113">
        <f>-Z34*Data!$D$28</f>
        <v>-25846.263434661505</v>
      </c>
      <c r="AB34" s="6">
        <f>-(Debt!J42+Debt!L42)</f>
        <v>0</v>
      </c>
      <c r="AC34" s="6">
        <f>IF(S34&gt;=Data!$D$32,0,IF(S34=0,-Data!$I$10*Data!$D$26-Data!$I$11*Data!$D$26,IF(S34=Data!$I$12,-Data!$I$10*(1+Data!$D$37)^(S34-1)*Data!$D$26,0)))</f>
        <v>0</v>
      </c>
      <c r="AD34" s="113">
        <f t="shared" si="5"/>
        <v>0</v>
      </c>
      <c r="AE34" s="113">
        <f t="shared" si="6"/>
        <v>52475.746973403657</v>
      </c>
      <c r="AF34" s="6">
        <f>AE34/(1+Data!$I$23)^S34</f>
        <v>21754.41296304245</v>
      </c>
      <c r="AG34" s="6">
        <f>IF(S34&lt;=Data!$I$22,$AE$40,0)</f>
        <v>5847.6208326920741</v>
      </c>
      <c r="AH34" s="6">
        <f t="shared" si="7"/>
        <v>155873.31930071313</v>
      </c>
    </row>
    <row r="35" spans="2:34" x14ac:dyDescent="0.2">
      <c r="B35" s="17">
        <v>28</v>
      </c>
      <c r="C35" s="113">
        <f>'Revenue Cost'!N34</f>
        <v>100890.50929078096</v>
      </c>
      <c r="D35" s="113">
        <f>'Revenue Cost'!Q34</f>
        <v>112797.72997193658</v>
      </c>
      <c r="E35" s="113">
        <f xml:space="preserve"> 'Revenue Cost'!U34</f>
        <v>0</v>
      </c>
      <c r="F35" s="6">
        <f>-(Debt!C43+Debt!E43)</f>
        <v>0</v>
      </c>
      <c r="G35" s="6">
        <f>IF(Depreciation!$S$9=1,-(Depreciation!C36+Depreciation!D36),-(Depreciation!K36+Depreciation!L36))</f>
        <v>0</v>
      </c>
      <c r="H35" s="6">
        <f>IF(B35='Revenue Cost'!$H$10,'Revenue Cost'!$H$8*(1+Data!$D$37)^(B35-1)*Data!$D$39,IF(B35=Data!$H$21*'Revenue Cost'!$H$10,'Revenue Cost'!$H$8*(1+Data!$D$37)^(B35-1)*Data!$D$39,0))</f>
        <v>0</v>
      </c>
      <c r="I35" s="6">
        <f t="shared" si="1"/>
        <v>213688.23926271754</v>
      </c>
      <c r="J35" s="113">
        <f>-I35*Data!$D$28</f>
        <v>-70517.118956696795</v>
      </c>
      <c r="K35" s="6">
        <f>-(Debt!D43+Debt!F43)</f>
        <v>0</v>
      </c>
      <c r="L35" s="6">
        <f>IF(B35=Data!$D$32,0,IF(B35=0,-'Revenue Cost'!$H$8*Data!$D$26-'Revenue Cost'!$H$9*Data!$D$26,IF(B35='Revenue Cost'!$H$10,-'Revenue Cost'!$H$8*(1+Data!$D$37)^(B35-1)*Data!$D$26,0)))</f>
        <v>0</v>
      </c>
      <c r="M35" s="113">
        <f t="shared" si="0"/>
        <v>0</v>
      </c>
      <c r="N35" s="113">
        <f t="shared" si="2"/>
        <v>143171.12030602075</v>
      </c>
      <c r="O35" s="6">
        <f>N35/(1+Data!$H$23)^B35</f>
        <v>57448.776309814872</v>
      </c>
      <c r="P35" s="6">
        <f>IF(B35&lt;=Data!$H$22,$N$40,0)</f>
        <v>17805.975007111017</v>
      </c>
      <c r="Q35" s="6">
        <f t="shared" si="3"/>
        <v>424140.10702779901</v>
      </c>
      <c r="R35" s="6"/>
      <c r="S35">
        <v>28</v>
      </c>
      <c r="T35" s="113">
        <f>'Revenue Cost'!X34</f>
        <v>77579.33065370594</v>
      </c>
      <c r="U35" s="113">
        <f>'Revenue Cost'!AA34</f>
        <v>1535.605969340897</v>
      </c>
      <c r="V35" s="113">
        <f>'Revenue Cost'!AE34</f>
        <v>0</v>
      </c>
      <c r="W35" s="6">
        <f>-(Debt!I43+Debt!K43)</f>
        <v>0</v>
      </c>
      <c r="X35" s="6">
        <f>IF(Depreciation!$S$9=1,-(Depreciation!G36+Depreciation!H36),-(Depreciation!O36+Depreciation!P36))</f>
        <v>0</v>
      </c>
      <c r="Y35" s="6">
        <f>IF(S35=Data!$I$12,Data!$I$10*(1+Data!$D$37)^(S35-1)*Data!$D$39,IF(S35=Data!$I$21*Data!$I$12,Data!$I$10*(1+Data!$D$37)^(S35-1)*Data!$D$39,0))</f>
        <v>0</v>
      </c>
      <c r="Z35" s="6">
        <f t="shared" si="4"/>
        <v>79114.936623046844</v>
      </c>
      <c r="AA35" s="113">
        <f>-Z35*Data!$D$28</f>
        <v>-26107.929085605461</v>
      </c>
      <c r="AB35" s="6">
        <f>-(Debt!J43+Debt!L43)</f>
        <v>0</v>
      </c>
      <c r="AC35" s="6">
        <f>IF(S35&gt;=Data!$D$32,0,IF(S35=0,-Data!$I$10*Data!$D$26-Data!$I$11*Data!$D$26,IF(S35=Data!$I$12,-Data!$I$10*(1+Data!$D$37)^(S35-1)*Data!$D$26,0)))</f>
        <v>0</v>
      </c>
      <c r="AD35" s="113">
        <f t="shared" si="5"/>
        <v>0</v>
      </c>
      <c r="AE35" s="113">
        <f t="shared" si="6"/>
        <v>53007.007537441386</v>
      </c>
      <c r="AF35" s="6">
        <f>AE35/(1+Data!$I$23)^S35</f>
        <v>21269.566881660299</v>
      </c>
      <c r="AG35" s="6">
        <f>IF(S35&lt;=Data!$I$22,$AE$40,0)</f>
        <v>5847.6208326920741</v>
      </c>
      <c r="AH35" s="6">
        <f t="shared" si="7"/>
        <v>157437.26906004507</v>
      </c>
    </row>
    <row r="36" spans="2:34" x14ac:dyDescent="0.2">
      <c r="B36" s="17">
        <v>29</v>
      </c>
      <c r="C36" s="113">
        <f>'Revenue Cost'!N35</f>
        <v>101394.96183723485</v>
      </c>
      <c r="D36" s="113">
        <f>'Revenue Cost'!Q35</f>
        <v>115050.40798454384</v>
      </c>
      <c r="E36" s="113">
        <f xml:space="preserve"> 'Revenue Cost'!U35</f>
        <v>0</v>
      </c>
      <c r="F36" s="6">
        <f>-(Debt!C44+Debt!E44)</f>
        <v>0</v>
      </c>
      <c r="G36" s="6">
        <f>IF(Depreciation!$S$9=1,-(Depreciation!C37+Depreciation!D37),-(Depreciation!K37+Depreciation!L37))</f>
        <v>0</v>
      </c>
      <c r="H36" s="6">
        <f>IF(B36='Revenue Cost'!$H$10,'Revenue Cost'!$H$8*(1+Data!$D$37)^(B36-1)*Data!$D$39,IF(B36=Data!$H$21*'Revenue Cost'!$H$10,'Revenue Cost'!$H$8*(1+Data!$D$37)^(B36-1)*Data!$D$39,0))</f>
        <v>0</v>
      </c>
      <c r="I36" s="6">
        <f t="shared" si="1"/>
        <v>216445.36982177867</v>
      </c>
      <c r="J36" s="113">
        <f>-I36*Data!$D$28</f>
        <v>-71426.972041186964</v>
      </c>
      <c r="K36" s="6">
        <f>-(Debt!D44+Debt!F44)</f>
        <v>0</v>
      </c>
      <c r="L36" s="6">
        <f>IF(B36=Data!$D$32,0,IF(B36=0,-'Revenue Cost'!$H$8*Data!$D$26-'Revenue Cost'!$H$9*Data!$D$26,IF(B36='Revenue Cost'!$H$10,-'Revenue Cost'!$H$8*(1+Data!$D$37)^(B36-1)*Data!$D$26,0)))</f>
        <v>0</v>
      </c>
      <c r="M36" s="113">
        <f t="shared" si="0"/>
        <v>0</v>
      </c>
      <c r="N36" s="113">
        <f t="shared" si="2"/>
        <v>145018.39778059171</v>
      </c>
      <c r="O36" s="6">
        <f>N36/(1+Data!$H$23)^B36</f>
        <v>56322.909547805291</v>
      </c>
      <c r="P36" s="6">
        <f>IF(B36&lt;=Data!$H$22,$N$40,0)</f>
        <v>17805.975007111017</v>
      </c>
      <c r="Q36" s="6">
        <f t="shared" si="3"/>
        <v>429555.82516474719</v>
      </c>
      <c r="R36" s="6"/>
      <c r="S36">
        <v>29</v>
      </c>
      <c r="T36" s="113">
        <f>'Revenue Cost'!X35</f>
        <v>77967.227306974455</v>
      </c>
      <c r="U36" s="113">
        <f>'Revenue Cost'!AA35</f>
        <v>1955.9901764829065</v>
      </c>
      <c r="V36" s="113">
        <f>'Revenue Cost'!AE35</f>
        <v>0</v>
      </c>
      <c r="W36" s="6">
        <f>-(Debt!I44+Debt!K44)</f>
        <v>0</v>
      </c>
      <c r="X36" s="6">
        <f>IF(Depreciation!$S$9=1,-(Depreciation!G37+Depreciation!H37),-(Depreciation!O37+Depreciation!P37))</f>
        <v>0</v>
      </c>
      <c r="Y36" s="6">
        <f>IF(S36=Data!$I$12,Data!$I$10*(1+Data!$D$37)^(S36-1)*Data!$D$39,IF(S36=Data!$I$21*Data!$I$12,Data!$I$10*(1+Data!$D$37)^(S36-1)*Data!$D$39,0))</f>
        <v>0</v>
      </c>
      <c r="Z36" s="6">
        <f t="shared" si="4"/>
        <v>79923.217483457367</v>
      </c>
      <c r="AA36" s="113">
        <f>-Z36*Data!$D$28</f>
        <v>-26374.661769540933</v>
      </c>
      <c r="AB36" s="6">
        <f>-(Debt!J44+Debt!L44)</f>
        <v>0</v>
      </c>
      <c r="AC36" s="6">
        <f>IF(S36&gt;=Data!$D$32,0,IF(S36=0,-Data!$I$10*Data!$D$26-Data!$I$11*Data!$D$26,IF(S36=Data!$I$12,-Data!$I$10*(1+Data!$D$37)^(S36-1)*Data!$D$26,0)))</f>
        <v>0</v>
      </c>
      <c r="AD36" s="113">
        <f t="shared" si="5"/>
        <v>0</v>
      </c>
      <c r="AE36" s="113">
        <f t="shared" si="6"/>
        <v>53548.55571391643</v>
      </c>
      <c r="AF36" s="6">
        <f>AE36/(1+Data!$I$23)^S36</f>
        <v>20797.433332932396</v>
      </c>
      <c r="AG36" s="6">
        <f>IF(S36&lt;=Data!$I$22,$AE$40,0)</f>
        <v>5847.6208326920741</v>
      </c>
      <c r="AH36" s="6">
        <f t="shared" si="7"/>
        <v>159031.31022476149</v>
      </c>
    </row>
    <row r="37" spans="2:34" x14ac:dyDescent="0.2">
      <c r="B37" s="17">
        <v>30</v>
      </c>
      <c r="C37" s="113">
        <f>'Revenue Cost'!N36</f>
        <v>101901.93664642102</v>
      </c>
      <c r="D37" s="113">
        <f>'Revenue Cost'!Q36</f>
        <v>117365.91230227907</v>
      </c>
      <c r="E37" s="113">
        <f xml:space="preserve"> 'Revenue Cost'!U36</f>
        <v>0</v>
      </c>
      <c r="F37" s="6">
        <f>-(Debt!C45+Debt!E45)</f>
        <v>0</v>
      </c>
      <c r="G37" s="6">
        <f>IF(Depreciation!$S$9=1,-(Depreciation!C38+Depreciation!D38),-(Depreciation!K38+Depreciation!L38))</f>
        <v>0</v>
      </c>
      <c r="H37" s="6">
        <f>IF(B37='Revenue Cost'!$H$10,'Revenue Cost'!$H$8*(1+Data!$D$37)^(B37-1)*Data!$D$39,IF(B37=Data!$H$21*'Revenue Cost'!$H$10,'Revenue Cost'!$H$8*(1+Data!$D$37)^(B37-1)*Data!$D$39,0))</f>
        <v>41579.47384556941</v>
      </c>
      <c r="I37" s="6">
        <f t="shared" si="1"/>
        <v>260847.32279426951</v>
      </c>
      <c r="J37" s="113">
        <f>-I37*Data!$D$28</f>
        <v>-86079.616522108947</v>
      </c>
      <c r="K37" s="6">
        <f>-(Debt!D45+Debt!F45)</f>
        <v>0</v>
      </c>
      <c r="L37" s="6">
        <f>IF(B37=Data!$D$32,0,IF(B37=0,-'Revenue Cost'!$H$8*Data!$D$26-'Revenue Cost'!$H$9*Data!$D$26,IF(B37='Revenue Cost'!$H$10,-'Revenue Cost'!$H$8*(1+Data!$D$37)^(B37-1)*Data!$D$26,0)))</f>
        <v>0</v>
      </c>
      <c r="M37" s="113">
        <f t="shared" si="0"/>
        <v>41579.47384556941</v>
      </c>
      <c r="N37" s="113">
        <f t="shared" si="2"/>
        <v>174767.70627216058</v>
      </c>
      <c r="O37" s="6">
        <f>N37/(1+Data!$H$23)^B37</f>
        <v>65699.155242190871</v>
      </c>
      <c r="P37" s="6">
        <f>IF(B37&lt;=Data!$H$22,$N$40,0)</f>
        <v>17805.975007111017</v>
      </c>
      <c r="Q37" s="6">
        <f t="shared" si="3"/>
        <v>462957.22435877303</v>
      </c>
      <c r="R37" s="6"/>
      <c r="S37">
        <v>30</v>
      </c>
      <c r="T37" s="113">
        <f>'Revenue Cost'!X36</f>
        <v>78357.063443509323</v>
      </c>
      <c r="U37" s="113">
        <f>'Revenue Cost'!AA36</f>
        <v>2390.1875368433411</v>
      </c>
      <c r="V37" s="113">
        <f>'Revenue Cost'!AE36</f>
        <v>0</v>
      </c>
      <c r="W37" s="6">
        <f>-(Debt!I45+Debt!K45)</f>
        <v>0</v>
      </c>
      <c r="X37" s="6">
        <f>IF(Depreciation!$S$9=1,-(Depreciation!G38+Depreciation!H38),-(Depreciation!O38+Depreciation!P38))</f>
        <v>0</v>
      </c>
      <c r="Y37" s="6">
        <f>IF(S37=Data!$I$12,Data!$I$10*(1+Data!$D$37)^(S37-1)*Data!$D$39,IF(S37=Data!$I$21*Data!$I$12,Data!$I$10*(1+Data!$D$37)^(S37-1)*Data!$D$39,0))</f>
        <v>41579.47384556941</v>
      </c>
      <c r="Z37" s="6">
        <f t="shared" si="4"/>
        <v>122326.72482592208</v>
      </c>
      <c r="AA37" s="113">
        <f>-Z37*Data!$D$28</f>
        <v>-40367.819192554285</v>
      </c>
      <c r="AB37" s="6">
        <f>-(Debt!J45+Debt!L45)</f>
        <v>0</v>
      </c>
      <c r="AC37" s="6">
        <f>IF(S37&gt;=Data!$D$32,0,IF(S37=0,-Data!$I$10*Data!$D$26-Data!$I$11*Data!$D$26,IF(S37=Data!$I$12,-Data!$I$10*(1+Data!$D$37)^(S37-1)*Data!$D$26,0)))</f>
        <v>0</v>
      </c>
      <c r="AD37" s="113">
        <f t="shared" si="5"/>
        <v>41579.47384556941</v>
      </c>
      <c r="AE37" s="113">
        <f t="shared" si="6"/>
        <v>81958.905633367787</v>
      </c>
      <c r="AF37" s="6">
        <f>AE37/(1+Data!$I$23)^S37</f>
        <v>30810.216484167711</v>
      </c>
      <c r="AG37" s="6">
        <f>IF(S37&lt;=Data!$I$22,$AE$40,0)</f>
        <v>5847.6208326920741</v>
      </c>
      <c r="AH37" s="6">
        <f t="shared" si="7"/>
        <v>188514.46888472559</v>
      </c>
    </row>
    <row r="38" spans="2:34" x14ac:dyDescent="0.2">
      <c r="C38" s="11"/>
      <c r="D38" s="11"/>
      <c r="E38" s="11"/>
      <c r="J38" s="11"/>
      <c r="L38" s="6"/>
      <c r="M38" s="11"/>
      <c r="N38" s="11"/>
      <c r="T38" s="11"/>
      <c r="U38" s="11"/>
      <c r="V38" s="11"/>
      <c r="AA38" s="11"/>
      <c r="AD38" s="11"/>
      <c r="AE38" s="11"/>
    </row>
    <row r="39" spans="2:34" x14ac:dyDescent="0.2">
      <c r="B39" s="17" t="s">
        <v>73</v>
      </c>
      <c r="C39" s="14">
        <f>NPV(Data!$H$23,C8:C37)+C7</f>
        <v>1764849.3197018004</v>
      </c>
      <c r="D39" s="14">
        <f>NPV(Data!$H$23,D8:D37)+D7</f>
        <v>1057313.5665762371</v>
      </c>
      <c r="E39" s="14">
        <f>NPV(Data!$H$23,E8:E37)+E7</f>
        <v>0</v>
      </c>
      <c r="F39" s="13">
        <f>NPV(Data!$H$23,F8:F37)+F7</f>
        <v>-758224.13009216427</v>
      </c>
      <c r="G39" s="13">
        <f>NPV(Data!$H$23,G8:G37)+G7</f>
        <v>-1919260.362683696</v>
      </c>
      <c r="H39" s="13">
        <f>NPV(Data!$H$23,H8:H37)+H7</f>
        <v>36021.628968822726</v>
      </c>
      <c r="I39" s="13">
        <f>NPV(Data!$H$23,I8:I37)+I7</f>
        <v>180700.02247099916</v>
      </c>
      <c r="J39" s="14">
        <f>NPV(Data!$H$23,J8:J37)+J7</f>
        <v>-59631.007415429798</v>
      </c>
      <c r="K39" s="13">
        <f>NPV(Data!$H$23,K8:K37)+K7</f>
        <v>-1484334.6669293055</v>
      </c>
      <c r="L39" s="13">
        <f>NPV(Data!$H$23,L8:L37)+L7</f>
        <v>-220781.91835337895</v>
      </c>
      <c r="M39" s="14">
        <f>NPV(Data!$H$23,M8:M37)+M7</f>
        <v>-2427319.0864060256</v>
      </c>
      <c r="N39" s="14">
        <f>NPV(Data!$H$23,N8:N37)+N7</f>
        <v>335212.79245658161</v>
      </c>
      <c r="O39" s="13">
        <f>SUM(O7:O37)</f>
        <v>335212.79245658178</v>
      </c>
      <c r="P39" s="13">
        <f>NPV(Data!$H$23,P8:P37)+P7</f>
        <v>335212.79245658155</v>
      </c>
      <c r="Q39" s="13"/>
      <c r="S39" t="s">
        <v>73</v>
      </c>
      <c r="T39" s="14">
        <f>NPV(Data!$I$23,T8:T37)+T7</f>
        <v>1357073.4243446309</v>
      </c>
      <c r="U39" s="14">
        <f>NPV(Data!$I$23,U8:U37)+U7</f>
        <v>-56567.424038007914</v>
      </c>
      <c r="V39" s="14">
        <f>NPV(Data!$I$23,V8:V37)+V7</f>
        <v>0</v>
      </c>
      <c r="W39" s="13">
        <f>NPV(Data!$I$23,W8:W37)+W7</f>
        <v>-356093.15926866705</v>
      </c>
      <c r="X39" s="13">
        <f>NPV(Data!$I$23,X8:X37)+X7</f>
        <v>-941719.92186485243</v>
      </c>
      <c r="Y39" s="13">
        <f>NPV(Data!$I$23,Y8:Y37)+Y7</f>
        <v>15630.669792133258</v>
      </c>
      <c r="Z39" s="13">
        <f>NPV(Data!$I$23,Z8:Z37)+Z7</f>
        <v>18323.588965236748</v>
      </c>
      <c r="AA39" s="14">
        <f>NPV(Data!$I$23,AA8:AA37)+AA7</f>
        <v>-6046.784358528148</v>
      </c>
      <c r="AB39" s="13">
        <f>NPV(Data!$I$23,AB8:AB37)+AB7</f>
        <v>-735910.2354048735</v>
      </c>
      <c r="AC39" s="13">
        <f>NPV(Data!$I$23,AC8:AC37)+AC7</f>
        <v>-108000</v>
      </c>
      <c r="AD39" s="14">
        <f>NPV(Data!$I$23,AD8:AD37)+AD7</f>
        <v>-1184372.7248814073</v>
      </c>
      <c r="AE39" s="14">
        <f>NPV(Data!$I$23,AE8:AE37)+AE7</f>
        <v>110086.49106668768</v>
      </c>
      <c r="AF39" s="13">
        <f>SUM(AF7:AF37)</f>
        <v>110086.49106668773</v>
      </c>
      <c r="AG39" s="13">
        <f>NPV(Data!$I$23,AG8:AG37)+AG7</f>
        <v>110086.49106668768</v>
      </c>
      <c r="AH39" s="13"/>
    </row>
    <row r="40" spans="2:34" x14ac:dyDescent="0.2">
      <c r="B40" s="17" t="s">
        <v>201</v>
      </c>
      <c r="C40" s="14">
        <f>-PMT(Data!$H$23,Data!$H$22,C39)</f>
        <v>93746.013234257582</v>
      </c>
      <c r="D40" s="14">
        <f>-PMT(Data!$H$23,Data!$H$22,D39)</f>
        <v>56162.829595992793</v>
      </c>
      <c r="E40" s="14">
        <f>-PMT(Data!$H$23,Data!$H$22,E39)</f>
        <v>0</v>
      </c>
      <c r="F40" s="13">
        <f>-PMT(Data!$H$23,Data!$H$22,F39)</f>
        <v>-40275.67030264299</v>
      </c>
      <c r="G40" s="13">
        <f>-PMT(Data!$H$23,Data!$H$22,G39)</f>
        <v>-101948.08437840613</v>
      </c>
      <c r="H40" s="13">
        <f>-PMT(Data!$H$23,Data!$H$22,H39)</f>
        <v>1913.4121357178249</v>
      </c>
      <c r="I40" s="13">
        <f>-PMT(Data!$H$23,Data!$H$22,I39)</f>
        <v>9598.500284919055</v>
      </c>
      <c r="J40" s="14">
        <f>-PMT(Data!$H$23,Data!$H$22,J39)</f>
        <v>-3167.5050940232918</v>
      </c>
      <c r="K40" s="13">
        <f>-PMT(Data!$H$23,Data!$H$22,K39)</f>
        <v>-78845.517164906574</v>
      </c>
      <c r="L40" s="13">
        <f>-PMT(Data!$H$23,Data!$H$22,L39)</f>
        <v>-11727.587397284322</v>
      </c>
      <c r="M40" s="14">
        <f>-PMT(Data!$H$23,Data!$H$22,M39)</f>
        <v>-128935.36272911604</v>
      </c>
      <c r="N40" s="14">
        <f>-PMT(Data!$H$23,Data!$H$22,N39)</f>
        <v>17805.975007111017</v>
      </c>
      <c r="O40" s="13">
        <f>-PMT(Data!$H$23,Data!$H$22,O39)</f>
        <v>17805.975007111025</v>
      </c>
      <c r="P40" s="13">
        <f>-PMT(Data!$H$23,Data!$H$22,P39)</f>
        <v>17805.975007111014</v>
      </c>
      <c r="Q40" s="13"/>
      <c r="S40" t="s">
        <v>77</v>
      </c>
      <c r="T40" s="14">
        <f>-PMT(Data!$I$23,Data!$I$22,T39)</f>
        <v>72085.600610916139</v>
      </c>
      <c r="U40" s="14">
        <f>-PMT(Data!$I$23,Data!$I$22,U39)</f>
        <v>-3004.7723753498531</v>
      </c>
      <c r="V40" s="14">
        <f>-PMT(Data!$I$23,Data!$I$22,V39)</f>
        <v>0</v>
      </c>
      <c r="W40" s="13">
        <f>-PMT(Data!$I$23,Data!$I$22,W39)</f>
        <v>-18915.107170208466</v>
      </c>
      <c r="X40" s="13">
        <f>-PMT(Data!$I$23,Data!$I$22,X39)</f>
        <v>-50022.677444793539</v>
      </c>
      <c r="Y40" s="13">
        <f>-PMT(Data!$I$23,Data!$I$22,Y39)</f>
        <v>830.27653456626138</v>
      </c>
      <c r="Z40" s="13">
        <f>-PMT(Data!$I$23,Data!$I$22,Z39)</f>
        <v>973.32015513053784</v>
      </c>
      <c r="AA40" s="14">
        <f>-PMT(Data!$I$23,Data!$I$22,AA39)</f>
        <v>-321.19565119307856</v>
      </c>
      <c r="AB40" s="13">
        <f>-PMT(Data!$I$23,Data!$I$22,AB39)</f>
        <v>-39090.391399050219</v>
      </c>
      <c r="AC40" s="13">
        <f>-PMT(Data!$I$23,Data!$I$22,AC39)</f>
        <v>-5736.7897169887156</v>
      </c>
      <c r="AD40" s="14">
        <f>-PMT(Data!$I$23,Data!$I$22,AD39)</f>
        <v>-62912.011751681144</v>
      </c>
      <c r="AE40" s="14">
        <f>-PMT(Data!$I$23,Data!$I$22,AE39)</f>
        <v>5847.6208326920741</v>
      </c>
      <c r="AF40" s="13">
        <f>-PMT(Data!$I$23,Data!$I$22,AF39)</f>
        <v>5847.6208326920769</v>
      </c>
      <c r="AG40" s="13">
        <f>-PMT(Data!$I$23,Data!$I$22,AG39)</f>
        <v>5847.6208326920741</v>
      </c>
      <c r="AH40" s="13"/>
    </row>
  </sheetData>
  <mergeCells count="3">
    <mergeCell ref="B2:F2"/>
    <mergeCell ref="T5:AE5"/>
    <mergeCell ref="C5:Q5"/>
  </mergeCell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AE59"/>
  <sheetViews>
    <sheetView topLeftCell="C5" zoomScale="120" zoomScaleNormal="120" zoomScalePageLayoutView="120" workbookViewId="0">
      <selection activeCell="H12" sqref="H12"/>
    </sheetView>
  </sheetViews>
  <sheetFormatPr baseColWidth="10" defaultColWidth="11" defaultRowHeight="16" x14ac:dyDescent="0.2"/>
  <cols>
    <col min="3" max="3" width="41.1640625" bestFit="1" customWidth="1"/>
    <col min="7" max="7" width="37" bestFit="1" customWidth="1"/>
    <col min="8" max="8" width="11.6640625" bestFit="1" customWidth="1"/>
    <col min="12" max="12" width="12.83203125" bestFit="1" customWidth="1"/>
    <col min="14" max="14" width="13.83203125" customWidth="1"/>
    <col min="15" max="15" width="14.5" customWidth="1"/>
    <col min="16" max="16" width="12" customWidth="1"/>
    <col min="17" max="17" width="12.5" customWidth="1"/>
    <col min="18" max="18" width="13.5" customWidth="1"/>
    <col min="19" max="19" width="12.6640625" customWidth="1"/>
    <col min="20" max="21" width="13.5" customWidth="1"/>
    <col min="24" max="24" width="13.33203125" customWidth="1"/>
    <col min="25" max="25" width="12.33203125" customWidth="1"/>
    <col min="26" max="26" width="12.1640625" bestFit="1" customWidth="1"/>
    <col min="27" max="27" width="12.1640625" customWidth="1"/>
    <col min="28" max="28" width="14.1640625" customWidth="1"/>
    <col min="29" max="29" width="14" customWidth="1"/>
    <col min="30" max="30" width="13.6640625" customWidth="1"/>
    <col min="31" max="31" width="13.5" customWidth="1"/>
  </cols>
  <sheetData>
    <row r="2" spans="2:31" ht="26" x14ac:dyDescent="0.3">
      <c r="B2" s="160" t="s">
        <v>145</v>
      </c>
      <c r="C2" s="160"/>
      <c r="D2" s="160"/>
    </row>
    <row r="3" spans="2:31" x14ac:dyDescent="0.2">
      <c r="M3" s="19" t="s">
        <v>30</v>
      </c>
      <c r="W3" s="19" t="s">
        <v>31</v>
      </c>
    </row>
    <row r="4" spans="2:31" x14ac:dyDescent="0.2">
      <c r="B4" s="54" t="s">
        <v>286</v>
      </c>
      <c r="C4" s="54"/>
      <c r="D4" s="54"/>
      <c r="E4" s="54"/>
      <c r="F4" s="54"/>
      <c r="G4" s="54"/>
      <c r="H4" s="54"/>
      <c r="I4" s="54"/>
      <c r="J4" s="54"/>
      <c r="K4" s="54"/>
      <c r="N4" s="9" t="s">
        <v>66</v>
      </c>
      <c r="O4" s="9" t="s">
        <v>64</v>
      </c>
      <c r="P4" s="9" t="s">
        <v>65</v>
      </c>
      <c r="Q4" s="9" t="s">
        <v>268</v>
      </c>
      <c r="R4" s="9" t="s">
        <v>67</v>
      </c>
      <c r="S4" s="9" t="s">
        <v>68</v>
      </c>
      <c r="T4" s="9" t="s">
        <v>69</v>
      </c>
      <c r="U4" s="135" t="s">
        <v>267</v>
      </c>
      <c r="X4" s="9" t="s">
        <v>66</v>
      </c>
      <c r="Y4" s="9" t="s">
        <v>64</v>
      </c>
      <c r="Z4" s="9" t="s">
        <v>65</v>
      </c>
      <c r="AA4" s="9" t="s">
        <v>70</v>
      </c>
      <c r="AB4" s="9" t="s">
        <v>67</v>
      </c>
      <c r="AC4" s="9" t="s">
        <v>68</v>
      </c>
      <c r="AD4" s="9" t="s">
        <v>69</v>
      </c>
      <c r="AE4" s="135" t="s">
        <v>267</v>
      </c>
    </row>
    <row r="5" spans="2:31" ht="51" x14ac:dyDescent="0.2">
      <c r="B5" s="54"/>
      <c r="C5" s="54"/>
      <c r="D5" s="54"/>
      <c r="E5" s="54"/>
      <c r="F5" s="54"/>
      <c r="G5" s="54"/>
      <c r="H5" s="54"/>
      <c r="I5" s="54"/>
      <c r="J5" s="54"/>
      <c r="K5" s="54"/>
      <c r="M5" t="s">
        <v>24</v>
      </c>
      <c r="N5" s="3" t="s">
        <v>59</v>
      </c>
      <c r="O5" s="3" t="s">
        <v>71</v>
      </c>
      <c r="P5" s="3" t="s">
        <v>72</v>
      </c>
      <c r="Q5" s="3" t="s">
        <v>63</v>
      </c>
      <c r="R5" s="3" t="s">
        <v>60</v>
      </c>
      <c r="S5" s="3" t="s">
        <v>62</v>
      </c>
      <c r="T5" s="3" t="s">
        <v>61</v>
      </c>
      <c r="U5" s="3" t="s">
        <v>270</v>
      </c>
      <c r="W5" t="s">
        <v>24</v>
      </c>
      <c r="X5" s="3" t="s">
        <v>59</v>
      </c>
      <c r="Y5" s="3" t="s">
        <v>71</v>
      </c>
      <c r="Z5" s="3" t="s">
        <v>72</v>
      </c>
      <c r="AA5" s="3" t="s">
        <v>63</v>
      </c>
      <c r="AB5" s="3" t="s">
        <v>60</v>
      </c>
      <c r="AC5" s="3" t="s">
        <v>62</v>
      </c>
      <c r="AD5" s="3" t="s">
        <v>61</v>
      </c>
      <c r="AE5" s="3" t="s">
        <v>270</v>
      </c>
    </row>
    <row r="6" spans="2:31" x14ac:dyDescent="0.2">
      <c r="B6" s="85"/>
      <c r="C6" s="85"/>
      <c r="D6" s="85" t="s">
        <v>23</v>
      </c>
      <c r="E6" s="54"/>
      <c r="F6" s="85"/>
      <c r="G6" s="85"/>
      <c r="H6" s="85" t="s">
        <v>30</v>
      </c>
      <c r="I6" s="85" t="s">
        <v>31</v>
      </c>
      <c r="J6" s="85" t="s">
        <v>44</v>
      </c>
      <c r="K6" s="145"/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2:31" x14ac:dyDescent="0.2">
      <c r="B7" s="54" t="s">
        <v>3</v>
      </c>
      <c r="C7" s="54"/>
      <c r="D7" s="54"/>
      <c r="E7" s="54"/>
      <c r="F7" s="54" t="s">
        <v>53</v>
      </c>
      <c r="G7" s="54"/>
      <c r="H7" s="54"/>
      <c r="I7" s="54"/>
      <c r="J7" s="54"/>
      <c r="K7" s="54"/>
      <c r="M7">
        <v>1</v>
      </c>
      <c r="N7" s="13">
        <f>O7+P7</f>
        <v>88179.3</v>
      </c>
      <c r="O7" s="13">
        <f t="shared" ref="O7:O36" si="0">IF(M7&gt;$H$20,0,($D$8*($H$15-$D$9)*(1+$D$36)^(M7-1)/100*$D$18*330)*(1+$D$31)^(M7-1))</f>
        <v>80784</v>
      </c>
      <c r="P7" s="13">
        <f t="shared" ref="P7:P36" si="1">IF(M7&gt;$H$20,0,(($H$25-$H$24)*($D$8*($H$15)*(1+$D$36)^(M7-1)/100*330))*(1+$D$31)^(M7-1))</f>
        <v>7395.2999999999984</v>
      </c>
      <c r="Q7" s="13">
        <f>R7+S7+T7</f>
        <v>24826.4996997333</v>
      </c>
      <c r="R7" s="13">
        <f t="shared" ref="R7:R36" si="2">IF(M7&gt;$H$20,0,365*($D$11-$H$14)*$D$19*(1+$D$32)^(M7-1))</f>
        <v>65700</v>
      </c>
      <c r="S7" s="13">
        <f t="shared" ref="S7:S36" si="3">IF(M7&gt;$H$20,0,-$H$13+$D$13+$D$14*($M7-1) -$D$34*($H$8+$H$9) -IF(M7&lt;=$H$10, $H$11+$H$12*($M7-1), $H$11+$H$12*($M7-$H$10-1)))*(1+$D$33)^(M7-1)</f>
        <v>-16600</v>
      </c>
      <c r="T7" s="13">
        <f t="shared" ref="T7:T36" si="4">IF(M7&gt;$H$20,0,(-($H$35+$H$36)*(1+$D$36)^(M7-1))*(1+$D$31)^(M7-1))</f>
        <v>-24273.5003002667</v>
      </c>
      <c r="U7" s="13">
        <f t="shared" ref="U7:U36" si="5">IF(M7&gt;$H$20,0,(($H$38+$H$39+$H$40)*(1+$D$36)^(M7-1)+$H$41+$H$42)*(1+$D$31)^(M7-1) + $H$43*(M7&lt;=$D$47))</f>
        <v>0</v>
      </c>
      <c r="W7">
        <v>1</v>
      </c>
      <c r="X7" s="13">
        <f>Y7+Z7</f>
        <v>67805.100000000006</v>
      </c>
      <c r="Y7" s="13">
        <f t="shared" ref="Y7:Y36" si="6">IF(W7&gt;$I$20,0,($D$8*($I$15-$D$9)*(1+$D$36)^(W7-1)/100*$D$18*330)*(1+$D$31)^(W7-1))</f>
        <v>60588.000000000007</v>
      </c>
      <c r="Z7" s="13">
        <f t="shared" ref="Z7:Z36" si="7">IF(W7&gt;$I$20,0,($I$25-$I$24)*($D$8*($I$15)*(1+$D$36)^(M7-1)/100*330)*(1+$D$31)^(M7-1))</f>
        <v>7217.0999999999995</v>
      </c>
      <c r="AA7" s="13">
        <f>AB7+AC7+AD7</f>
        <v>-5790.1252251999667</v>
      </c>
      <c r="AB7" s="13">
        <f t="shared" ref="AB7:AB36" si="8">IF(W7&gt;$I$20,0,365*($D$11-$I$14)*$D$19*(1+$D$32)^(W7-1))</f>
        <v>8760</v>
      </c>
      <c r="AC7" s="13">
        <f t="shared" ref="AC7:AC36" si="9">IF(M7&gt;$I$20,0,-$I$13+$D$13+$D$14*($M7-1) -$D$34*($I$8+$I$9) -IF(M7&lt;=$I$10, $I$11+$I$12*($M7-1), $I$11+$I$12*($M7-$I$10-1)))*(1+$D$33)^(M7-1)</f>
        <v>-800</v>
      </c>
      <c r="AD7" s="13">
        <f t="shared" ref="AD7:AD36" si="10">IF(M7&gt;$H$20,0,(-($I$35+$I$36)*(1+$D$36)^(M7-1))*(1+$D$31)^(M7-1))</f>
        <v>-13750.125225199967</v>
      </c>
      <c r="AE7" s="13">
        <f t="shared" ref="AE7:AE36" si="11">IF(W7&gt;$I$20,0,(($I$38+$I$39+$I$40)*(1+$D$36)^(W7-1)+$I$41 + $I$42)*(1+$D$31)^(W7-1) +  $I$43*(M7&lt;=$D$47))</f>
        <v>0</v>
      </c>
    </row>
    <row r="8" spans="2:31" x14ac:dyDescent="0.2">
      <c r="B8" s="54"/>
      <c r="C8" s="54" t="str">
        <f>Data!C10</f>
        <v>Current milking herd (cows)</v>
      </c>
      <c r="D8" s="54">
        <f>Data!D10</f>
        <v>180</v>
      </c>
      <c r="E8" s="54"/>
      <c r="F8" s="54"/>
      <c r="G8" s="54" t="str">
        <f>Data!G10</f>
        <v>Total investment of milking system ($)</v>
      </c>
      <c r="H8" s="54">
        <f>Sensitivity!E141</f>
        <v>540000</v>
      </c>
      <c r="I8" s="54">
        <f>Data!I10</f>
        <v>540000</v>
      </c>
      <c r="J8" s="54">
        <f>Data!J10</f>
        <v>0</v>
      </c>
      <c r="K8" s="54"/>
      <c r="L8" s="156"/>
      <c r="M8">
        <v>2</v>
      </c>
      <c r="N8" s="13">
        <f t="shared" ref="N8:N36" si="12">O8+P8</f>
        <v>88620.196499999976</v>
      </c>
      <c r="O8" s="13">
        <f t="shared" si="0"/>
        <v>81187.919999999984</v>
      </c>
      <c r="P8" s="13">
        <f t="shared" si="1"/>
        <v>7432.2764999999972</v>
      </c>
      <c r="Q8" s="13">
        <f t="shared" ref="Q8:Q36" si="13">R8+S8+T8</f>
        <v>25280.732198231974</v>
      </c>
      <c r="R8" s="13">
        <f t="shared" si="2"/>
        <v>67539.600000000006</v>
      </c>
      <c r="S8" s="13">
        <f t="shared" si="3"/>
        <v>-17864</v>
      </c>
      <c r="T8" s="13">
        <f t="shared" si="4"/>
        <v>-24394.867801768032</v>
      </c>
      <c r="U8" s="13">
        <f t="shared" si="5"/>
        <v>0</v>
      </c>
      <c r="W8">
        <v>2</v>
      </c>
      <c r="X8" s="13">
        <f t="shared" ref="X8:X36" si="14">Y8+Z8</f>
        <v>68144.12549999998</v>
      </c>
      <c r="Y8" s="13">
        <f t="shared" si="6"/>
        <v>60890.939999999988</v>
      </c>
      <c r="Z8" s="13">
        <f t="shared" si="7"/>
        <v>7253.1854999999969</v>
      </c>
      <c r="AA8" s="13">
        <f t="shared" ref="AA8:AA36" si="15">AB8+AC8+AD8</f>
        <v>-5625.5958513259648</v>
      </c>
      <c r="AB8" s="13">
        <f t="shared" si="8"/>
        <v>9005.2800000000007</v>
      </c>
      <c r="AC8" s="13">
        <f t="shared" si="9"/>
        <v>-811.99999999999989</v>
      </c>
      <c r="AD8" s="13">
        <f t="shared" si="10"/>
        <v>-13818.875851325965</v>
      </c>
      <c r="AE8" s="13">
        <f t="shared" si="11"/>
        <v>0</v>
      </c>
    </row>
    <row r="9" spans="2:31" x14ac:dyDescent="0.2">
      <c r="B9" s="54"/>
      <c r="C9" s="54" t="str">
        <f>Data!C12</f>
        <v>Milk production (lb/cow/day)</v>
      </c>
      <c r="D9" s="54">
        <f>Data!D12</f>
        <v>75</v>
      </c>
      <c r="E9" s="54"/>
      <c r="F9" s="54"/>
      <c r="G9" s="54" t="str">
        <f>Data!G11</f>
        <v>Total barn investment ($)</v>
      </c>
      <c r="H9" s="54">
        <f>Sensitivity!E171</f>
        <v>1260000</v>
      </c>
      <c r="I9" s="54">
        <f>Data!I11</f>
        <v>540000</v>
      </c>
      <c r="J9" s="54">
        <f>Data!J11</f>
        <v>720000</v>
      </c>
      <c r="K9" s="54"/>
      <c r="L9" s="156"/>
      <c r="M9">
        <v>3</v>
      </c>
      <c r="N9" s="13">
        <f t="shared" si="12"/>
        <v>89063.297482499984</v>
      </c>
      <c r="O9" s="13">
        <f t="shared" si="0"/>
        <v>81593.859599999982</v>
      </c>
      <c r="P9" s="13">
        <f t="shared" si="1"/>
        <v>7469.4378824999958</v>
      </c>
      <c r="Q9" s="13">
        <f t="shared" si="13"/>
        <v>25751.68165922313</v>
      </c>
      <c r="R9" s="13">
        <f t="shared" si="2"/>
        <v>69430.708799999993</v>
      </c>
      <c r="S9" s="13">
        <f t="shared" si="3"/>
        <v>-19162.184999999994</v>
      </c>
      <c r="T9" s="13">
        <f t="shared" si="4"/>
        <v>-24516.842140776866</v>
      </c>
      <c r="U9" s="13">
        <f t="shared" si="5"/>
        <v>0</v>
      </c>
      <c r="W9">
        <v>3</v>
      </c>
      <c r="X9" s="13">
        <f t="shared" si="14"/>
        <v>68484.846127499972</v>
      </c>
      <c r="Y9" s="13">
        <f t="shared" si="6"/>
        <v>61195.394699999983</v>
      </c>
      <c r="Z9" s="13">
        <f t="shared" si="7"/>
        <v>7289.4514274999965</v>
      </c>
      <c r="AA9" s="13">
        <f t="shared" si="15"/>
        <v>-5454.7223905825922</v>
      </c>
      <c r="AB9" s="13">
        <f t="shared" si="8"/>
        <v>9257.4278400000003</v>
      </c>
      <c r="AC9" s="13">
        <f t="shared" si="9"/>
        <v>-824.17999999999984</v>
      </c>
      <c r="AD9" s="13">
        <f t="shared" si="10"/>
        <v>-13887.970230582592</v>
      </c>
      <c r="AE9" s="13">
        <f t="shared" si="11"/>
        <v>0</v>
      </c>
    </row>
    <row r="10" spans="2:31" x14ac:dyDescent="0.2">
      <c r="B10" s="54"/>
      <c r="C10" s="54" t="str">
        <f>Data!C13</f>
        <v>Milk fat (%)</v>
      </c>
      <c r="D10" s="54">
        <f>Data!D13</f>
        <v>3.65</v>
      </c>
      <c r="E10" s="54"/>
      <c r="F10" s="54"/>
      <c r="G10" s="54" t="str">
        <f>Data!G12</f>
        <v>Lifespan (years)</v>
      </c>
      <c r="H10" s="54">
        <f>Sensitivity!E111</f>
        <v>15</v>
      </c>
      <c r="I10" s="54">
        <f>Data!I12</f>
        <v>30</v>
      </c>
      <c r="J10" s="54">
        <f>Data!J12</f>
        <v>-15</v>
      </c>
      <c r="K10" s="54"/>
      <c r="M10">
        <v>4</v>
      </c>
      <c r="N10" s="13">
        <f t="shared" si="12"/>
        <v>89508.613969912461</v>
      </c>
      <c r="O10" s="13">
        <f t="shared" si="0"/>
        <v>82001.828897999963</v>
      </c>
      <c r="P10" s="13">
        <f t="shared" si="1"/>
        <v>7506.7850719124972</v>
      </c>
      <c r="Q10" s="13">
        <f t="shared" si="13"/>
        <v>26240.046144919255</v>
      </c>
      <c r="R10" s="13">
        <f t="shared" si="2"/>
        <v>71374.7686464</v>
      </c>
      <c r="S10" s="13">
        <f t="shared" si="3"/>
        <v>-20495.296149999991</v>
      </c>
      <c r="T10" s="13">
        <f t="shared" si="4"/>
        <v>-24639.42635148075</v>
      </c>
      <c r="U10" s="13">
        <f t="shared" si="5"/>
        <v>0</v>
      </c>
      <c r="W10">
        <v>4</v>
      </c>
      <c r="X10" s="13">
        <f t="shared" si="14"/>
        <v>68827.270358137466</v>
      </c>
      <c r="Y10" s="13">
        <f t="shared" si="6"/>
        <v>61501.371673499969</v>
      </c>
      <c r="Z10" s="13">
        <f t="shared" si="7"/>
        <v>7325.8986846374955</v>
      </c>
      <c r="AA10" s="13">
        <f t="shared" si="15"/>
        <v>-5277.3169622155056</v>
      </c>
      <c r="AB10" s="13">
        <f t="shared" si="8"/>
        <v>9516.6358195199991</v>
      </c>
      <c r="AC10" s="13">
        <f t="shared" si="9"/>
        <v>-836.54269999999974</v>
      </c>
      <c r="AD10" s="13">
        <f t="shared" si="10"/>
        <v>-13957.410081735505</v>
      </c>
      <c r="AE10" s="13">
        <f t="shared" si="11"/>
        <v>0</v>
      </c>
    </row>
    <row r="11" spans="2:31" x14ac:dyDescent="0.2">
      <c r="B11" s="54"/>
      <c r="C11" s="54" t="str">
        <f>Data!C14</f>
        <v>Milking &amp; chore labor (hours/day)</v>
      </c>
      <c r="D11" s="54">
        <f>Data!D14</f>
        <v>13.5</v>
      </c>
      <c r="E11" s="54"/>
      <c r="F11" s="54"/>
      <c r="G11" s="54" t="str">
        <f>Data!G13</f>
        <v>Initial Cost of Repairs and Maintenance ($/yr)</v>
      </c>
      <c r="H11" s="54">
        <f>Sensitivity!E201</f>
        <v>15000</v>
      </c>
      <c r="I11" s="54">
        <f>Data!I13</f>
        <v>10000</v>
      </c>
      <c r="J11" s="54">
        <f>Data!J13</f>
        <v>5000</v>
      </c>
      <c r="K11" s="54"/>
      <c r="M11">
        <v>5</v>
      </c>
      <c r="N11" s="13">
        <f t="shared" si="12"/>
        <v>89956.157039761994</v>
      </c>
      <c r="O11" s="13">
        <f t="shared" si="0"/>
        <v>82411.838042489937</v>
      </c>
      <c r="P11" s="13">
        <f t="shared" si="1"/>
        <v>7544.3189972720565</v>
      </c>
      <c r="Q11" s="13">
        <f t="shared" si="13"/>
        <v>26746.54954238607</v>
      </c>
      <c r="R11" s="13">
        <f t="shared" si="2"/>
        <v>73373.262168499205</v>
      </c>
      <c r="S11" s="13">
        <f t="shared" si="3"/>
        <v>-21864.089142874989</v>
      </c>
      <c r="T11" s="13">
        <f t="shared" si="4"/>
        <v>-24762.623483238145</v>
      </c>
      <c r="U11" s="13">
        <f t="shared" si="5"/>
        <v>0</v>
      </c>
      <c r="W11">
        <v>5</v>
      </c>
      <c r="X11" s="13">
        <f t="shared" si="14"/>
        <v>69171.406709928153</v>
      </c>
      <c r="Y11" s="13">
        <f t="shared" si="6"/>
        <v>61808.878531867471</v>
      </c>
      <c r="Z11" s="13">
        <f t="shared" si="7"/>
        <v>7362.5281780606811</v>
      </c>
      <c r="AA11" s="13">
        <f t="shared" si="15"/>
        <v>-5093.186350177617</v>
      </c>
      <c r="AB11" s="13">
        <f t="shared" si="8"/>
        <v>9783.10162246656</v>
      </c>
      <c r="AC11" s="13">
        <f t="shared" si="9"/>
        <v>-849.09084049999956</v>
      </c>
      <c r="AD11" s="13">
        <f t="shared" si="10"/>
        <v>-14027.197132144178</v>
      </c>
      <c r="AE11" s="13">
        <f t="shared" si="11"/>
        <v>0</v>
      </c>
    </row>
    <row r="12" spans="2:31" x14ac:dyDescent="0.2">
      <c r="C12" s="54" t="str">
        <f>Data!C15</f>
        <v>Somatic Cell Count (1,000/ml)</v>
      </c>
      <c r="D12" s="54">
        <f>Data!D15</f>
        <v>280</v>
      </c>
      <c r="E12" s="54"/>
      <c r="F12" s="54"/>
      <c r="G12" s="54" t="str">
        <f>Data!G14</f>
        <v>Cost Increse in Repairs and Maintenance ($/yr)</v>
      </c>
      <c r="H12" s="54">
        <f>Data!H14</f>
        <v>3000</v>
      </c>
      <c r="I12" s="54">
        <f>Data!I14</f>
        <v>2000</v>
      </c>
      <c r="J12" s="54">
        <f>Data!J14</f>
        <v>1000</v>
      </c>
      <c r="K12" s="54"/>
      <c r="M12">
        <v>6</v>
      </c>
      <c r="N12" s="13">
        <f t="shared" si="12"/>
        <v>90405.937824960798</v>
      </c>
      <c r="O12" s="13">
        <f t="shared" si="0"/>
        <v>82823.89723270238</v>
      </c>
      <c r="P12" s="13">
        <f t="shared" si="1"/>
        <v>7582.040592258415</v>
      </c>
      <c r="Q12" s="13">
        <f t="shared" si="13"/>
        <v>27271.94242466037</v>
      </c>
      <c r="R12" s="13">
        <f t="shared" si="2"/>
        <v>75427.713509217181</v>
      </c>
      <c r="S12" s="13">
        <f t="shared" si="3"/>
        <v>-23269.334483902483</v>
      </c>
      <c r="T12" s="13">
        <f t="shared" si="4"/>
        <v>-24886.436600654331</v>
      </c>
      <c r="U12" s="13">
        <f t="shared" si="5"/>
        <v>0</v>
      </c>
      <c r="W12">
        <v>6</v>
      </c>
      <c r="X12" s="13">
        <f t="shared" si="14"/>
        <v>69517.263743477757</v>
      </c>
      <c r="Y12" s="13">
        <f t="shared" si="6"/>
        <v>62117.922924526778</v>
      </c>
      <c r="Z12" s="13">
        <f t="shared" si="7"/>
        <v>7399.3408189509837</v>
      </c>
      <c r="AA12" s="13">
        <f t="shared" si="15"/>
        <v>-4902.1318530167719</v>
      </c>
      <c r="AB12" s="13">
        <f t="shared" si="8"/>
        <v>10057.028467895623</v>
      </c>
      <c r="AC12" s="13">
        <f t="shared" si="9"/>
        <v>-861.82720310749937</v>
      </c>
      <c r="AD12" s="13">
        <f t="shared" si="10"/>
        <v>-14097.333117804896</v>
      </c>
      <c r="AE12" s="13">
        <f t="shared" si="11"/>
        <v>0</v>
      </c>
    </row>
    <row r="13" spans="2:31" x14ac:dyDescent="0.2">
      <c r="C13" s="54" t="str">
        <f>Data!C16</f>
        <v>Repair and Maintenance Cost of Milking System ($/yr)</v>
      </c>
      <c r="D13" s="54">
        <f>Data!D16</f>
        <v>20000</v>
      </c>
      <c r="E13" s="54"/>
      <c r="F13" s="54"/>
      <c r="G13" s="54" t="str">
        <f>Data!G15</f>
        <v>Additional Cost of Barn Repairs and Upgrades ($/yr)</v>
      </c>
      <c r="H13" s="54">
        <f>Data!H15</f>
        <v>12600</v>
      </c>
      <c r="I13" s="54">
        <f>Data!I15</f>
        <v>5400</v>
      </c>
      <c r="J13" s="54">
        <f>Data!J15</f>
        <v>7200</v>
      </c>
      <c r="K13" s="54"/>
      <c r="M13">
        <v>7</v>
      </c>
      <c r="N13" s="13">
        <f t="shared" si="12"/>
        <v>90857.967514085598</v>
      </c>
      <c r="O13" s="13">
        <f t="shared" si="0"/>
        <v>83238.016718865896</v>
      </c>
      <c r="P13" s="13">
        <f t="shared" si="1"/>
        <v>7619.9507952197064</v>
      </c>
      <c r="Q13" s="13">
        <f t="shared" si="13"/>
        <v>27817.002938714009</v>
      </c>
      <c r="R13" s="13">
        <f t="shared" si="2"/>
        <v>77539.689487475262</v>
      </c>
      <c r="S13" s="13">
        <f t="shared" si="3"/>
        <v>-24711.817765103657</v>
      </c>
      <c r="T13" s="13">
        <f t="shared" si="4"/>
        <v>-25010.868783657599</v>
      </c>
      <c r="U13" s="13">
        <f t="shared" si="5"/>
        <v>0</v>
      </c>
      <c r="W13">
        <v>7</v>
      </c>
      <c r="X13" s="13">
        <f t="shared" si="14"/>
        <v>69864.850062195139</v>
      </c>
      <c r="Y13" s="13">
        <f t="shared" si="6"/>
        <v>62428.5125391494</v>
      </c>
      <c r="Z13" s="13">
        <f t="shared" si="7"/>
        <v>7436.3375230457368</v>
      </c>
      <c r="AA13" s="13">
        <f t="shared" si="15"/>
        <v>-4703.949129551329</v>
      </c>
      <c r="AB13" s="13">
        <f t="shared" si="8"/>
        <v>10338.625264996701</v>
      </c>
      <c r="AC13" s="13">
        <f t="shared" si="9"/>
        <v>-874.75461115411179</v>
      </c>
      <c r="AD13" s="13">
        <f t="shared" si="10"/>
        <v>-14167.819783393918</v>
      </c>
      <c r="AE13" s="13">
        <f t="shared" si="11"/>
        <v>0</v>
      </c>
    </row>
    <row r="14" spans="2:31" x14ac:dyDescent="0.2">
      <c r="C14" s="54" t="str">
        <f>Data!C17</f>
        <v>Annual Increase in the Maintenance Cost ($/yr)</v>
      </c>
      <c r="D14" s="54">
        <f>Data!D17</f>
        <v>2000</v>
      </c>
      <c r="E14" s="54"/>
      <c r="F14" s="54"/>
      <c r="G14" s="54" t="str">
        <f>Data!G16</f>
        <v>Milking labor under a new system (hours/day)</v>
      </c>
      <c r="H14" s="54">
        <f>Sensitivity!E81</f>
        <v>2.25</v>
      </c>
      <c r="I14" s="54">
        <f>Data!I16</f>
        <v>12</v>
      </c>
      <c r="J14" s="54">
        <f>Data!J16</f>
        <v>-9.75</v>
      </c>
      <c r="K14" s="54"/>
      <c r="M14">
        <v>8</v>
      </c>
      <c r="N14" s="13">
        <f t="shared" si="12"/>
        <v>91312.257351656008</v>
      </c>
      <c r="O14" s="13">
        <f t="shared" si="0"/>
        <v>83654.206802460205</v>
      </c>
      <c r="P14" s="13">
        <f t="shared" si="1"/>
        <v>7658.0505491958038</v>
      </c>
      <c r="Q14" s="13">
        <f t="shared" si="13"/>
        <v>28382.537721066692</v>
      </c>
      <c r="R14" s="13">
        <f t="shared" si="2"/>
        <v>79710.800793124567</v>
      </c>
      <c r="S14" s="13">
        <f t="shared" si="3"/>
        <v>-26192.339944481988</v>
      </c>
      <c r="T14" s="13">
        <f t="shared" si="4"/>
        <v>-25135.923127575887</v>
      </c>
      <c r="U14" s="13">
        <f t="shared" si="5"/>
        <v>0</v>
      </c>
      <c r="W14">
        <v>8</v>
      </c>
      <c r="X14" s="13">
        <f t="shared" si="14"/>
        <v>70214.174312506118</v>
      </c>
      <c r="Y14" s="13">
        <f t="shared" si="6"/>
        <v>62740.65510184515</v>
      </c>
      <c r="Z14" s="13">
        <f t="shared" si="7"/>
        <v>7473.5192106609647</v>
      </c>
      <c r="AA14" s="13">
        <f t="shared" si="15"/>
        <v>-4498.4280402157001</v>
      </c>
      <c r="AB14" s="13">
        <f t="shared" si="8"/>
        <v>10628.10677241661</v>
      </c>
      <c r="AC14" s="13">
        <f t="shared" si="9"/>
        <v>-887.87593032142331</v>
      </c>
      <c r="AD14" s="13">
        <f t="shared" si="10"/>
        <v>-14238.658882310887</v>
      </c>
      <c r="AE14" s="13">
        <f t="shared" si="11"/>
        <v>0</v>
      </c>
    </row>
    <row r="15" spans="2:31" x14ac:dyDescent="0.2">
      <c r="C15" s="54" t="str">
        <f>Data!C11</f>
        <v>Milking herd expansion (cows)</v>
      </c>
      <c r="D15" s="54">
        <f>Data!D11</f>
        <v>0</v>
      </c>
      <c r="E15" s="54"/>
      <c r="F15" s="54"/>
      <c r="G15" s="54" t="str">
        <f>Data!G17</f>
        <v>Milk production under a new system (lb/cow/day)</v>
      </c>
      <c r="H15" s="54">
        <f>Sensitivity!E51</f>
        <v>83</v>
      </c>
      <c r="I15" s="54">
        <f>Data!I17</f>
        <v>81</v>
      </c>
      <c r="J15" s="54">
        <f>Data!J17</f>
        <v>2</v>
      </c>
      <c r="K15" s="54"/>
      <c r="M15">
        <v>9</v>
      </c>
      <c r="N15" s="13">
        <f t="shared" si="12"/>
        <v>91768.818638414275</v>
      </c>
      <c r="O15" s="13">
        <f t="shared" si="0"/>
        <v>84072.477836472492</v>
      </c>
      <c r="P15" s="13">
        <f t="shared" si="1"/>
        <v>7696.340801941782</v>
      </c>
      <c r="Q15" s="13">
        <f t="shared" si="13"/>
        <v>28969.382841873776</v>
      </c>
      <c r="R15" s="13">
        <f t="shared" si="2"/>
        <v>81942.703215332062</v>
      </c>
      <c r="S15" s="13">
        <f t="shared" si="3"/>
        <v>-27711.717630244522</v>
      </c>
      <c r="T15" s="13">
        <f t="shared" si="4"/>
        <v>-25261.602743213763</v>
      </c>
      <c r="U15" s="13">
        <f t="shared" si="5"/>
        <v>0</v>
      </c>
      <c r="W15">
        <v>9</v>
      </c>
      <c r="X15" s="13">
        <f t="shared" si="14"/>
        <v>70565.245184068641</v>
      </c>
      <c r="Y15" s="13">
        <f t="shared" si="6"/>
        <v>63054.358377354372</v>
      </c>
      <c r="Z15" s="13">
        <f t="shared" si="7"/>
        <v>7510.8868067142694</v>
      </c>
      <c r="AA15" s="13">
        <f t="shared" si="15"/>
        <v>-4285.3524839544098</v>
      </c>
      <c r="AB15" s="13">
        <f t="shared" si="8"/>
        <v>10925.693762044273</v>
      </c>
      <c r="AC15" s="13">
        <f t="shared" si="9"/>
        <v>-901.19406927624459</v>
      </c>
      <c r="AD15" s="13">
        <f t="shared" si="10"/>
        <v>-14309.852176722439</v>
      </c>
      <c r="AE15" s="13">
        <f t="shared" si="11"/>
        <v>0</v>
      </c>
    </row>
    <row r="16" spans="2:31" x14ac:dyDescent="0.2">
      <c r="E16" s="54"/>
      <c r="F16" s="54"/>
      <c r="G16" s="54" t="str">
        <f>Data!G18</f>
        <v>Additional pelleting cost ($/ton)</v>
      </c>
      <c r="H16" s="54">
        <f>Data!H18</f>
        <v>20</v>
      </c>
      <c r="I16" s="54">
        <f>Data!I18</f>
        <v>20</v>
      </c>
      <c r="J16" s="54">
        <f>Data!J18</f>
        <v>0</v>
      </c>
      <c r="K16" s="54"/>
      <c r="M16">
        <v>10</v>
      </c>
      <c r="N16" s="13">
        <f t="shared" si="12"/>
        <v>92227.662731606368</v>
      </c>
      <c r="O16" s="13">
        <f t="shared" si="0"/>
        <v>84492.840225654872</v>
      </c>
      <c r="P16" s="13">
        <f t="shared" si="1"/>
        <v>7734.8225059514907</v>
      </c>
      <c r="Q16" s="13">
        <f t="shared" si="13"/>
        <v>29578.404778339107</v>
      </c>
      <c r="R16" s="13">
        <f t="shared" si="2"/>
        <v>84237.098905361359</v>
      </c>
      <c r="S16" s="13">
        <f t="shared" si="3"/>
        <v>-29270.78337009242</v>
      </c>
      <c r="T16" s="13">
        <f t="shared" si="4"/>
        <v>-25387.910756929828</v>
      </c>
      <c r="U16" s="13">
        <f t="shared" si="5"/>
        <v>0</v>
      </c>
      <c r="W16">
        <v>10</v>
      </c>
      <c r="X16" s="13">
        <f t="shared" si="14"/>
        <v>70918.071409988988</v>
      </c>
      <c r="Y16" s="13">
        <f t="shared" si="6"/>
        <v>63369.630169241151</v>
      </c>
      <c r="Z16" s="13">
        <f t="shared" si="7"/>
        <v>7548.4412407478403</v>
      </c>
      <c r="AA16" s="13">
        <f t="shared" si="15"/>
        <v>-4064.5002305399248</v>
      </c>
      <c r="AB16" s="13">
        <f t="shared" si="8"/>
        <v>11231.613187381514</v>
      </c>
      <c r="AC16" s="13">
        <f t="shared" si="9"/>
        <v>-914.71198031538813</v>
      </c>
      <c r="AD16" s="13">
        <f t="shared" si="10"/>
        <v>-14381.401437606051</v>
      </c>
      <c r="AE16" s="13">
        <f t="shared" si="11"/>
        <v>0</v>
      </c>
    </row>
    <row r="17" spans="2:31" x14ac:dyDescent="0.2">
      <c r="B17" s="54" t="s">
        <v>58</v>
      </c>
      <c r="E17" s="54"/>
      <c r="F17" s="54"/>
      <c r="G17" s="54" t="str">
        <f>Data!G19</f>
        <v>Pellet quantity (lb/cow/day)</v>
      </c>
      <c r="H17" s="54">
        <f>Data!H19</f>
        <v>10</v>
      </c>
      <c r="I17" s="54">
        <f>Data!I19</f>
        <v>0</v>
      </c>
      <c r="J17" s="54">
        <f>Data!J19</f>
        <v>10</v>
      </c>
      <c r="K17" s="54"/>
      <c r="M17">
        <v>11</v>
      </c>
      <c r="N17" s="13">
        <f t="shared" si="12"/>
        <v>92688.801045264365</v>
      </c>
      <c r="O17" s="13">
        <f t="shared" si="0"/>
        <v>84915.304426783114</v>
      </c>
      <c r="P17" s="13">
        <f t="shared" si="1"/>
        <v>7773.4966184812456</v>
      </c>
      <c r="Q17" s="13">
        <f t="shared" si="13"/>
        <v>30210.501418328033</v>
      </c>
      <c r="R17" s="13">
        <f t="shared" si="2"/>
        <v>86595.737674711461</v>
      </c>
      <c r="S17" s="13">
        <f t="shared" si="3"/>
        <v>-30870.38594566895</v>
      </c>
      <c r="T17" s="13">
        <f t="shared" si="4"/>
        <v>-25514.850310714475</v>
      </c>
      <c r="U17" s="13">
        <f t="shared" si="5"/>
        <v>0</v>
      </c>
      <c r="W17">
        <v>11</v>
      </c>
      <c r="X17" s="13">
        <f t="shared" si="14"/>
        <v>71272.66176703891</v>
      </c>
      <c r="Y17" s="13">
        <f t="shared" si="6"/>
        <v>63686.478320087335</v>
      </c>
      <c r="Z17" s="13">
        <f t="shared" si="7"/>
        <v>7586.1834469515779</v>
      </c>
      <c r="AA17" s="13">
        <f t="shared" si="15"/>
        <v>-3835.642748186001</v>
      </c>
      <c r="AB17" s="13">
        <f t="shared" si="8"/>
        <v>11546.098356628196</v>
      </c>
      <c r="AC17" s="13">
        <f t="shared" si="9"/>
        <v>-928.43266002011887</v>
      </c>
      <c r="AD17" s="13">
        <f t="shared" si="10"/>
        <v>-14453.308444794078</v>
      </c>
      <c r="AE17" s="13">
        <f t="shared" si="11"/>
        <v>0</v>
      </c>
    </row>
    <row r="18" spans="2:31" x14ac:dyDescent="0.2">
      <c r="B18" s="54"/>
      <c r="C18" s="54" t="str">
        <f>Data!C22</f>
        <v>Mailbox milk price ($/cwt)</v>
      </c>
      <c r="D18" s="54">
        <f>Data!D22</f>
        <v>17</v>
      </c>
      <c r="E18" s="54"/>
      <c r="F18" s="54"/>
      <c r="G18" s="54" t="str">
        <f>Data!G20</f>
        <v>Projected Somatic Cell Count (1,000/ml)</v>
      </c>
      <c r="H18" s="54">
        <f>Data!H20</f>
        <v>240</v>
      </c>
      <c r="I18" s="54">
        <f>Data!I20</f>
        <v>240</v>
      </c>
      <c r="J18" s="54">
        <f>Data!J20</f>
        <v>0</v>
      </c>
      <c r="K18" s="54"/>
      <c r="M18">
        <v>12</v>
      </c>
      <c r="N18" s="13">
        <f t="shared" si="12"/>
        <v>93152.245050490659</v>
      </c>
      <c r="O18" s="13">
        <f t="shared" si="0"/>
        <v>85339.880948917009</v>
      </c>
      <c r="P18" s="13">
        <f t="shared" si="1"/>
        <v>7812.3641015736521</v>
      </c>
      <c r="Q18" s="13">
        <f t="shared" si="13"/>
        <v>30866.603095080838</v>
      </c>
      <c r="R18" s="13">
        <f t="shared" si="2"/>
        <v>89020.418329603388</v>
      </c>
      <c r="S18" s="13">
        <f t="shared" si="3"/>
        <v>-32511.390672254507</v>
      </c>
      <c r="T18" s="13">
        <f t="shared" si="4"/>
        <v>-25642.424562268043</v>
      </c>
      <c r="U18" s="13">
        <f t="shared" si="5"/>
        <v>0</v>
      </c>
      <c r="W18">
        <v>12</v>
      </c>
      <c r="X18" s="13">
        <f t="shared" si="14"/>
        <v>71629.025075874102</v>
      </c>
      <c r="Y18" s="13">
        <f t="shared" si="6"/>
        <v>64004.910711687764</v>
      </c>
      <c r="Z18" s="13">
        <f t="shared" si="7"/>
        <v>7624.1143641863355</v>
      </c>
      <c r="AA18" s="13">
        <f t="shared" si="15"/>
        <v>-3598.5450263246839</v>
      </c>
      <c r="AB18" s="13">
        <f t="shared" si="8"/>
        <v>11869.389110613785</v>
      </c>
      <c r="AC18" s="13">
        <f t="shared" si="9"/>
        <v>-942.35914992042046</v>
      </c>
      <c r="AD18" s="13">
        <f t="shared" si="10"/>
        <v>-14525.574987018048</v>
      </c>
      <c r="AE18" s="13">
        <f t="shared" si="11"/>
        <v>0</v>
      </c>
    </row>
    <row r="19" spans="2:31" x14ac:dyDescent="0.2">
      <c r="B19" s="54"/>
      <c r="C19" s="54" t="str">
        <f>Data!C23</f>
        <v>Wage rate for milking and chore ($/hour)</v>
      </c>
      <c r="D19" s="54">
        <f>Data!D23</f>
        <v>16</v>
      </c>
      <c r="E19" s="54"/>
      <c r="F19" s="54"/>
      <c r="G19" s="54" t="str">
        <f>Data!G21</f>
        <v>Milking system cycles</v>
      </c>
      <c r="H19" s="54">
        <f>Data!H21</f>
        <v>2</v>
      </c>
      <c r="I19" s="54">
        <f>Data!I21</f>
        <v>1</v>
      </c>
      <c r="J19" s="54">
        <f>Data!J21</f>
        <v>1</v>
      </c>
      <c r="K19" s="54"/>
      <c r="M19">
        <v>13</v>
      </c>
      <c r="N19" s="13">
        <f t="shared" si="12"/>
        <v>93618.006275743086</v>
      </c>
      <c r="O19" s="13">
        <f t="shared" si="0"/>
        <v>85766.580353661571</v>
      </c>
      <c r="P19" s="13">
        <f t="shared" si="1"/>
        <v>7851.4259220815184</v>
      </c>
      <c r="Q19" s="13">
        <f t="shared" si="13"/>
        <v>31547.673653953058</v>
      </c>
      <c r="R19" s="13">
        <f t="shared" si="2"/>
        <v>91512.990042832287</v>
      </c>
      <c r="S19" s="13">
        <f t="shared" si="3"/>
        <v>-34194.679703799855</v>
      </c>
      <c r="T19" s="13">
        <f t="shared" si="4"/>
        <v>-25770.636685079375</v>
      </c>
      <c r="U19" s="13">
        <f t="shared" si="5"/>
        <v>0</v>
      </c>
      <c r="W19">
        <v>13</v>
      </c>
      <c r="X19" s="13">
        <f t="shared" si="14"/>
        <v>71987.170201253452</v>
      </c>
      <c r="Y19" s="13">
        <f t="shared" si="6"/>
        <v>64324.935265246182</v>
      </c>
      <c r="Z19" s="13">
        <f t="shared" si="7"/>
        <v>7662.2349360072649</v>
      </c>
      <c r="AA19" s="13">
        <f t="shared" si="15"/>
        <v>-3352.9653934113885</v>
      </c>
      <c r="AB19" s="13">
        <f t="shared" si="8"/>
        <v>12201.732005710972</v>
      </c>
      <c r="AC19" s="13">
        <f t="shared" si="9"/>
        <v>-956.49453716922665</v>
      </c>
      <c r="AD19" s="13">
        <f t="shared" si="10"/>
        <v>-14598.202861953134</v>
      </c>
      <c r="AE19" s="13">
        <f t="shared" si="11"/>
        <v>0</v>
      </c>
    </row>
    <row r="20" spans="2:31" x14ac:dyDescent="0.2">
      <c r="B20" s="54"/>
      <c r="C20" s="54" t="str">
        <f>Data!C24</f>
        <v>Interest rate: milking system (%)</v>
      </c>
      <c r="D20" s="54">
        <f>Data!D24</f>
        <v>0.05</v>
      </c>
      <c r="E20" s="54"/>
      <c r="F20" s="54"/>
      <c r="G20" s="54" t="str">
        <f>Data!G22</f>
        <v>Time horizon</v>
      </c>
      <c r="H20" s="54">
        <f>Data!H22</f>
        <v>30</v>
      </c>
      <c r="I20" s="54">
        <f>Data!I22</f>
        <v>30</v>
      </c>
      <c r="J20" s="54">
        <f>Data!J22</f>
        <v>0</v>
      </c>
      <c r="K20" s="54"/>
      <c r="M20">
        <v>14</v>
      </c>
      <c r="N20" s="13">
        <f t="shared" si="12"/>
        <v>94086.096307121799</v>
      </c>
      <c r="O20" s="13">
        <f t="shared" si="0"/>
        <v>86195.41325542987</v>
      </c>
      <c r="P20" s="13">
        <f t="shared" si="1"/>
        <v>7890.6830516919244</v>
      </c>
      <c r="Q20" s="13">
        <f t="shared" si="13"/>
        <v>32254.711552136516</v>
      </c>
      <c r="R20" s="13">
        <f t="shared" si="2"/>
        <v>94075.353764031592</v>
      </c>
      <c r="S20" s="13">
        <f t="shared" si="3"/>
        <v>-35921.152343390306</v>
      </c>
      <c r="T20" s="13">
        <f t="shared" si="4"/>
        <v>-25899.48986850477</v>
      </c>
      <c r="U20" s="13">
        <f t="shared" si="5"/>
        <v>0</v>
      </c>
      <c r="W20">
        <v>14</v>
      </c>
      <c r="X20" s="13">
        <f t="shared" si="14"/>
        <v>72347.106052259711</v>
      </c>
      <c r="Y20" s="13">
        <f t="shared" si="6"/>
        <v>64646.559941572406</v>
      </c>
      <c r="Z20" s="13">
        <f t="shared" si="7"/>
        <v>7700.5461106873008</v>
      </c>
      <c r="AA20" s="13">
        <f t="shared" si="15"/>
        <v>-3098.6553296187831</v>
      </c>
      <c r="AB20" s="13">
        <f t="shared" si="8"/>
        <v>12543.380501870879</v>
      </c>
      <c r="AC20" s="13">
        <f t="shared" si="9"/>
        <v>-970.84195522676498</v>
      </c>
      <c r="AD20" s="13">
        <f t="shared" si="10"/>
        <v>-14671.193876262898</v>
      </c>
      <c r="AE20" s="13">
        <f t="shared" si="11"/>
        <v>0</v>
      </c>
    </row>
    <row r="21" spans="2:31" x14ac:dyDescent="0.2">
      <c r="B21" s="54"/>
      <c r="C21" s="54" t="str">
        <f>Data!C25</f>
        <v>Interest rate: barn (%)</v>
      </c>
      <c r="D21" s="54">
        <f>Data!D25</f>
        <v>0.05</v>
      </c>
      <c r="E21" s="54"/>
      <c r="G21" s="54" t="str">
        <f>Data!G23</f>
        <v>Weighted Average Cost of Capital</v>
      </c>
      <c r="H21" s="108">
        <f>Data!H23</f>
        <v>3.3149999999999999E-2</v>
      </c>
      <c r="I21" s="108">
        <f>Data!I23</f>
        <v>3.3149999999999999E-2</v>
      </c>
      <c r="J21" s="108">
        <f>Data!J23</f>
        <v>0</v>
      </c>
      <c r="K21" s="108"/>
      <c r="M21">
        <v>15</v>
      </c>
      <c r="N21" s="13">
        <f t="shared" si="12"/>
        <v>94556.5267886574</v>
      </c>
      <c r="O21" s="13">
        <f t="shared" si="0"/>
        <v>86626.390321707018</v>
      </c>
      <c r="P21" s="13">
        <f t="shared" si="1"/>
        <v>7930.1364669503819</v>
      </c>
      <c r="Q21" s="13">
        <f t="shared" si="13"/>
        <v>32988.750992342073</v>
      </c>
      <c r="R21" s="13">
        <f t="shared" si="2"/>
        <v>96709.463669424469</v>
      </c>
      <c r="S21" s="13">
        <f t="shared" si="3"/>
        <v>-37691.725359235104</v>
      </c>
      <c r="T21" s="13">
        <f t="shared" si="4"/>
        <v>-26028.987317847288</v>
      </c>
      <c r="U21" s="13">
        <f t="shared" si="5"/>
        <v>0</v>
      </c>
      <c r="W21">
        <v>15</v>
      </c>
      <c r="X21" s="13">
        <f t="shared" si="14"/>
        <v>72708.841582520981</v>
      </c>
      <c r="Y21" s="13">
        <f t="shared" si="6"/>
        <v>64969.792741280253</v>
      </c>
      <c r="Z21" s="13">
        <f t="shared" si="7"/>
        <v>7739.0488412407349</v>
      </c>
      <c r="AA21" s="13">
        <f t="shared" si="15"/>
        <v>-2835.3592742761139</v>
      </c>
      <c r="AB21" s="13">
        <f t="shared" si="8"/>
        <v>12894.595155923262</v>
      </c>
      <c r="AC21" s="13">
        <f t="shared" si="9"/>
        <v>-985.40458455516614</v>
      </c>
      <c r="AD21" s="13">
        <f t="shared" si="10"/>
        <v>-14744.549845644209</v>
      </c>
      <c r="AE21" s="13">
        <f t="shared" si="11"/>
        <v>0</v>
      </c>
    </row>
    <row r="22" spans="2:31" x14ac:dyDescent="0.2">
      <c r="B22" s="54"/>
      <c r="C22" s="54" t="str">
        <f>Data!C26</f>
        <v>Downpayment (%)</v>
      </c>
      <c r="D22" s="54">
        <f>Data!D26</f>
        <v>0.1</v>
      </c>
      <c r="E22" s="54"/>
      <c r="J22" s="54"/>
      <c r="K22" s="54"/>
      <c r="M22">
        <v>16</v>
      </c>
      <c r="N22" s="13">
        <f t="shared" si="12"/>
        <v>95029.309422600665</v>
      </c>
      <c r="O22" s="13">
        <f t="shared" si="0"/>
        <v>87059.522273315524</v>
      </c>
      <c r="P22" s="13">
        <f t="shared" si="1"/>
        <v>7969.7871492851336</v>
      </c>
      <c r="Q22" s="13">
        <f t="shared" si="13"/>
        <v>90011.306090900354</v>
      </c>
      <c r="R22" s="13">
        <f t="shared" si="2"/>
        <v>99417.328652168362</v>
      </c>
      <c r="S22" s="13">
        <f t="shared" si="3"/>
        <v>16753.109693168517</v>
      </c>
      <c r="T22" s="13">
        <f t="shared" si="4"/>
        <v>-26159.132254436521</v>
      </c>
      <c r="U22" s="13">
        <f t="shared" si="5"/>
        <v>0</v>
      </c>
      <c r="W22">
        <v>16</v>
      </c>
      <c r="X22" s="13">
        <f t="shared" si="14"/>
        <v>73072.385790433575</v>
      </c>
      <c r="Y22" s="13">
        <f t="shared" si="6"/>
        <v>65294.641704986643</v>
      </c>
      <c r="Z22" s="13">
        <f t="shared" si="7"/>
        <v>7777.744085446936</v>
      </c>
      <c r="AA22" s="13">
        <f t="shared" si="15"/>
        <v>-2562.8144279068056</v>
      </c>
      <c r="AB22" s="13">
        <f t="shared" si="8"/>
        <v>13255.643820289115</v>
      </c>
      <c r="AC22" s="13">
        <f t="shared" si="9"/>
        <v>-1000.1856533234935</v>
      </c>
      <c r="AD22" s="13">
        <f t="shared" si="10"/>
        <v>-14818.272594872427</v>
      </c>
      <c r="AE22" s="13">
        <f t="shared" si="11"/>
        <v>0</v>
      </c>
    </row>
    <row r="23" spans="2:31" x14ac:dyDescent="0.2">
      <c r="B23" s="54"/>
      <c r="C23" s="54" t="str">
        <f>Data!C27</f>
        <v>Required return on equity (%)</v>
      </c>
      <c r="D23" s="54">
        <f>Data!D27</f>
        <v>0.03</v>
      </c>
      <c r="E23" s="54"/>
      <c r="F23" s="54" t="s">
        <v>256</v>
      </c>
      <c r="G23" s="54"/>
      <c r="H23" s="54"/>
      <c r="I23" s="54"/>
      <c r="M23">
        <v>17</v>
      </c>
      <c r="N23" s="13">
        <f t="shared" si="12"/>
        <v>95504.455969713643</v>
      </c>
      <c r="O23" s="13">
        <f t="shared" si="0"/>
        <v>87494.819884682089</v>
      </c>
      <c r="P23" s="13">
        <f t="shared" si="1"/>
        <v>8009.6360850315577</v>
      </c>
      <c r="Q23" s="13">
        <f t="shared" si="13"/>
        <v>91646.506729632223</v>
      </c>
      <c r="R23" s="13">
        <f t="shared" si="2"/>
        <v>102201.01385442907</v>
      </c>
      <c r="S23" s="13">
        <f t="shared" si="3"/>
        <v>15735.42079091186</v>
      </c>
      <c r="T23" s="13">
        <f t="shared" si="4"/>
        <v>-26289.9279157087</v>
      </c>
      <c r="U23" s="13">
        <f t="shared" si="5"/>
        <v>0</v>
      </c>
      <c r="W23">
        <v>17</v>
      </c>
      <c r="X23" s="13">
        <f t="shared" si="14"/>
        <v>73437.747719385734</v>
      </c>
      <c r="Y23" s="13">
        <f t="shared" si="6"/>
        <v>65621.11491351157</v>
      </c>
      <c r="Z23" s="13">
        <f t="shared" si="7"/>
        <v>7816.6328058741701</v>
      </c>
      <c r="AA23" s="13">
        <f t="shared" si="15"/>
        <v>-2280.7505487129238</v>
      </c>
      <c r="AB23" s="13">
        <f t="shared" si="8"/>
        <v>13626.801847257209</v>
      </c>
      <c r="AC23" s="13">
        <f t="shared" si="9"/>
        <v>-1015.1884381233458</v>
      </c>
      <c r="AD23" s="13">
        <f t="shared" si="10"/>
        <v>-14892.363957846788</v>
      </c>
      <c r="AE23" s="13">
        <f t="shared" si="11"/>
        <v>0</v>
      </c>
    </row>
    <row r="24" spans="2:31" x14ac:dyDescent="0.2">
      <c r="B24" s="54"/>
      <c r="C24" s="54" t="str">
        <f>Data!C28</f>
        <v>Income tax rate, Federal + State (%)</v>
      </c>
      <c r="D24" s="54">
        <f>Data!D28</f>
        <v>0.33</v>
      </c>
      <c r="E24" s="54"/>
      <c r="F24" s="54"/>
      <c r="G24" s="144" t="s">
        <v>265</v>
      </c>
      <c r="H24" s="144">
        <f>IF(D12&lt;100,0.7,IF(D12&lt;150,0.6,IF(D12&lt;200,0.5,IF(D12&lt;250,0.35,IF(D12&lt;300,0.2,IF(D12&lt;400,0,IF(D12&lt;500,-1,-3)))))))</f>
        <v>0.2</v>
      </c>
      <c r="I24" s="144">
        <f>IF(D12&lt;100,0.7,IF(D12&lt;150,0.6,IF(D12&lt;200,0.5,IF(D12&lt;250,0.35,IF(D12&lt;300,0.2,IF(D12&lt;400,0,IF(D12&lt;500,-1,-3)))))))</f>
        <v>0.2</v>
      </c>
      <c r="J24" s="144">
        <f>H24-I24</f>
        <v>0</v>
      </c>
      <c r="K24" s="144"/>
      <c r="M24">
        <v>18</v>
      </c>
      <c r="N24" s="13">
        <f t="shared" si="12"/>
        <v>95981.97824956222</v>
      </c>
      <c r="O24" s="13">
        <f t="shared" si="0"/>
        <v>87932.293984105505</v>
      </c>
      <c r="P24" s="13">
        <f t="shared" si="1"/>
        <v>8049.6842654567145</v>
      </c>
      <c r="Q24" s="13">
        <f t="shared" si="13"/>
        <v>93324.696458972394</v>
      </c>
      <c r="R24" s="13">
        <f t="shared" si="2"/>
        <v>105062.64224235309</v>
      </c>
      <c r="S24" s="13">
        <f t="shared" si="3"/>
        <v>14683.43177190654</v>
      </c>
      <c r="T24" s="13">
        <f t="shared" si="4"/>
        <v>-26421.377555287243</v>
      </c>
      <c r="U24" s="13">
        <f t="shared" si="5"/>
        <v>0</v>
      </c>
      <c r="W24">
        <v>18</v>
      </c>
      <c r="X24" s="13">
        <f t="shared" si="14"/>
        <v>73804.936457982665</v>
      </c>
      <c r="Y24" s="13">
        <f t="shared" si="6"/>
        <v>65949.220488079125</v>
      </c>
      <c r="Z24" s="13">
        <f t="shared" si="7"/>
        <v>7855.7159699035419</v>
      </c>
      <c r="AA24" s="13">
        <f t="shared" si="15"/>
        <v>-1988.8897433508046</v>
      </c>
      <c r="AB24" s="13">
        <f t="shared" si="8"/>
        <v>14008.352298980411</v>
      </c>
      <c r="AC24" s="13">
        <f t="shared" si="9"/>
        <v>-1030.4162646951959</v>
      </c>
      <c r="AD24" s="13">
        <f t="shared" si="10"/>
        <v>-14966.825777636021</v>
      </c>
      <c r="AE24" s="13">
        <f t="shared" si="11"/>
        <v>0</v>
      </c>
    </row>
    <row r="25" spans="2:31" x14ac:dyDescent="0.2">
      <c r="C25" s="54" t="str">
        <f>Data!C29</f>
        <v>Milking system loan period</v>
      </c>
      <c r="D25" s="54">
        <f>Data!D29</f>
        <v>10</v>
      </c>
      <c r="E25" s="54"/>
      <c r="F25" s="54"/>
      <c r="G25" s="144" t="s">
        <v>266</v>
      </c>
      <c r="H25" s="144">
        <f>IF(H18&lt;100,0.7,IF(H18&lt;150,0.6,IF(H18&lt;200,0.5,IF(H18&lt;250,0.35,IF(H18&lt;300,0.2,IF(H18&lt;400,0,IF(H18&lt;500,-1,-3)))))))</f>
        <v>0.35</v>
      </c>
      <c r="I25" s="144">
        <f>IF(I18&lt;100,0.7,IF(I18&lt;150,0.6,IF(I18&lt;200,0.5,IF(I18&lt;250,0.35,IF(I18&lt;300,0.2,IF(I18&lt;400,0,IF(I18&lt;500,-1,-3)))))))</f>
        <v>0.35</v>
      </c>
      <c r="J25" s="144">
        <f>H25-I25</f>
        <v>0</v>
      </c>
      <c r="K25" s="144"/>
      <c r="M25">
        <v>19</v>
      </c>
      <c r="N25" s="13">
        <f t="shared" si="12"/>
        <v>96461.888140809999</v>
      </c>
      <c r="O25" s="13">
        <f t="shared" si="0"/>
        <v>88371.955454026</v>
      </c>
      <c r="P25" s="13">
        <f t="shared" si="1"/>
        <v>8089.9326867839955</v>
      </c>
      <c r="Q25" s="13">
        <f t="shared" si="13"/>
        <v>95047.254394728399</v>
      </c>
      <c r="R25" s="13">
        <f t="shared" si="2"/>
        <v>108004.39622513896</v>
      </c>
      <c r="S25" s="13">
        <f t="shared" si="3"/>
        <v>13596.342612653109</v>
      </c>
      <c r="T25" s="13">
        <f t="shared" si="4"/>
        <v>-26553.484443063669</v>
      </c>
      <c r="U25" s="13">
        <f t="shared" si="5"/>
        <v>0</v>
      </c>
      <c r="W25">
        <v>19</v>
      </c>
      <c r="X25" s="13">
        <f t="shared" si="14"/>
        <v>74173.961140272571</v>
      </c>
      <c r="Y25" s="13">
        <f t="shared" si="6"/>
        <v>66278.966590519514</v>
      </c>
      <c r="Z25" s="13">
        <f t="shared" si="7"/>
        <v>7894.9945497530562</v>
      </c>
      <c r="AA25" s="13">
        <f t="shared" si="15"/>
        <v>-1686.9462518379587</v>
      </c>
      <c r="AB25" s="13">
        <f t="shared" si="8"/>
        <v>14400.586163351862</v>
      </c>
      <c r="AC25" s="13">
        <f t="shared" si="9"/>
        <v>-1045.8725086656236</v>
      </c>
      <c r="AD25" s="13">
        <f t="shared" si="10"/>
        <v>-15041.659906524197</v>
      </c>
      <c r="AE25" s="13">
        <f t="shared" si="11"/>
        <v>0</v>
      </c>
    </row>
    <row r="26" spans="2:31" x14ac:dyDescent="0.2">
      <c r="C26" s="54" t="str">
        <f>Data!C30</f>
        <v>Barn loan period</v>
      </c>
      <c r="D26" s="54">
        <f>Data!D30</f>
        <v>20</v>
      </c>
      <c r="E26" s="54"/>
      <c r="F26" s="54"/>
      <c r="M26">
        <v>20</v>
      </c>
      <c r="N26" s="13">
        <f t="shared" si="12"/>
        <v>96944.197581514047</v>
      </c>
      <c r="O26" s="13">
        <f t="shared" si="0"/>
        <v>88813.815231296132</v>
      </c>
      <c r="P26" s="13">
        <f t="shared" si="1"/>
        <v>8130.3823502179157</v>
      </c>
      <c r="Q26" s="13">
        <f t="shared" si="13"/>
        <v>96815.60446063726</v>
      </c>
      <c r="R26" s="13">
        <f t="shared" si="2"/>
        <v>111028.51931944286</v>
      </c>
      <c r="S26" s="13">
        <f t="shared" si="3"/>
        <v>12473.337006473394</v>
      </c>
      <c r="T26" s="13">
        <f t="shared" si="4"/>
        <v>-26686.251865278988</v>
      </c>
      <c r="U26" s="13">
        <f t="shared" si="5"/>
        <v>0</v>
      </c>
      <c r="W26">
        <v>20</v>
      </c>
      <c r="X26" s="13">
        <f t="shared" si="14"/>
        <v>74544.83094597391</v>
      </c>
      <c r="Y26" s="13">
        <f t="shared" si="6"/>
        <v>66610.361423472088</v>
      </c>
      <c r="Z26" s="13">
        <f t="shared" si="7"/>
        <v>7934.4695225018204</v>
      </c>
      <c r="AA26" s="13">
        <f t="shared" si="15"/>
        <v>-1374.6262264267079</v>
      </c>
      <c r="AB26" s="13">
        <f t="shared" si="8"/>
        <v>14803.802575925714</v>
      </c>
      <c r="AC26" s="13">
        <f t="shared" si="9"/>
        <v>-1061.5605962956079</v>
      </c>
      <c r="AD26" s="13">
        <f t="shared" si="10"/>
        <v>-15116.868206056815</v>
      </c>
      <c r="AE26" s="13">
        <f t="shared" si="11"/>
        <v>0</v>
      </c>
    </row>
    <row r="27" spans="2:31" x14ac:dyDescent="0.2">
      <c r="C27" s="54" t="str">
        <f>Data!C31</f>
        <v xml:space="preserve">Cost of dry matter ($/lb of DM) </v>
      </c>
      <c r="D27" s="54">
        <f>Data!D31</f>
        <v>0.11</v>
      </c>
      <c r="E27" s="54"/>
      <c r="F27" s="54"/>
      <c r="M27">
        <v>21</v>
      </c>
      <c r="N27" s="13">
        <f t="shared" si="12"/>
        <v>97428.918569421599</v>
      </c>
      <c r="O27" s="13">
        <f t="shared" si="0"/>
        <v>89257.884307452594</v>
      </c>
      <c r="P27" s="13">
        <f t="shared" si="1"/>
        <v>8171.0342619690027</v>
      </c>
      <c r="Q27" s="13">
        <f t="shared" si="13"/>
        <v>98631.216790802326</v>
      </c>
      <c r="R27" s="13">
        <f t="shared" si="2"/>
        <v>114137.31786038727</v>
      </c>
      <c r="S27" s="13">
        <f t="shared" si="3"/>
        <v>11313.582055020439</v>
      </c>
      <c r="T27" s="13">
        <f t="shared" si="4"/>
        <v>-26819.683124605377</v>
      </c>
      <c r="U27" s="13">
        <f t="shared" si="5"/>
        <v>0</v>
      </c>
      <c r="W27">
        <v>21</v>
      </c>
      <c r="X27" s="13">
        <f t="shared" si="14"/>
        <v>74917.555100703772</v>
      </c>
      <c r="Y27" s="13">
        <f t="shared" si="6"/>
        <v>66943.413230589445</v>
      </c>
      <c r="Z27" s="13">
        <f t="shared" si="7"/>
        <v>7974.1418701143284</v>
      </c>
      <c r="AA27" s="13">
        <f t="shared" si="15"/>
        <v>-1051.6275042755042</v>
      </c>
      <c r="AB27" s="13">
        <f t="shared" si="8"/>
        <v>15218.309048051635</v>
      </c>
      <c r="AC27" s="13">
        <f t="shared" si="9"/>
        <v>-1077.4840052400418</v>
      </c>
      <c r="AD27" s="13">
        <f t="shared" si="10"/>
        <v>-15192.452547087098</v>
      </c>
      <c r="AE27" s="13">
        <f t="shared" si="11"/>
        <v>0</v>
      </c>
    </row>
    <row r="28" spans="2:31" x14ac:dyDescent="0.2">
      <c r="C28" s="54" t="str">
        <f>Data!C32</f>
        <v>Maximum time horizon (barn life)</v>
      </c>
      <c r="D28" s="54">
        <f>Data!D32</f>
        <v>30</v>
      </c>
      <c r="E28" s="54"/>
      <c r="M28">
        <v>22</v>
      </c>
      <c r="N28" s="13">
        <f t="shared" si="12"/>
        <v>97916.063162268678</v>
      </c>
      <c r="O28" s="13">
        <f t="shared" si="0"/>
        <v>89704.17372898983</v>
      </c>
      <c r="P28" s="13">
        <f t="shared" si="1"/>
        <v>8211.8894332788459</v>
      </c>
      <c r="Q28" s="13">
        <f t="shared" si="13"/>
        <v>100495.60917444715</v>
      </c>
      <c r="R28" s="13">
        <f t="shared" si="2"/>
        <v>117333.16276047811</v>
      </c>
      <c r="S28" s="13">
        <f t="shared" si="3"/>
        <v>10116.22795419744</v>
      </c>
      <c r="T28" s="13">
        <f t="shared" si="4"/>
        <v>-26953.7815402284</v>
      </c>
      <c r="U28" s="13">
        <f t="shared" si="5"/>
        <v>0</v>
      </c>
      <c r="W28">
        <v>22</v>
      </c>
      <c r="X28" s="13">
        <f t="shared" si="14"/>
        <v>75292.142876207276</v>
      </c>
      <c r="Y28" s="13">
        <f t="shared" si="6"/>
        <v>67278.130296742384</v>
      </c>
      <c r="Z28" s="13">
        <f t="shared" si="7"/>
        <v>8014.0125794648984</v>
      </c>
      <c r="AA28" s="13">
        <f t="shared" si="15"/>
        <v>-717.63937374409215</v>
      </c>
      <c r="AB28" s="13">
        <f t="shared" si="8"/>
        <v>15644.421701397081</v>
      </c>
      <c r="AC28" s="13">
        <f t="shared" si="9"/>
        <v>-1093.6462653186422</v>
      </c>
      <c r="AD28" s="13">
        <f t="shared" si="10"/>
        <v>-15268.414809822531</v>
      </c>
      <c r="AE28" s="13">
        <f t="shared" si="11"/>
        <v>0</v>
      </c>
    </row>
    <row r="29" spans="2:31" x14ac:dyDescent="0.2">
      <c r="E29" s="54"/>
      <c r="F29" s="54" t="s">
        <v>251</v>
      </c>
      <c r="H29" s="54"/>
      <c r="I29" s="54"/>
      <c r="J29" s="54"/>
      <c r="K29" s="54"/>
      <c r="M29">
        <v>23</v>
      </c>
      <c r="N29" s="13">
        <f t="shared" si="12"/>
        <v>98405.643478080005</v>
      </c>
      <c r="O29" s="13">
        <f t="shared" si="0"/>
        <v>90152.694597634763</v>
      </c>
      <c r="P29" s="13">
        <f t="shared" si="1"/>
        <v>8252.9488804452394</v>
      </c>
      <c r="Q29" s="13">
        <f t="shared" si="13"/>
        <v>102410.34854422935</v>
      </c>
      <c r="R29" s="13">
        <f t="shared" si="2"/>
        <v>120618.49131777151</v>
      </c>
      <c r="S29" s="13">
        <f t="shared" si="3"/>
        <v>8880.4076743873738</v>
      </c>
      <c r="T29" s="13">
        <f t="shared" si="4"/>
        <v>-27088.550447929538</v>
      </c>
      <c r="U29" s="13">
        <f t="shared" si="5"/>
        <v>0</v>
      </c>
      <c r="W29">
        <v>23</v>
      </c>
      <c r="X29" s="13">
        <f t="shared" si="14"/>
        <v>75668.603590588304</v>
      </c>
      <c r="Y29" s="13">
        <f t="shared" si="6"/>
        <v>67614.520948226083</v>
      </c>
      <c r="Z29" s="13">
        <f t="shared" si="7"/>
        <v>8054.0826423622229</v>
      </c>
      <c r="AA29" s="13">
        <f t="shared" si="15"/>
        <v>-372.3423341338621</v>
      </c>
      <c r="AB29" s="13">
        <f t="shared" si="8"/>
        <v>16082.465509036199</v>
      </c>
      <c r="AC29" s="13">
        <f t="shared" si="9"/>
        <v>-1110.0509592984217</v>
      </c>
      <c r="AD29" s="13">
        <f t="shared" si="10"/>
        <v>-15344.75688387164</v>
      </c>
      <c r="AE29" s="13">
        <f t="shared" si="11"/>
        <v>0</v>
      </c>
    </row>
    <row r="30" spans="2:31" x14ac:dyDescent="0.2">
      <c r="B30" s="54" t="s">
        <v>16</v>
      </c>
      <c r="C30" s="54"/>
      <c r="D30" s="54" t="str">
        <f>Data!D34</f>
        <v>Shared</v>
      </c>
      <c r="E30" s="54"/>
      <c r="F30" s="54"/>
      <c r="G30" s="54" t="s">
        <v>249</v>
      </c>
      <c r="H30" s="54">
        <v>1500</v>
      </c>
      <c r="I30" s="54">
        <v>1500</v>
      </c>
      <c r="J30" s="54" t="s">
        <v>79</v>
      </c>
      <c r="K30" s="54"/>
      <c r="M30">
        <v>24</v>
      </c>
      <c r="N30" s="13">
        <f t="shared" si="12"/>
        <v>98897.671695470373</v>
      </c>
      <c r="O30" s="13">
        <f t="shared" si="0"/>
        <v>90603.458070622917</v>
      </c>
      <c r="P30" s="13">
        <f t="shared" si="1"/>
        <v>8294.2136248474635</v>
      </c>
      <c r="Q30" s="13">
        <f t="shared" si="13"/>
        <v>104377.05250939322</v>
      </c>
      <c r="R30" s="13">
        <f t="shared" si="2"/>
        <v>123995.8090746691</v>
      </c>
      <c r="S30" s="13">
        <f t="shared" si="3"/>
        <v>7605.236634893311</v>
      </c>
      <c r="T30" s="13">
        <f t="shared" si="4"/>
        <v>-27223.993200169178</v>
      </c>
      <c r="U30" s="13">
        <f t="shared" si="5"/>
        <v>0</v>
      </c>
      <c r="W30">
        <v>24</v>
      </c>
      <c r="X30" s="13">
        <f t="shared" si="14"/>
        <v>76046.946608541228</v>
      </c>
      <c r="Y30" s="13">
        <f t="shared" si="6"/>
        <v>67952.593552967199</v>
      </c>
      <c r="Z30" s="13">
        <f t="shared" si="7"/>
        <v>8094.3530555740308</v>
      </c>
      <c r="AA30" s="13">
        <f t="shared" si="15"/>
        <v>-15.407848689681487</v>
      </c>
      <c r="AB30" s="13">
        <f t="shared" si="8"/>
        <v>16532.774543289212</v>
      </c>
      <c r="AC30" s="13">
        <f t="shared" si="9"/>
        <v>-1126.701723687898</v>
      </c>
      <c r="AD30" s="13">
        <f t="shared" si="10"/>
        <v>-15421.480668290995</v>
      </c>
      <c r="AE30" s="13">
        <f t="shared" si="11"/>
        <v>0</v>
      </c>
    </row>
    <row r="31" spans="2:31" x14ac:dyDescent="0.2">
      <c r="B31" s="54"/>
      <c r="C31" s="54" t="str">
        <f>Data!C35</f>
        <v>Income over feed cost margin inflation (%)</v>
      </c>
      <c r="D31" s="108">
        <f>Data!D35</f>
        <v>0</v>
      </c>
      <c r="E31" s="54"/>
      <c r="F31" s="54"/>
      <c r="G31" s="54" t="s">
        <v>254</v>
      </c>
      <c r="H31" s="133">
        <f>(($D$9*0.4+$D$9*$D$10/100*15)*0.372+0.0968*(H30/2.2046)^0.75*2.2046)*(1-EXP(-0.192*(24+3.67)))</f>
        <v>54.594785260077913</v>
      </c>
      <c r="I31" s="133">
        <f>(($D$9*0.4+$D$9*$D$10/100*15)*0.372+0.0968*(I30/2.2046)^0.75*2.2046)*(1-EXP(-0.192*(24+3.67)))</f>
        <v>54.594785260077913</v>
      </c>
      <c r="J31" s="54"/>
      <c r="K31" s="54"/>
      <c r="M31">
        <v>25</v>
      </c>
      <c r="N31" s="13">
        <f t="shared" si="12"/>
        <v>99392.160053947737</v>
      </c>
      <c r="O31" s="13">
        <f t="shared" si="0"/>
        <v>91056.475360976037</v>
      </c>
      <c r="P31" s="13">
        <f t="shared" si="1"/>
        <v>8335.6846929717012</v>
      </c>
      <c r="Q31" s="13">
        <f t="shared" si="13"/>
        <v>106397.39093507751</v>
      </c>
      <c r="R31" s="13">
        <f t="shared" si="2"/>
        <v>127467.69172875983</v>
      </c>
      <c r="S31" s="13">
        <f t="shared" si="3"/>
        <v>6289.8123724876896</v>
      </c>
      <c r="T31" s="13">
        <f t="shared" si="4"/>
        <v>-27360.113166170027</v>
      </c>
      <c r="U31" s="13">
        <f t="shared" si="5"/>
        <v>0</v>
      </c>
      <c r="W31">
        <v>25</v>
      </c>
      <c r="X31" s="13">
        <f t="shared" si="14"/>
        <v>76427.181341583942</v>
      </c>
      <c r="Y31" s="13">
        <f t="shared" si="6"/>
        <v>68292.356520732035</v>
      </c>
      <c r="Z31" s="13">
        <f t="shared" si="7"/>
        <v>8134.8248208519026</v>
      </c>
      <c r="AA31" s="13">
        <f t="shared" si="15"/>
        <v>353.50190932564328</v>
      </c>
      <c r="AB31" s="13">
        <f t="shared" si="8"/>
        <v>16995.69223050131</v>
      </c>
      <c r="AC31" s="13">
        <f t="shared" si="9"/>
        <v>-1143.6022495432162</v>
      </c>
      <c r="AD31" s="13">
        <f t="shared" si="10"/>
        <v>-15498.588071632452</v>
      </c>
      <c r="AE31" s="13">
        <f t="shared" si="11"/>
        <v>0</v>
      </c>
    </row>
    <row r="32" spans="2:31" x14ac:dyDescent="0.2">
      <c r="B32" s="54"/>
      <c r="C32" s="54" t="str">
        <f>Data!C36</f>
        <v>Wage inflation (%)</v>
      </c>
      <c r="D32" s="108">
        <f>Data!D36</f>
        <v>2.8000000000000001E-2</v>
      </c>
      <c r="E32" s="54"/>
      <c r="F32" s="54"/>
      <c r="G32" s="54" t="s">
        <v>248</v>
      </c>
      <c r="H32" s="133">
        <f>(($H$15*0.4+$H$15*$D$10/100*15)*0.372+0.0968*(H30/2.2046)^0.75*2.2046)*(1-EXP(-0.192*(24+3.67)))</f>
        <v>57.40064695280315</v>
      </c>
      <c r="I32" s="133">
        <f>(($I$15*0.4+$I$15*$D$10/100*15)*0.372+0.0968*(I30/2.2046)^0.75*2.2046)*(1-EXP(-0.192*(24+3.67)))</f>
        <v>56.699181529621832</v>
      </c>
      <c r="J32" s="54"/>
      <c r="K32" s="54"/>
      <c r="M32">
        <v>26</v>
      </c>
      <c r="N32" s="13">
        <f t="shared" si="12"/>
        <v>99889.120854217443</v>
      </c>
      <c r="O32" s="13">
        <f t="shared" si="0"/>
        <v>91511.757737780892</v>
      </c>
      <c r="P32" s="13">
        <f t="shared" si="1"/>
        <v>8377.3631164365579</v>
      </c>
      <c r="Q32" s="13">
        <f t="shared" si="13"/>
        <v>108473.0875691313</v>
      </c>
      <c r="R32" s="13">
        <f t="shared" si="2"/>
        <v>131036.78709716511</v>
      </c>
      <c r="S32" s="13">
        <f t="shared" si="3"/>
        <v>4933.2142039670489</v>
      </c>
      <c r="T32" s="13">
        <f t="shared" si="4"/>
        <v>-27496.91373200087</v>
      </c>
      <c r="U32" s="13">
        <f t="shared" si="5"/>
        <v>0</v>
      </c>
      <c r="W32">
        <v>26</v>
      </c>
      <c r="X32" s="13">
        <f t="shared" si="14"/>
        <v>76809.317248291845</v>
      </c>
      <c r="Y32" s="13">
        <f t="shared" si="6"/>
        <v>68633.818303335691</v>
      </c>
      <c r="Z32" s="13">
        <f t="shared" si="7"/>
        <v>8175.498944956159</v>
      </c>
      <c r="AA32" s="13">
        <f t="shared" si="15"/>
        <v>734.73431767837246</v>
      </c>
      <c r="AB32" s="13">
        <f t="shared" si="8"/>
        <v>17471.571612955348</v>
      </c>
      <c r="AC32" s="13">
        <f t="shared" si="9"/>
        <v>-1160.7562832863644</v>
      </c>
      <c r="AD32" s="13">
        <f t="shared" si="10"/>
        <v>-15576.081011990611</v>
      </c>
      <c r="AE32" s="13">
        <f t="shared" si="11"/>
        <v>0</v>
      </c>
    </row>
    <row r="33" spans="2:31" x14ac:dyDescent="0.2">
      <c r="B33" s="54"/>
      <c r="C33" s="54" t="str">
        <f>Data!C37</f>
        <v>Milking system inflation (%)</v>
      </c>
      <c r="D33" s="108">
        <f>Data!D37</f>
        <v>1.4999999999999999E-2</v>
      </c>
      <c r="E33" s="54"/>
      <c r="F33" s="54"/>
      <c r="G33" s="54" t="s">
        <v>250</v>
      </c>
      <c r="H33" s="132">
        <f>H32-H31</f>
        <v>2.8058616927252373</v>
      </c>
      <c r="I33" s="133">
        <f>I32-I31</f>
        <v>2.1043962695439191</v>
      </c>
      <c r="J33" s="54"/>
      <c r="K33" s="54"/>
      <c r="M33">
        <v>27</v>
      </c>
      <c r="N33" s="13">
        <f t="shared" si="12"/>
        <v>100388.56645848855</v>
      </c>
      <c r="O33" s="13">
        <f t="shared" si="0"/>
        <v>91969.316526469818</v>
      </c>
      <c r="P33" s="13">
        <f t="shared" si="1"/>
        <v>8419.2499320187417</v>
      </c>
      <c r="Q33" s="13">
        <f t="shared" si="13"/>
        <v>110605.92171783182</v>
      </c>
      <c r="R33" s="13">
        <f t="shared" si="2"/>
        <v>134705.81713588571</v>
      </c>
      <c r="S33" s="13">
        <f t="shared" si="3"/>
        <v>3534.5028826069793</v>
      </c>
      <c r="T33" s="13">
        <f t="shared" si="4"/>
        <v>-27634.398300660872</v>
      </c>
      <c r="U33" s="13">
        <f t="shared" si="5"/>
        <v>0</v>
      </c>
      <c r="W33">
        <v>27</v>
      </c>
      <c r="X33" s="13">
        <f t="shared" si="14"/>
        <v>77193.363834533287</v>
      </c>
      <c r="Y33" s="13">
        <f t="shared" si="6"/>
        <v>68976.987394852345</v>
      </c>
      <c r="Z33" s="13">
        <f t="shared" si="7"/>
        <v>8216.3764396809402</v>
      </c>
      <c r="AA33" s="13">
        <f t="shared" si="15"/>
        <v>1128.6465735318743</v>
      </c>
      <c r="AB33" s="13">
        <f t="shared" si="8"/>
        <v>17960.775618118096</v>
      </c>
      <c r="AC33" s="13">
        <f t="shared" si="9"/>
        <v>-1178.1676275356597</v>
      </c>
      <c r="AD33" s="13">
        <f t="shared" si="10"/>
        <v>-15653.961417050563</v>
      </c>
      <c r="AE33" s="13">
        <f t="shared" si="11"/>
        <v>0</v>
      </c>
    </row>
    <row r="34" spans="2:31" x14ac:dyDescent="0.2">
      <c r="B34" s="54"/>
      <c r="C34" s="54" t="str">
        <f>Data!C38</f>
        <v xml:space="preserve">Insurance rate </v>
      </c>
      <c r="D34" s="108">
        <f>Data!D38</f>
        <v>5.0000000000000001E-3</v>
      </c>
      <c r="E34" s="54"/>
      <c r="F34" s="54"/>
      <c r="G34" s="54"/>
      <c r="J34" s="149"/>
      <c r="K34" s="54"/>
      <c r="M34">
        <v>28</v>
      </c>
      <c r="N34" s="13">
        <f t="shared" si="12"/>
        <v>100890.50929078096</v>
      </c>
      <c r="O34" s="13">
        <f t="shared" si="0"/>
        <v>92429.163109102126</v>
      </c>
      <c r="P34" s="13">
        <f t="shared" si="1"/>
        <v>8461.3461816788331</v>
      </c>
      <c r="Q34" s="13">
        <f t="shared" si="13"/>
        <v>112797.72997193658</v>
      </c>
      <c r="R34" s="13">
        <f t="shared" si="2"/>
        <v>138477.58001569053</v>
      </c>
      <c r="S34" s="13">
        <f t="shared" si="3"/>
        <v>2092.7202484102154</v>
      </c>
      <c r="T34" s="13">
        <f t="shared" si="4"/>
        <v>-27772.570292164171</v>
      </c>
      <c r="U34" s="13">
        <f t="shared" si="5"/>
        <v>0</v>
      </c>
      <c r="W34">
        <v>28</v>
      </c>
      <c r="X34" s="13">
        <f t="shared" si="14"/>
        <v>77579.33065370594</v>
      </c>
      <c r="Y34" s="13">
        <f t="shared" si="6"/>
        <v>69321.872331826598</v>
      </c>
      <c r="Z34" s="13">
        <f t="shared" si="7"/>
        <v>8257.4583218793432</v>
      </c>
      <c r="AA34" s="13">
        <f t="shared" si="15"/>
        <v>1535.605969340897</v>
      </c>
      <c r="AB34" s="13">
        <f t="shared" si="8"/>
        <v>18463.677335425404</v>
      </c>
      <c r="AC34" s="13">
        <f t="shared" si="9"/>
        <v>-1195.8401419486945</v>
      </c>
      <c r="AD34" s="13">
        <f t="shared" si="10"/>
        <v>-15732.231224135812</v>
      </c>
      <c r="AE34" s="13">
        <f t="shared" si="11"/>
        <v>0</v>
      </c>
    </row>
    <row r="35" spans="2:31" x14ac:dyDescent="0.2">
      <c r="B35" s="54"/>
      <c r="C35" s="54" t="str">
        <f>Data!C39</f>
        <v>Salvage value of milking systems</v>
      </c>
      <c r="D35" s="107">
        <f>Data!D39</f>
        <v>0.05</v>
      </c>
      <c r="E35" s="54"/>
      <c r="G35" s="54" t="s">
        <v>257</v>
      </c>
      <c r="H35" s="147">
        <f>$D$8*330*($H$33)*$D$27</f>
        <v>18333.5003002667</v>
      </c>
      <c r="I35" s="147">
        <f>$D$8*330*($I$33)*$D$27</f>
        <v>13750.125225199967</v>
      </c>
      <c r="J35" s="5"/>
      <c r="M35">
        <v>29</v>
      </c>
      <c r="N35" s="13">
        <f t="shared" si="12"/>
        <v>101394.96183723485</v>
      </c>
      <c r="O35" s="13">
        <f t="shared" si="0"/>
        <v>92891.30892464763</v>
      </c>
      <c r="P35" s="13">
        <f t="shared" si="1"/>
        <v>8503.6529125872257</v>
      </c>
      <c r="Q35" s="13">
        <f t="shared" si="13"/>
        <v>115050.40798454384</v>
      </c>
      <c r="R35" s="13">
        <f t="shared" si="2"/>
        <v>142354.95225612988</v>
      </c>
      <c r="S35" s="13">
        <f t="shared" si="3"/>
        <v>606.88887203896229</v>
      </c>
      <c r="T35" s="13">
        <f t="shared" si="4"/>
        <v>-27911.433143624989</v>
      </c>
      <c r="U35" s="13">
        <f t="shared" si="5"/>
        <v>0</v>
      </c>
      <c r="W35">
        <v>29</v>
      </c>
      <c r="X35" s="13">
        <f t="shared" si="14"/>
        <v>77967.227306974455</v>
      </c>
      <c r="Y35" s="13">
        <f t="shared" si="6"/>
        <v>69668.481693485723</v>
      </c>
      <c r="Z35" s="13">
        <f t="shared" si="7"/>
        <v>8298.7456134887361</v>
      </c>
      <c r="AA35" s="13">
        <f t="shared" si="15"/>
        <v>1955.9901764829065</v>
      </c>
      <c r="AB35" s="13">
        <f t="shared" si="8"/>
        <v>18980.660300817319</v>
      </c>
      <c r="AC35" s="13">
        <f t="shared" si="9"/>
        <v>-1213.7777440779246</v>
      </c>
      <c r="AD35" s="13">
        <f t="shared" si="10"/>
        <v>-15810.892380256488</v>
      </c>
      <c r="AE35" s="13">
        <f t="shared" si="11"/>
        <v>0</v>
      </c>
    </row>
    <row r="36" spans="2:31" x14ac:dyDescent="0.2">
      <c r="B36" s="54"/>
      <c r="C36" s="54" t="str">
        <f>Data!C40</f>
        <v>Cow's genetic gain in milk production (%/year)</v>
      </c>
      <c r="D36" s="134">
        <f>Data!D40</f>
        <v>5.0000000000000001E-3</v>
      </c>
      <c r="G36" s="54" t="s">
        <v>258</v>
      </c>
      <c r="H36" s="148">
        <f>$H$16*$H$17/2000*$D$8*330</f>
        <v>5940</v>
      </c>
      <c r="I36" s="148">
        <f>$I$16*$I$17/2000*$D$8*330</f>
        <v>0</v>
      </c>
      <c r="M36">
        <v>30</v>
      </c>
      <c r="N36" s="13">
        <f t="shared" si="12"/>
        <v>101901.93664642102</v>
      </c>
      <c r="O36" s="13">
        <f t="shared" si="0"/>
        <v>93355.76546927086</v>
      </c>
      <c r="P36" s="13">
        <f t="shared" si="1"/>
        <v>8546.1711771501614</v>
      </c>
      <c r="Q36" s="13">
        <f t="shared" si="13"/>
        <v>117365.91230227907</v>
      </c>
      <c r="R36" s="13">
        <f t="shared" si="2"/>
        <v>146340.89091930151</v>
      </c>
      <c r="S36" s="13">
        <f t="shared" si="3"/>
        <v>-923.98830767932009</v>
      </c>
      <c r="T36" s="13">
        <f t="shared" si="4"/>
        <v>-28050.990309343106</v>
      </c>
      <c r="U36" s="13">
        <f t="shared" si="5"/>
        <v>0</v>
      </c>
      <c r="W36">
        <v>30</v>
      </c>
      <c r="X36" s="13">
        <f t="shared" si="14"/>
        <v>78357.063443509323</v>
      </c>
      <c r="Y36" s="13">
        <f t="shared" si="6"/>
        <v>70016.824101953142</v>
      </c>
      <c r="Z36" s="13">
        <f t="shared" si="7"/>
        <v>8340.2393415561801</v>
      </c>
      <c r="AA36" s="13">
        <f t="shared" si="15"/>
        <v>2390.1875368433411</v>
      </c>
      <c r="AB36" s="13">
        <f t="shared" si="8"/>
        <v>19512.118789240201</v>
      </c>
      <c r="AC36" s="13">
        <f t="shared" si="9"/>
        <v>-1231.9844102390934</v>
      </c>
      <c r="AD36" s="13">
        <f t="shared" si="10"/>
        <v>-15889.946842157768</v>
      </c>
      <c r="AE36" s="13">
        <f t="shared" si="11"/>
        <v>0</v>
      </c>
    </row>
    <row r="37" spans="2:31" x14ac:dyDescent="0.2">
      <c r="B37" s="54"/>
      <c r="P37" s="6"/>
      <c r="X37" s="13"/>
    </row>
    <row r="38" spans="2:31" x14ac:dyDescent="0.2">
      <c r="B38" s="54"/>
      <c r="C38" s="144" t="s">
        <v>259</v>
      </c>
      <c r="D38" s="144">
        <f>D8+D15</f>
        <v>180</v>
      </c>
      <c r="G38" s="54" t="s">
        <v>262</v>
      </c>
      <c r="H38" s="148">
        <f>$D$15*($H$15)/100*$D$18*330</f>
        <v>0</v>
      </c>
      <c r="I38" s="148">
        <f>$D$15*($I$15)/100*$D$18*330</f>
        <v>0</v>
      </c>
      <c r="K38" s="146"/>
      <c r="M38" t="s">
        <v>73</v>
      </c>
      <c r="N38" s="13">
        <f>NPV(Data!$H$23,N7:N36)+N6</f>
        <v>1764849.3197018004</v>
      </c>
      <c r="O38" s="13">
        <f>NPV(Data!$H$23,O7:O36)+O6</f>
        <v>1616837.3693462098</v>
      </c>
      <c r="P38" s="13">
        <f>NPV(Data!$H$23,P7:P36)+P6</f>
        <v>148011.95035559047</v>
      </c>
      <c r="Q38" s="13">
        <f>NPV(Data!$H$23,Q7:Q36)+Q6</f>
        <v>1057313.5665762371</v>
      </c>
      <c r="R38" s="13">
        <f>NPV(Data!$H$23,R7:R36)+R6</f>
        <v>1776071.9969757483</v>
      </c>
      <c r="S38" s="13">
        <f>NPV(Data!$H$23,S7:S36)+S6</f>
        <v>-232940.66487282747</v>
      </c>
      <c r="T38" s="13">
        <f>NPV(Data!$H$23,T7:T36)+T6</f>
        <v>-485817.76552668406</v>
      </c>
      <c r="U38" s="13">
        <f>NPV(Data!$H$23,U7:U36)+U6</f>
        <v>0</v>
      </c>
      <c r="V38" s="13"/>
      <c r="W38" s="13" t="s">
        <v>73</v>
      </c>
      <c r="X38" s="13">
        <f>NPV(Data!$I$23,X7:X36)+X6</f>
        <v>1357073.4243446309</v>
      </c>
      <c r="Y38" s="13">
        <f>NPV(Data!$I$23,Y7:Y36)+Y6</f>
        <v>1212628.0270096569</v>
      </c>
      <c r="Z38" s="13">
        <f>NPV(Data!$I$23,Z7:Z36)+Z6</f>
        <v>144445.39733497385</v>
      </c>
      <c r="AA38" s="13">
        <f>NPV(Data!$I$23,AA7:AA36)+AA6</f>
        <v>-56567.424038007914</v>
      </c>
      <c r="AB38" s="13">
        <f>NPV(Data!$I$23,AB7:AB36)+AB6</f>
        <v>236809.59959676646</v>
      </c>
      <c r="AC38" s="13">
        <f>NPV(Data!$I$23,AC7:AC36)+AC6</f>
        <v>-18177.525005178504</v>
      </c>
      <c r="AD38" s="13">
        <f>NPV(Data!$I$23,AD7:AD36)+AD6</f>
        <v>-275199.49862959585</v>
      </c>
      <c r="AE38" s="13">
        <f>NPV(Data!$H$23,AE7:AE36)+AE6</f>
        <v>0</v>
      </c>
    </row>
    <row r="39" spans="2:31" x14ac:dyDescent="0.2">
      <c r="B39" s="54"/>
      <c r="G39" s="54" t="s">
        <v>263</v>
      </c>
      <c r="H39" s="148">
        <f>($H$25)*$D$15*$H$15/100*330</f>
        <v>0</v>
      </c>
      <c r="I39" s="148">
        <f>($I$25)*$D$15*$I$15/100*330</f>
        <v>0</v>
      </c>
      <c r="M39" t="s">
        <v>77</v>
      </c>
      <c r="N39" s="13">
        <f t="shared" ref="N39:U39" si="16">-PMT($H$21,$H$20,N38)</f>
        <v>93746.013234257582</v>
      </c>
      <c r="O39" s="13">
        <f t="shared" si="16"/>
        <v>85883.851801003912</v>
      </c>
      <c r="P39" s="13">
        <f t="shared" si="16"/>
        <v>7862.1614332536647</v>
      </c>
      <c r="Q39" s="13">
        <f t="shared" si="16"/>
        <v>56162.829595992793</v>
      </c>
      <c r="R39" s="13">
        <f t="shared" si="16"/>
        <v>94342.144156315611</v>
      </c>
      <c r="S39" s="13">
        <f t="shared" si="16"/>
        <v>-12373.440841768068</v>
      </c>
      <c r="T39" s="13">
        <f t="shared" si="16"/>
        <v>-25805.873718554783</v>
      </c>
      <c r="U39" s="13">
        <f t="shared" si="16"/>
        <v>0</v>
      </c>
      <c r="V39" s="13"/>
      <c r="W39" s="13" t="s">
        <v>77</v>
      </c>
      <c r="X39" s="13">
        <f t="shared" ref="X39:AD39" si="17">-PMT($I$21,$I$20,X38)</f>
        <v>72085.600610916139</v>
      </c>
      <c r="Y39" s="13">
        <f t="shared" si="17"/>
        <v>64412.888850752912</v>
      </c>
      <c r="Z39" s="13">
        <f t="shared" si="17"/>
        <v>7672.7117601632153</v>
      </c>
      <c r="AA39" s="13">
        <f t="shared" si="17"/>
        <v>-3004.7723753498531</v>
      </c>
      <c r="AB39" s="13">
        <f t="shared" si="17"/>
        <v>12578.952554175416</v>
      </c>
      <c r="AC39" s="13">
        <f t="shared" si="17"/>
        <v>-965.56146787049352</v>
      </c>
      <c r="AD39" s="13">
        <f t="shared" si="17"/>
        <v>-14618.163461654776</v>
      </c>
      <c r="AE39" s="13">
        <f t="shared" ref="AE39" si="18">-PMT($H$21,$H$20,AE38)</f>
        <v>0</v>
      </c>
    </row>
    <row r="40" spans="2:31" x14ac:dyDescent="0.2">
      <c r="C40" s="54" t="str">
        <f>Data!C44</f>
        <v>Herd expansion</v>
      </c>
      <c r="D40" s="134"/>
      <c r="G40" s="54" t="s">
        <v>261</v>
      </c>
      <c r="H40" s="148">
        <f>-$D$15*330*($H$32)*$D$27 - $H$16*$H$17/2204.62*$D$15*330</f>
        <v>0</v>
      </c>
      <c r="I40" s="148">
        <f>-$D$15*330*($I$32)*$D$27 - $I$16*$I$17/2204.62*$D$15*330</f>
        <v>0</v>
      </c>
      <c r="K40" s="14"/>
    </row>
    <row r="41" spans="2:31" x14ac:dyDescent="0.2">
      <c r="C41" s="54" t="str">
        <f>Data!C45</f>
        <v xml:space="preserve">  Non-feed non-labor variable cost per cow ($)</v>
      </c>
      <c r="D41" s="152">
        <f>Data!D45</f>
        <v>700</v>
      </c>
      <c r="G41" s="54" t="s">
        <v>264</v>
      </c>
      <c r="H41" s="148">
        <f>-D41*D15</f>
        <v>0</v>
      </c>
      <c r="I41" s="148">
        <f>-D41*D15</f>
        <v>0</v>
      </c>
      <c r="K41" s="13"/>
    </row>
    <row r="42" spans="2:31" x14ac:dyDescent="0.2">
      <c r="C42" s="54" t="str">
        <f>Data!C46</f>
        <v xml:space="preserve">  Cull rate</v>
      </c>
      <c r="D42" s="134">
        <f>Data!D46</f>
        <v>0.3</v>
      </c>
      <c r="G42" s="54" t="s">
        <v>283</v>
      </c>
      <c r="H42" s="148">
        <f>-(D44*(D42+D43)+D45*D42)*D15</f>
        <v>0</v>
      </c>
      <c r="I42" s="148">
        <f>-(D44*(D42+D43)+D45*D42)*D15</f>
        <v>0</v>
      </c>
      <c r="K42" s="13"/>
    </row>
    <row r="43" spans="2:31" x14ac:dyDescent="0.2">
      <c r="C43" s="54" t="str">
        <f>Data!C47</f>
        <v xml:space="preserve">  Death rate</v>
      </c>
      <c r="D43" s="134">
        <f>Data!D47</f>
        <v>6.5000000000000002E-2</v>
      </c>
      <c r="G43" s="54" t="s">
        <v>285</v>
      </c>
      <c r="H43" s="153">
        <f>PMT(D46,D47,D44*D15)</f>
        <v>0</v>
      </c>
      <c r="I43" s="153">
        <f>PMT(D46,D47,D44*D15)</f>
        <v>0</v>
      </c>
      <c r="K43" s="13"/>
    </row>
    <row r="44" spans="2:31" x14ac:dyDescent="0.2">
      <c r="C44" s="54" t="str">
        <f>Data!C48</f>
        <v xml:space="preserve">  Heifer price ($/head)</v>
      </c>
      <c r="D44" s="152">
        <f>Data!D48</f>
        <v>1600</v>
      </c>
      <c r="K44" s="14"/>
    </row>
    <row r="45" spans="2:31" x14ac:dyDescent="0.2">
      <c r="C45" s="54" t="str">
        <f>Data!C49</f>
        <v xml:space="preserve">   Cull sales value ($/head)</v>
      </c>
      <c r="D45" s="152">
        <f>Data!D49</f>
        <v>750</v>
      </c>
      <c r="K45" s="13"/>
    </row>
    <row r="46" spans="2:31" x14ac:dyDescent="0.2">
      <c r="C46" s="54" t="str">
        <f>Data!C50</f>
        <v xml:space="preserve">   Cow loan: interest rate (%)</v>
      </c>
      <c r="D46" s="107">
        <f>Data!D50</f>
        <v>0.05</v>
      </c>
      <c r="K46" s="13"/>
    </row>
    <row r="47" spans="2:31" x14ac:dyDescent="0.2">
      <c r="C47" s="54" t="str">
        <f>Data!C51</f>
        <v xml:space="preserve">   Loan period (years)</v>
      </c>
      <c r="D47" s="152">
        <f>Data!D51</f>
        <v>10</v>
      </c>
      <c r="K47" s="13"/>
    </row>
    <row r="48" spans="2:31" x14ac:dyDescent="0.2">
      <c r="F48" s="15" t="s">
        <v>78</v>
      </c>
      <c r="G48" s="12"/>
      <c r="H48" s="15" t="s">
        <v>30</v>
      </c>
      <c r="I48" s="15" t="s">
        <v>31</v>
      </c>
      <c r="J48" s="15" t="s">
        <v>44</v>
      </c>
    </row>
    <row r="49" spans="3:10" x14ac:dyDescent="0.2">
      <c r="C49" s="54"/>
      <c r="D49" s="134"/>
    </row>
    <row r="50" spans="3:10" x14ac:dyDescent="0.2">
      <c r="F50" s="11" t="s">
        <v>75</v>
      </c>
      <c r="G50" s="11"/>
      <c r="H50" s="14">
        <f>N39</f>
        <v>93746.013234257582</v>
      </c>
      <c r="I50" s="14">
        <f>X39</f>
        <v>72085.600610916139</v>
      </c>
      <c r="J50" s="14">
        <f>H50-I50</f>
        <v>21660.412623341443</v>
      </c>
    </row>
    <row r="51" spans="3:10" x14ac:dyDescent="0.2">
      <c r="G51" t="s">
        <v>71</v>
      </c>
      <c r="H51" s="13">
        <f>O39</f>
        <v>85883.851801003912</v>
      </c>
      <c r="I51" s="13">
        <f>Y39</f>
        <v>64412.888850752912</v>
      </c>
      <c r="J51" s="13">
        <f t="shared" ref="J51:J57" si="19">H51-I51</f>
        <v>21470.962950251</v>
      </c>
    </row>
    <row r="52" spans="3:10" x14ac:dyDescent="0.2">
      <c r="G52" t="s">
        <v>74</v>
      </c>
      <c r="H52" s="13">
        <f>P39</f>
        <v>7862.1614332536647</v>
      </c>
      <c r="I52" s="13">
        <f>Z39</f>
        <v>7672.7117601632153</v>
      </c>
      <c r="J52" s="13">
        <f t="shared" si="19"/>
        <v>189.44967309044932</v>
      </c>
    </row>
    <row r="53" spans="3:10" x14ac:dyDescent="0.2">
      <c r="J53" s="13"/>
    </row>
    <row r="54" spans="3:10" x14ac:dyDescent="0.2">
      <c r="F54" s="11" t="s">
        <v>76</v>
      </c>
      <c r="G54" s="11"/>
      <c r="H54" s="14">
        <f>Q39</f>
        <v>56162.829595992793</v>
      </c>
      <c r="I54" s="14">
        <f>AA39</f>
        <v>-3004.7723753498531</v>
      </c>
      <c r="J54" s="14">
        <f t="shared" si="19"/>
        <v>59167.601971342643</v>
      </c>
    </row>
    <row r="55" spans="3:10" x14ac:dyDescent="0.2">
      <c r="G55" t="s">
        <v>60</v>
      </c>
      <c r="H55" s="13">
        <f>R39</f>
        <v>94342.144156315611</v>
      </c>
      <c r="I55" s="13">
        <f>AB39</f>
        <v>12578.952554175416</v>
      </c>
      <c r="J55" s="13">
        <f t="shared" si="19"/>
        <v>81763.191602140199</v>
      </c>
    </row>
    <row r="56" spans="3:10" x14ac:dyDescent="0.2">
      <c r="G56" t="s">
        <v>62</v>
      </c>
      <c r="H56" s="13">
        <f>S39</f>
        <v>-12373.440841768068</v>
      </c>
      <c r="I56" s="13">
        <f>AC39</f>
        <v>-965.56146787049352</v>
      </c>
      <c r="J56" s="13">
        <f t="shared" si="19"/>
        <v>-11407.879373897575</v>
      </c>
    </row>
    <row r="57" spans="3:10" x14ac:dyDescent="0.2">
      <c r="G57" t="s">
        <v>61</v>
      </c>
      <c r="H57" s="13">
        <f>T39</f>
        <v>-25805.873718554783</v>
      </c>
      <c r="I57" s="13">
        <f>AD39</f>
        <v>-14618.163461654776</v>
      </c>
      <c r="J57" s="13">
        <f t="shared" si="19"/>
        <v>-11187.710256900007</v>
      </c>
    </row>
    <row r="59" spans="3:10" x14ac:dyDescent="0.2">
      <c r="F59" s="11" t="s">
        <v>269</v>
      </c>
      <c r="H59" s="14">
        <f>U39</f>
        <v>0</v>
      </c>
      <c r="I59" s="14">
        <f>AE39</f>
        <v>0</v>
      </c>
      <c r="J59" s="14">
        <f t="shared" ref="J59" si="20">H59-I59</f>
        <v>0</v>
      </c>
    </row>
  </sheetData>
  <mergeCells count="1">
    <mergeCell ref="B2:D2"/>
  </mergeCells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Q45"/>
  <sheetViews>
    <sheetView workbookViewId="0"/>
  </sheetViews>
  <sheetFormatPr baseColWidth="10" defaultColWidth="11" defaultRowHeight="16" x14ac:dyDescent="0.2"/>
  <cols>
    <col min="1" max="1" width="11" bestFit="1" customWidth="1"/>
    <col min="3" max="4" width="13" bestFit="1" customWidth="1"/>
    <col min="5" max="5" width="13.1640625" bestFit="1" customWidth="1"/>
    <col min="14" max="15" width="11" bestFit="1" customWidth="1"/>
    <col min="17" max="17" width="11" bestFit="1" customWidth="1"/>
  </cols>
  <sheetData>
    <row r="2" spans="2:12" ht="26" x14ac:dyDescent="0.3">
      <c r="B2" s="160" t="s">
        <v>147</v>
      </c>
      <c r="C2" s="160"/>
      <c r="D2" s="160"/>
      <c r="E2" s="160"/>
    </row>
    <row r="4" spans="2:12" x14ac:dyDescent="0.2">
      <c r="B4" s="19" t="s">
        <v>30</v>
      </c>
      <c r="H4" s="19" t="s">
        <v>31</v>
      </c>
    </row>
    <row r="5" spans="2:12" x14ac:dyDescent="0.2">
      <c r="C5" t="s">
        <v>37</v>
      </c>
      <c r="E5" t="s">
        <v>38</v>
      </c>
      <c r="I5" t="s">
        <v>37</v>
      </c>
      <c r="K5" t="s">
        <v>38</v>
      </c>
    </row>
    <row r="6" spans="2:12" x14ac:dyDescent="0.2">
      <c r="B6" t="s">
        <v>35</v>
      </c>
      <c r="C6" s="5">
        <f>'Revenue Cost'!$H$8*(1-Data!D26)</f>
        <v>486000</v>
      </c>
      <c r="E6" s="5">
        <f>'Revenue Cost'!$H$9*(1-Data!D26)</f>
        <v>1134000</v>
      </c>
      <c r="H6" t="s">
        <v>35</v>
      </c>
      <c r="I6" s="5">
        <f>Data!I10*(1-Data!D26)</f>
        <v>486000</v>
      </c>
      <c r="K6" s="5">
        <f>Data!I11*(1-Data!D26)</f>
        <v>486000</v>
      </c>
    </row>
    <row r="7" spans="2:12" x14ac:dyDescent="0.2">
      <c r="B7" t="s">
        <v>0</v>
      </c>
      <c r="C7" s="1">
        <f>Data!D24</f>
        <v>0.05</v>
      </c>
      <c r="E7" s="1">
        <f>Data!D25</f>
        <v>0.05</v>
      </c>
      <c r="H7" t="s">
        <v>0</v>
      </c>
      <c r="I7" s="1">
        <f>Data!D24</f>
        <v>0.05</v>
      </c>
      <c r="K7" s="1">
        <f>Data!D25</f>
        <v>0.05</v>
      </c>
    </row>
    <row r="8" spans="2:12" x14ac:dyDescent="0.2">
      <c r="B8" t="s">
        <v>36</v>
      </c>
      <c r="C8">
        <f>Data!D29</f>
        <v>10</v>
      </c>
      <c r="E8">
        <f>Data!D30</f>
        <v>20</v>
      </c>
      <c r="H8" t="s">
        <v>36</v>
      </c>
      <c r="I8">
        <f>Data!D29</f>
        <v>10</v>
      </c>
      <c r="K8">
        <f>Data!D30</f>
        <v>20</v>
      </c>
    </row>
    <row r="9" spans="2:12" x14ac:dyDescent="0.2">
      <c r="B9" t="s">
        <v>41</v>
      </c>
      <c r="C9" s="6">
        <f>-PMT(C7,C8,C6)</f>
        <v>62939.223433211941</v>
      </c>
      <c r="E9" s="6">
        <f>-PMT(E7,E8,E6)</f>
        <v>90995.093874243961</v>
      </c>
      <c r="H9" t="s">
        <v>41</v>
      </c>
      <c r="I9" s="6">
        <f>-PMT(I7,I8,I6)</f>
        <v>62939.223433211941</v>
      </c>
      <c r="K9" s="6">
        <f>-PMT(K7,K8,K6)</f>
        <v>38997.89737467598</v>
      </c>
    </row>
    <row r="10" spans="2:12" x14ac:dyDescent="0.2">
      <c r="B10" t="s">
        <v>42</v>
      </c>
      <c r="C10" s="2">
        <f>Data!D37</f>
        <v>1.4999999999999999E-2</v>
      </c>
      <c r="E10" s="2">
        <f>Data!D37</f>
        <v>1.4999999999999999E-2</v>
      </c>
      <c r="H10" t="s">
        <v>42</v>
      </c>
      <c r="I10" s="2">
        <f>Data!D37</f>
        <v>1.4999999999999999E-2</v>
      </c>
      <c r="K10" s="2">
        <f>Data!D37</f>
        <v>1.4999999999999999E-2</v>
      </c>
    </row>
    <row r="11" spans="2:12" x14ac:dyDescent="0.2">
      <c r="B11" t="s">
        <v>2</v>
      </c>
      <c r="C11" s="8">
        <f>'Revenue Cost'!$H$10</f>
        <v>15</v>
      </c>
      <c r="E11" s="8">
        <v>30</v>
      </c>
      <c r="H11" t="s">
        <v>2</v>
      </c>
      <c r="I11" s="8">
        <f>Data!I12</f>
        <v>30</v>
      </c>
      <c r="K11" s="8">
        <v>30</v>
      </c>
    </row>
    <row r="12" spans="2:12" x14ac:dyDescent="0.2">
      <c r="B12" t="s">
        <v>49</v>
      </c>
      <c r="C12" s="8">
        <f>Data!H21</f>
        <v>2</v>
      </c>
      <c r="E12" s="8">
        <v>1</v>
      </c>
      <c r="H12" t="s">
        <v>49</v>
      </c>
      <c r="I12" s="8">
        <f>Data!I21</f>
        <v>1</v>
      </c>
      <c r="K12" s="8">
        <v>1</v>
      </c>
    </row>
    <row r="13" spans="2:12" x14ac:dyDescent="0.2">
      <c r="C13" s="8"/>
      <c r="E13" s="8"/>
      <c r="I13" s="8"/>
      <c r="K13" s="8"/>
    </row>
    <row r="14" spans="2:12" x14ac:dyDescent="0.2">
      <c r="C14" s="176" t="s">
        <v>46</v>
      </c>
      <c r="D14" s="176"/>
      <c r="E14" s="176" t="s">
        <v>47</v>
      </c>
      <c r="F14" s="176"/>
      <c r="I14" s="176" t="s">
        <v>46</v>
      </c>
      <c r="J14" s="176"/>
      <c r="K14" s="176" t="s">
        <v>47</v>
      </c>
      <c r="L14" s="176"/>
    </row>
    <row r="15" spans="2:12" x14ac:dyDescent="0.2">
      <c r="B15" t="s">
        <v>34</v>
      </c>
      <c r="C15" t="s">
        <v>39</v>
      </c>
      <c r="D15" t="s">
        <v>40</v>
      </c>
      <c r="E15" t="s">
        <v>39</v>
      </c>
      <c r="F15" t="s">
        <v>40</v>
      </c>
      <c r="H15" t="s">
        <v>34</v>
      </c>
      <c r="I15" t="s">
        <v>39</v>
      </c>
      <c r="J15" t="s">
        <v>40</v>
      </c>
      <c r="K15" t="s">
        <v>39</v>
      </c>
      <c r="L15" t="s">
        <v>40</v>
      </c>
    </row>
    <row r="16" spans="2:12" x14ac:dyDescent="0.2">
      <c r="B16">
        <v>1</v>
      </c>
      <c r="C16" s="6">
        <f>IF(B16&gt;$C$11+$C$8,0,($C$12-1)*IF(B16&lt;=$C$11,0,(-IPMT($C$7,B16-$C$11,$C$8,$C$6*(1+$C$10)^($C$11-1))))+IF(B16&gt;$C$8,0,-IPMT($C$7,B16,$C$8,$C$6)))</f>
        <v>24300</v>
      </c>
      <c r="D16" s="6">
        <f t="shared" ref="D16:D25" si="0">IF(B16&gt;$C$11+$C$8,0,($C$12-1)*IF(B16&lt;=$C$11,0,-PMT($C$7,$C$8,$C$6*(1+$C$10)^($C$11-1))+IPMT($C$7,B16-$C$11,$C$8,$C$6*(1+$C$10)^($C$11-1)))+IF(B16&gt;$C$8,0,$C$9+IPMT($C$7,B16,$C$8,$C$6)))</f>
        <v>38639.223433211941</v>
      </c>
      <c r="E16" s="6">
        <f t="shared" ref="E16:E39" si="1">IF(B16&gt;$E$8,0,-IPMT($E$7,B16,$E$8,$E$6))</f>
        <v>56700</v>
      </c>
      <c r="F16" s="6">
        <f t="shared" ref="F16:F44" si="2">IF(B16&gt;$E$8,0,$E$9-E16)</f>
        <v>34295.093874243961</v>
      </c>
      <c r="H16">
        <v>1</v>
      </c>
      <c r="I16" s="6">
        <f>IF(H16&gt;$I$11+$I$8,0,($I$12-1)*IF(H16&lt;=$I$11,0,-IPMT($I$7,H16-$I$11,$I$8,$I$6*(1+$I$10)^($I$11-1)))+IF(H16&gt;$I$8,0,-IPMT($I$7,H16,$I$8,$I$6)))</f>
        <v>24300</v>
      </c>
      <c r="J16" s="6">
        <f>IF(H16&gt;$I$11+$I$8,0,($I$12-1)*IF(H16&lt;=$I$11,0,-PMT($I$7,$I$8,$I$6*(1+$I$10)^($I$11-1))+IPMT($I$7,H16-$I$11,$I$8,$I$6*(1+$I$10)^($I$11-1)))+IF(H16&gt;$I$8,0,$I$9+IPMT($I$7,H16,$I$8,$I$6)))</f>
        <v>38639.223433211941</v>
      </c>
      <c r="K16" s="6">
        <f>IF(H16&gt;$K$8,0,-IPMT($K$7,H16,$K$8,$K$6))</f>
        <v>24300</v>
      </c>
      <c r="L16" s="6">
        <f>IF(H16&gt;$K$8,0,$K$9-K16)</f>
        <v>14697.89737467598</v>
      </c>
    </row>
    <row r="17" spans="1:17" x14ac:dyDescent="0.2">
      <c r="B17">
        <v>2</v>
      </c>
      <c r="C17" s="6">
        <f t="shared" ref="C17:C45" si="3">IF(B17&gt;$C$11+$C$8,0,($C$12-1)*IF(B17&lt;=$C$11,0,(-IPMT($C$7,B17-$C$11,$C$8,$C$6*(1+$C$10)^($C$11-1))))+IF(B17&gt;$C$8,0,-IPMT($C$7,B17,$C$8,$C$6)))</f>
        <v>22368.038828339399</v>
      </c>
      <c r="D17" s="6">
        <f t="shared" si="0"/>
        <v>40571.184604872542</v>
      </c>
      <c r="E17" s="6">
        <f t="shared" si="1"/>
        <v>54985.245306287805</v>
      </c>
      <c r="F17" s="6">
        <f t="shared" si="2"/>
        <v>36009.848567956156</v>
      </c>
      <c r="H17">
        <v>2</v>
      </c>
      <c r="I17" s="6">
        <f t="shared" ref="I17:I45" si="4">IF(H17&gt;$I$11+$I$8,0,($I$12-1)*IF(H17&lt;=$I$11,0,-IPMT($I$7,H17-$I$11,$I$8,$I$6*(1+$I$10)^($I$11-1)))+IF(H17&gt;$I$8,0,-IPMT($I$7,H17,$I$8,$I$6)))</f>
        <v>22368.038828339399</v>
      </c>
      <c r="J17" s="6">
        <f t="shared" ref="J17:J45" si="5">IF(H17&gt;$I$11+$I$8,0,($I$12-1)*IF(H17&lt;=$I$11,0,-PMT($I$7,$I$8,$I$6*(1+$I$10)^($I$11-1))+IPMT($I$7,H17-$I$11,$I$8,$I$6*(1+$I$10)^($I$11-1)))+IF(H17&gt;$I$8,0,$I$9+IPMT($I$7,H17,$I$8,$I$6)))</f>
        <v>40571.184604872542</v>
      </c>
      <c r="K17" s="6">
        <f t="shared" ref="K17:K45" si="6">IF(H17&gt;$K$8,0,-IPMT($K$7,H17,$K$8,$K$6))</f>
        <v>23565.105131266202</v>
      </c>
      <c r="L17" s="6">
        <f t="shared" ref="L17:L45" si="7">IF(H17&gt;$K$8,0,$K$9-K17)</f>
        <v>15432.792243409778</v>
      </c>
      <c r="N17" s="7"/>
    </row>
    <row r="18" spans="1:17" x14ac:dyDescent="0.2">
      <c r="B18">
        <v>3</v>
      </c>
      <c r="C18" s="6">
        <f t="shared" si="3"/>
        <v>20339.479598095772</v>
      </c>
      <c r="D18" s="6">
        <f t="shared" si="0"/>
        <v>42599.743835116169</v>
      </c>
      <c r="E18" s="6">
        <f t="shared" si="1"/>
        <v>53184.752877889994</v>
      </c>
      <c r="F18" s="6">
        <f t="shared" si="2"/>
        <v>37810.340996353967</v>
      </c>
      <c r="H18">
        <v>3</v>
      </c>
      <c r="I18" s="6">
        <f t="shared" si="4"/>
        <v>20339.479598095772</v>
      </c>
      <c r="J18" s="6">
        <f t="shared" si="5"/>
        <v>42599.743835116169</v>
      </c>
      <c r="K18" s="6">
        <f t="shared" si="6"/>
        <v>22793.465519095713</v>
      </c>
      <c r="L18" s="6">
        <f t="shared" si="7"/>
        <v>16204.431855580267</v>
      </c>
    </row>
    <row r="19" spans="1:17" x14ac:dyDescent="0.2">
      <c r="B19">
        <v>4</v>
      </c>
      <c r="C19" s="6">
        <f t="shared" si="3"/>
        <v>18209.492406339963</v>
      </c>
      <c r="D19" s="6">
        <f t="shared" si="0"/>
        <v>44729.731026871974</v>
      </c>
      <c r="E19" s="6">
        <f t="shared" si="1"/>
        <v>51294.235828072298</v>
      </c>
      <c r="F19" s="6">
        <f t="shared" si="2"/>
        <v>39700.858046171663</v>
      </c>
      <c r="H19">
        <v>4</v>
      </c>
      <c r="I19" s="6">
        <f t="shared" si="4"/>
        <v>18209.492406339963</v>
      </c>
      <c r="J19" s="6">
        <f t="shared" si="5"/>
        <v>44729.731026871974</v>
      </c>
      <c r="K19" s="6">
        <f t="shared" si="6"/>
        <v>21983.2439263167</v>
      </c>
      <c r="L19" s="6">
        <f t="shared" si="7"/>
        <v>17014.65344835928</v>
      </c>
    </row>
    <row r="20" spans="1:17" x14ac:dyDescent="0.2">
      <c r="B20">
        <v>5</v>
      </c>
      <c r="C20" s="6">
        <f t="shared" si="3"/>
        <v>15973.005854996365</v>
      </c>
      <c r="D20" s="6">
        <f t="shared" si="0"/>
        <v>46966.217578215575</v>
      </c>
      <c r="E20" s="6">
        <f t="shared" si="1"/>
        <v>49309.192925763717</v>
      </c>
      <c r="F20" s="6">
        <f t="shared" si="2"/>
        <v>41685.900948480245</v>
      </c>
      <c r="H20">
        <v>5</v>
      </c>
      <c r="I20" s="6">
        <f t="shared" si="4"/>
        <v>15973.005854996365</v>
      </c>
      <c r="J20" s="6">
        <f t="shared" si="5"/>
        <v>46966.217578215575</v>
      </c>
      <c r="K20" s="6">
        <f t="shared" si="6"/>
        <v>21132.511253898734</v>
      </c>
      <c r="L20" s="6">
        <f t="shared" si="7"/>
        <v>17865.386120777246</v>
      </c>
    </row>
    <row r="21" spans="1:17" x14ac:dyDescent="0.2">
      <c r="B21">
        <v>6</v>
      </c>
      <c r="C21" s="6">
        <f t="shared" si="3"/>
        <v>13624.694976085586</v>
      </c>
      <c r="D21" s="6">
        <f t="shared" si="0"/>
        <v>49314.528457126355</v>
      </c>
      <c r="E21" s="6">
        <f t="shared" si="1"/>
        <v>47224.897878339703</v>
      </c>
      <c r="F21" s="6">
        <f t="shared" si="2"/>
        <v>43770.195995904258</v>
      </c>
      <c r="H21">
        <v>6</v>
      </c>
      <c r="I21" s="6">
        <f t="shared" si="4"/>
        <v>13624.694976085586</v>
      </c>
      <c r="J21" s="6">
        <f t="shared" si="5"/>
        <v>49314.528457126355</v>
      </c>
      <c r="K21" s="6">
        <f t="shared" si="6"/>
        <v>20239.241947859871</v>
      </c>
      <c r="L21" s="6">
        <f t="shared" si="7"/>
        <v>18758.655426816109</v>
      </c>
    </row>
    <row r="22" spans="1:17" x14ac:dyDescent="0.2">
      <c r="B22">
        <v>7</v>
      </c>
      <c r="C22" s="6">
        <f t="shared" si="3"/>
        <v>11158.968553229266</v>
      </c>
      <c r="D22" s="6">
        <f t="shared" si="0"/>
        <v>51780.254879982676</v>
      </c>
      <c r="E22" s="6">
        <f t="shared" si="1"/>
        <v>45036.388078544493</v>
      </c>
      <c r="F22" s="6">
        <f t="shared" si="2"/>
        <v>45958.705795699469</v>
      </c>
      <c r="H22">
        <v>7</v>
      </c>
      <c r="I22" s="6">
        <f t="shared" si="4"/>
        <v>11158.968553229266</v>
      </c>
      <c r="J22" s="6">
        <f t="shared" si="5"/>
        <v>51780.254879982676</v>
      </c>
      <c r="K22" s="6">
        <f t="shared" si="6"/>
        <v>19301.309176519066</v>
      </c>
      <c r="L22" s="6">
        <f t="shared" si="7"/>
        <v>19696.588198156915</v>
      </c>
    </row>
    <row r="23" spans="1:17" x14ac:dyDescent="0.2">
      <c r="B23">
        <v>8</v>
      </c>
      <c r="C23" s="6">
        <f t="shared" si="3"/>
        <v>8569.9558092301322</v>
      </c>
      <c r="D23" s="6">
        <f t="shared" si="0"/>
        <v>54369.26762398181</v>
      </c>
      <c r="E23" s="6">
        <f t="shared" si="1"/>
        <v>42738.452788759518</v>
      </c>
      <c r="F23" s="6">
        <f t="shared" si="2"/>
        <v>48256.641085484443</v>
      </c>
      <c r="H23">
        <v>8</v>
      </c>
      <c r="I23" s="6">
        <f t="shared" si="4"/>
        <v>8569.9558092301322</v>
      </c>
      <c r="J23" s="6">
        <f t="shared" si="5"/>
        <v>54369.26762398181</v>
      </c>
      <c r="K23" s="6">
        <f t="shared" si="6"/>
        <v>18316.479766611221</v>
      </c>
      <c r="L23" s="6">
        <f t="shared" si="7"/>
        <v>20681.417608064759</v>
      </c>
    </row>
    <row r="24" spans="1:17" x14ac:dyDescent="0.2">
      <c r="B24">
        <v>9</v>
      </c>
      <c r="C24" s="6">
        <f t="shared" si="3"/>
        <v>5851.4924280310424</v>
      </c>
      <c r="D24" s="6">
        <f t="shared" si="0"/>
        <v>57087.731005180896</v>
      </c>
      <c r="E24" s="6">
        <f t="shared" si="1"/>
        <v>40325.620734485288</v>
      </c>
      <c r="F24" s="6">
        <f t="shared" si="2"/>
        <v>50669.473139758673</v>
      </c>
      <c r="H24">
        <v>9</v>
      </c>
      <c r="I24" s="6">
        <f t="shared" si="4"/>
        <v>5851.4924280310424</v>
      </c>
      <c r="J24" s="6">
        <f t="shared" si="5"/>
        <v>57087.731005180896</v>
      </c>
      <c r="K24" s="6">
        <f t="shared" si="6"/>
        <v>17282.408886207977</v>
      </c>
      <c r="L24" s="6">
        <f t="shared" si="7"/>
        <v>21715.488488468003</v>
      </c>
      <c r="N24" s="7"/>
    </row>
    <row r="25" spans="1:17" x14ac:dyDescent="0.2">
      <c r="B25">
        <v>10</v>
      </c>
      <c r="C25" s="6">
        <f t="shared" si="3"/>
        <v>2997.1058777719977</v>
      </c>
      <c r="D25" s="6">
        <f t="shared" si="0"/>
        <v>59942.117555439945</v>
      </c>
      <c r="E25" s="6">
        <f t="shared" si="1"/>
        <v>37792.147077497364</v>
      </c>
      <c r="F25" s="6">
        <f t="shared" si="2"/>
        <v>53202.946796746597</v>
      </c>
      <c r="H25">
        <v>10</v>
      </c>
      <c r="I25" s="6">
        <f t="shared" si="4"/>
        <v>2997.1058777719977</v>
      </c>
      <c r="J25" s="6">
        <f t="shared" si="5"/>
        <v>59942.117555439945</v>
      </c>
      <c r="K25" s="6">
        <f t="shared" si="6"/>
        <v>16196.634461784584</v>
      </c>
      <c r="L25" s="6">
        <f t="shared" si="7"/>
        <v>22801.262912891398</v>
      </c>
    </row>
    <row r="26" spans="1:17" x14ac:dyDescent="0.2">
      <c r="B26">
        <v>11</v>
      </c>
      <c r="C26" s="6">
        <f>IF(B26&gt;$C$11+$C$8,0,($C$12-1)*IF(B26&lt;=$C$11,0,(-IPMT($C$7,B26-$C$11,$C$8,$C$6*(1+$C$10)^($C$11-1))))+IF(B26&gt;$C$8,0,-IPMT($C$7,B26,$C$8,$C$6)))</f>
        <v>0</v>
      </c>
      <c r="D26" s="6">
        <f>IF(B26&gt;$C$11+$C$8,0,($C$12-1)*IF(B26&lt;=$C$11,0,-PMT($C$7,$C$8,$C$6*(1+$C$10)^($C$11-1))+IPMT($C$7,B26-$C$11,$C$8,$C$6*(1+$C$10)^($C$11-1)))+IF(B26&gt;$C$8,0,$C$9+IPMT($C$7,B26,$C$8,$C$6)))</f>
        <v>0</v>
      </c>
      <c r="E26" s="6">
        <f t="shared" si="1"/>
        <v>35131.999737660037</v>
      </c>
      <c r="F26" s="6">
        <f t="shared" si="2"/>
        <v>55863.094136583924</v>
      </c>
      <c r="H26">
        <v>11</v>
      </c>
      <c r="I26" s="6">
        <f t="shared" si="4"/>
        <v>0</v>
      </c>
      <c r="J26" s="6">
        <f t="shared" si="5"/>
        <v>0</v>
      </c>
      <c r="K26" s="6">
        <f t="shared" si="6"/>
        <v>15056.571316140014</v>
      </c>
      <c r="L26" s="6">
        <f t="shared" si="7"/>
        <v>23941.326058535968</v>
      </c>
      <c r="N26" s="7"/>
      <c r="O26" s="7"/>
      <c r="P26" s="7"/>
      <c r="Q26" s="7"/>
    </row>
    <row r="27" spans="1:17" x14ac:dyDescent="0.2">
      <c r="B27">
        <v>12</v>
      </c>
      <c r="C27" s="6">
        <f t="shared" si="3"/>
        <v>0</v>
      </c>
      <c r="D27" s="6">
        <f t="shared" ref="D27:D45" si="8">IF(B27&gt;$C$11+$C$8,0,($C$12-1)*IF(B27&lt;=$C$11,0,-PMT($C$7,$C$8,$C$6*(1+$C$10)^($C$11-1))+IPMT($C$7,B27-$C$11,$C$8,$C$6*(1+$C$10)^($C$11-1)))+IF(B27&gt;$C$8,0,$C$9+IPMT($C$7,B27,$C$8,$C$6)))</f>
        <v>0</v>
      </c>
      <c r="E27" s="6">
        <f t="shared" si="1"/>
        <v>32338.845030830831</v>
      </c>
      <c r="F27" s="6">
        <f t="shared" si="2"/>
        <v>58656.24884341313</v>
      </c>
      <c r="H27">
        <v>12</v>
      </c>
      <c r="I27" s="6">
        <f t="shared" si="4"/>
        <v>0</v>
      </c>
      <c r="J27" s="6">
        <f t="shared" si="5"/>
        <v>0</v>
      </c>
      <c r="K27" s="6">
        <f t="shared" si="6"/>
        <v>13859.505013213211</v>
      </c>
      <c r="L27" s="6">
        <f t="shared" si="7"/>
        <v>25138.392361462771</v>
      </c>
      <c r="N27" s="7"/>
      <c r="O27" s="7"/>
      <c r="P27" s="7"/>
      <c r="Q27" s="7"/>
    </row>
    <row r="28" spans="1:17" x14ac:dyDescent="0.2">
      <c r="B28">
        <v>13</v>
      </c>
      <c r="C28" s="6">
        <f t="shared" si="3"/>
        <v>0</v>
      </c>
      <c r="D28" s="6">
        <f t="shared" si="8"/>
        <v>0</v>
      </c>
      <c r="E28" s="6">
        <f t="shared" si="1"/>
        <v>29406.032588660179</v>
      </c>
      <c r="F28" s="6">
        <f t="shared" si="2"/>
        <v>61589.061285583783</v>
      </c>
      <c r="H28">
        <v>13</v>
      </c>
      <c r="I28" s="6">
        <f t="shared" si="4"/>
        <v>0</v>
      </c>
      <c r="J28" s="6">
        <f t="shared" si="5"/>
        <v>0</v>
      </c>
      <c r="K28" s="6">
        <f t="shared" si="6"/>
        <v>12602.585395140075</v>
      </c>
      <c r="L28" s="6">
        <f t="shared" si="7"/>
        <v>26395.311979535905</v>
      </c>
      <c r="N28" s="7"/>
      <c r="O28" s="7"/>
      <c r="P28" s="7"/>
      <c r="Q28" s="7"/>
    </row>
    <row r="29" spans="1:17" x14ac:dyDescent="0.2">
      <c r="B29">
        <v>14</v>
      </c>
      <c r="C29" s="6">
        <f t="shared" si="3"/>
        <v>0</v>
      </c>
      <c r="D29" s="6">
        <f t="shared" si="8"/>
        <v>0</v>
      </c>
      <c r="E29" s="6">
        <f t="shared" si="1"/>
        <v>26326.579524380988</v>
      </c>
      <c r="F29" s="6">
        <f t="shared" si="2"/>
        <v>64668.514349862977</v>
      </c>
      <c r="H29">
        <v>14</v>
      </c>
      <c r="I29" s="6">
        <f t="shared" si="4"/>
        <v>0</v>
      </c>
      <c r="J29" s="6">
        <f t="shared" si="5"/>
        <v>0</v>
      </c>
      <c r="K29" s="6">
        <f t="shared" si="6"/>
        <v>11282.81979616328</v>
      </c>
      <c r="L29" s="6">
        <f t="shared" si="7"/>
        <v>27715.077578512701</v>
      </c>
      <c r="N29" s="7"/>
      <c r="O29" s="7"/>
      <c r="P29" s="7"/>
      <c r="Q29" s="7"/>
    </row>
    <row r="30" spans="1:17" x14ac:dyDescent="0.2">
      <c r="B30">
        <v>15</v>
      </c>
      <c r="C30" s="6">
        <f t="shared" si="3"/>
        <v>0</v>
      </c>
      <c r="D30" s="6">
        <f t="shared" si="8"/>
        <v>0</v>
      </c>
      <c r="E30" s="6">
        <f t="shared" si="1"/>
        <v>23093.15380688784</v>
      </c>
      <c r="F30" s="6">
        <f t="shared" si="2"/>
        <v>67901.940067356118</v>
      </c>
      <c r="H30">
        <v>15</v>
      </c>
      <c r="I30" s="6">
        <f t="shared" si="4"/>
        <v>0</v>
      </c>
      <c r="J30" s="6">
        <f t="shared" si="5"/>
        <v>0</v>
      </c>
      <c r="K30" s="6">
        <f t="shared" si="6"/>
        <v>9897.0659172376454</v>
      </c>
      <c r="L30" s="6">
        <f t="shared" si="7"/>
        <v>29100.831457438333</v>
      </c>
      <c r="N30" s="7"/>
      <c r="O30" s="7"/>
      <c r="P30" s="7"/>
      <c r="Q30" s="7"/>
    </row>
    <row r="31" spans="1:17" x14ac:dyDescent="0.2">
      <c r="A31" s="7"/>
      <c r="B31">
        <v>16</v>
      </c>
      <c r="C31" s="6">
        <f>IF(B31&gt;$C$11+$C$8,0,($C$12-1)*IF(B31&lt;=$C$11,0,(-IPMT($C$7,B31-$C$11,$C$8,$C$6*(1+$C$10)^($C$11-1))))+IF(B31&gt;$C$8,0,-IPMT($C$7,B31,$C$8,$C$6)))</f>
        <v>29931.664255863172</v>
      </c>
      <c r="D31" s="6">
        <f t="shared" si="8"/>
        <v>47594.08489342306</v>
      </c>
      <c r="E31" s="6">
        <f t="shared" si="1"/>
        <v>19698.056803520034</v>
      </c>
      <c r="F31" s="6">
        <f t="shared" si="2"/>
        <v>71297.03707072392</v>
      </c>
      <c r="H31">
        <v>16</v>
      </c>
      <c r="I31" s="6">
        <f t="shared" si="4"/>
        <v>0</v>
      </c>
      <c r="J31" s="6">
        <f t="shared" si="5"/>
        <v>0</v>
      </c>
      <c r="K31" s="6">
        <f t="shared" si="6"/>
        <v>8442.0243443657291</v>
      </c>
      <c r="L31" s="6">
        <f t="shared" si="7"/>
        <v>30555.873030310249</v>
      </c>
      <c r="N31" s="7"/>
      <c r="O31" s="7"/>
      <c r="P31" s="7"/>
      <c r="Q31" s="7"/>
    </row>
    <row r="32" spans="1:17" x14ac:dyDescent="0.2">
      <c r="B32">
        <v>17</v>
      </c>
      <c r="C32" s="6">
        <f t="shared" si="3"/>
        <v>27551.960011192015</v>
      </c>
      <c r="D32" s="6">
        <f t="shared" si="8"/>
        <v>49973.789138094216</v>
      </c>
      <c r="E32" s="6">
        <f t="shared" si="1"/>
        <v>16133.204949983832</v>
      </c>
      <c r="F32" s="6">
        <f t="shared" si="2"/>
        <v>74861.888924260129</v>
      </c>
      <c r="H32">
        <v>17</v>
      </c>
      <c r="I32" s="6">
        <f t="shared" si="4"/>
        <v>0</v>
      </c>
      <c r="J32" s="6">
        <f t="shared" si="5"/>
        <v>0</v>
      </c>
      <c r="K32" s="6">
        <f t="shared" si="6"/>
        <v>6914.2306928502139</v>
      </c>
      <c r="L32" s="6">
        <f t="shared" si="7"/>
        <v>32083.666681825765</v>
      </c>
      <c r="N32" s="7"/>
      <c r="O32" s="7"/>
      <c r="P32" s="7"/>
      <c r="Q32" s="7"/>
    </row>
    <row r="33" spans="2:17" x14ac:dyDescent="0.2">
      <c r="B33">
        <v>18</v>
      </c>
      <c r="C33" s="6">
        <f t="shared" si="3"/>
        <v>25053.270554287305</v>
      </c>
      <c r="D33" s="6">
        <f t="shared" si="8"/>
        <v>52472.478594998931</v>
      </c>
      <c r="E33" s="6">
        <f t="shared" si="1"/>
        <v>12390.110503770828</v>
      </c>
      <c r="F33" s="6">
        <f t="shared" si="2"/>
        <v>78604.983370473128</v>
      </c>
      <c r="H33">
        <v>18</v>
      </c>
      <c r="I33" s="6">
        <f t="shared" si="4"/>
        <v>0</v>
      </c>
      <c r="J33" s="6">
        <f t="shared" si="5"/>
        <v>0</v>
      </c>
      <c r="K33" s="6">
        <f t="shared" si="6"/>
        <v>5310.0473587589258</v>
      </c>
      <c r="L33" s="6">
        <f t="shared" si="7"/>
        <v>33687.850015917051</v>
      </c>
      <c r="N33" s="7"/>
      <c r="O33" s="7"/>
      <c r="P33" s="7"/>
      <c r="Q33" s="7"/>
    </row>
    <row r="34" spans="2:17" x14ac:dyDescent="0.2">
      <c r="B34">
        <v>19</v>
      </c>
      <c r="C34" s="6">
        <f t="shared" si="3"/>
        <v>22429.646624537359</v>
      </c>
      <c r="D34" s="6">
        <f t="shared" si="8"/>
        <v>55096.102524748872</v>
      </c>
      <c r="E34" s="6">
        <f t="shared" si="1"/>
        <v>8459.8613352471712</v>
      </c>
      <c r="F34" s="6">
        <f t="shared" si="2"/>
        <v>82535.232538996788</v>
      </c>
      <c r="H34">
        <v>19</v>
      </c>
      <c r="I34" s="6">
        <f t="shared" si="4"/>
        <v>0</v>
      </c>
      <c r="J34" s="6">
        <f t="shared" si="5"/>
        <v>0</v>
      </c>
      <c r="K34" s="6">
        <f t="shared" si="6"/>
        <v>3625.6548579630735</v>
      </c>
      <c r="L34" s="6">
        <f t="shared" si="7"/>
        <v>35372.242516712904</v>
      </c>
      <c r="N34" s="7"/>
      <c r="O34" s="7"/>
      <c r="P34" s="7"/>
      <c r="Q34" s="7"/>
    </row>
    <row r="35" spans="2:17" x14ac:dyDescent="0.2">
      <c r="B35">
        <v>20</v>
      </c>
      <c r="C35" s="6">
        <f t="shared" si="3"/>
        <v>19674.841498299913</v>
      </c>
      <c r="D35" s="6">
        <f t="shared" si="8"/>
        <v>57850.907650986323</v>
      </c>
      <c r="E35" s="6">
        <f t="shared" si="1"/>
        <v>4333.0997082973327</v>
      </c>
      <c r="F35" s="6">
        <f t="shared" si="2"/>
        <v>86661.994165946628</v>
      </c>
      <c r="H35">
        <v>20</v>
      </c>
      <c r="I35" s="6">
        <f t="shared" si="4"/>
        <v>0</v>
      </c>
      <c r="J35" s="6">
        <f t="shared" si="5"/>
        <v>0</v>
      </c>
      <c r="K35" s="6">
        <f t="shared" si="6"/>
        <v>1857.0427321274278</v>
      </c>
      <c r="L35" s="6">
        <f t="shared" si="7"/>
        <v>37140.854642548555</v>
      </c>
      <c r="N35" s="7"/>
      <c r="O35" s="7"/>
      <c r="P35" s="7"/>
      <c r="Q35" s="7"/>
    </row>
    <row r="36" spans="2:17" x14ac:dyDescent="0.2">
      <c r="B36">
        <v>21</v>
      </c>
      <c r="C36" s="6">
        <f t="shared" si="3"/>
        <v>16782.296115750596</v>
      </c>
      <c r="D36" s="6">
        <f t="shared" si="8"/>
        <v>60743.453033535639</v>
      </c>
      <c r="E36" s="6">
        <f t="shared" si="1"/>
        <v>0</v>
      </c>
      <c r="F36" s="6">
        <f t="shared" si="2"/>
        <v>0</v>
      </c>
      <c r="H36">
        <v>21</v>
      </c>
      <c r="I36" s="6">
        <f t="shared" si="4"/>
        <v>0</v>
      </c>
      <c r="J36" s="6">
        <f t="shared" si="5"/>
        <v>0</v>
      </c>
      <c r="K36" s="6">
        <f t="shared" si="6"/>
        <v>0</v>
      </c>
      <c r="L36" s="6">
        <f t="shared" si="7"/>
        <v>0</v>
      </c>
      <c r="N36" s="7"/>
      <c r="O36" s="7"/>
      <c r="P36" s="7"/>
      <c r="Q36" s="7"/>
    </row>
    <row r="37" spans="2:17" x14ac:dyDescent="0.2">
      <c r="B37">
        <v>22</v>
      </c>
      <c r="C37" s="6">
        <f t="shared" si="3"/>
        <v>13745.123464073811</v>
      </c>
      <c r="D37" s="6">
        <f t="shared" si="8"/>
        <v>63780.625685212421</v>
      </c>
      <c r="E37" s="6">
        <f t="shared" si="1"/>
        <v>0</v>
      </c>
      <c r="F37" s="6">
        <f t="shared" si="2"/>
        <v>0</v>
      </c>
      <c r="H37">
        <v>22</v>
      </c>
      <c r="I37" s="6">
        <f t="shared" si="4"/>
        <v>0</v>
      </c>
      <c r="J37" s="6">
        <f t="shared" si="5"/>
        <v>0</v>
      </c>
      <c r="K37" s="6">
        <f t="shared" si="6"/>
        <v>0</v>
      </c>
      <c r="L37" s="6">
        <f t="shared" si="7"/>
        <v>0</v>
      </c>
      <c r="N37" s="7"/>
      <c r="O37" s="7"/>
      <c r="P37" s="7"/>
      <c r="Q37" s="7"/>
    </row>
    <row r="38" spans="2:17" x14ac:dyDescent="0.2">
      <c r="B38">
        <v>23</v>
      </c>
      <c r="C38" s="6">
        <f t="shared" si="3"/>
        <v>10556.092179813189</v>
      </c>
      <c r="D38" s="6">
        <f t="shared" si="8"/>
        <v>66969.656969473042</v>
      </c>
      <c r="E38" s="6">
        <f t="shared" si="1"/>
        <v>0</v>
      </c>
      <c r="F38" s="6">
        <f t="shared" si="2"/>
        <v>0</v>
      </c>
      <c r="H38">
        <v>23</v>
      </c>
      <c r="I38" s="6">
        <f t="shared" si="4"/>
        <v>0</v>
      </c>
      <c r="J38" s="6">
        <f t="shared" si="5"/>
        <v>0</v>
      </c>
      <c r="K38" s="6">
        <f t="shared" si="6"/>
        <v>0</v>
      </c>
      <c r="L38" s="6">
        <f t="shared" si="7"/>
        <v>0</v>
      </c>
      <c r="N38" s="7"/>
      <c r="O38" s="7"/>
    </row>
    <row r="39" spans="2:17" x14ac:dyDescent="0.2">
      <c r="B39">
        <v>24</v>
      </c>
      <c r="C39" s="6">
        <f t="shared" si="3"/>
        <v>7207.6093313395386</v>
      </c>
      <c r="D39" s="6">
        <f t="shared" si="8"/>
        <v>70318.139817946692</v>
      </c>
      <c r="E39" s="6">
        <f t="shared" si="1"/>
        <v>0</v>
      </c>
      <c r="F39" s="6">
        <f t="shared" si="2"/>
        <v>0</v>
      </c>
      <c r="H39">
        <v>24</v>
      </c>
      <c r="I39" s="6">
        <f t="shared" si="4"/>
        <v>0</v>
      </c>
      <c r="J39" s="6">
        <f t="shared" si="5"/>
        <v>0</v>
      </c>
      <c r="K39" s="6">
        <f t="shared" si="6"/>
        <v>0</v>
      </c>
      <c r="L39" s="6">
        <f t="shared" si="7"/>
        <v>0</v>
      </c>
      <c r="N39" s="7"/>
      <c r="O39" s="7"/>
    </row>
    <row r="40" spans="2:17" x14ac:dyDescent="0.2">
      <c r="B40">
        <v>25</v>
      </c>
      <c r="C40" s="6">
        <f t="shared" si="3"/>
        <v>3691.702340442203</v>
      </c>
      <c r="D40" s="6">
        <f t="shared" si="8"/>
        <v>73834.046808844025</v>
      </c>
      <c r="E40" s="6">
        <f t="shared" ref="E40:E45" si="9">IF(B40&gt;$E$8,0,-IPMT($E$7,B40,$E$8,$E$6))</f>
        <v>0</v>
      </c>
      <c r="F40" s="6">
        <f t="shared" si="2"/>
        <v>0</v>
      </c>
      <c r="H40">
        <v>25</v>
      </c>
      <c r="I40" s="6">
        <f t="shared" si="4"/>
        <v>0</v>
      </c>
      <c r="J40" s="6">
        <f t="shared" si="5"/>
        <v>0</v>
      </c>
      <c r="K40" s="6">
        <f t="shared" si="6"/>
        <v>0</v>
      </c>
      <c r="L40" s="6">
        <f t="shared" si="7"/>
        <v>0</v>
      </c>
      <c r="N40" s="7"/>
      <c r="O40" s="7"/>
    </row>
    <row r="41" spans="2:17" x14ac:dyDescent="0.2">
      <c r="B41">
        <v>26</v>
      </c>
      <c r="C41" s="6">
        <f t="shared" si="3"/>
        <v>0</v>
      </c>
      <c r="D41" s="6">
        <f t="shared" si="8"/>
        <v>0</v>
      </c>
      <c r="E41" s="6">
        <f t="shared" si="9"/>
        <v>0</v>
      </c>
      <c r="F41" s="6">
        <f t="shared" si="2"/>
        <v>0</v>
      </c>
      <c r="H41">
        <v>26</v>
      </c>
      <c r="I41" s="6">
        <f t="shared" si="4"/>
        <v>0</v>
      </c>
      <c r="J41" s="6">
        <f t="shared" si="5"/>
        <v>0</v>
      </c>
      <c r="K41" s="6">
        <f t="shared" si="6"/>
        <v>0</v>
      </c>
      <c r="L41" s="6">
        <f t="shared" si="7"/>
        <v>0</v>
      </c>
      <c r="N41" s="7"/>
      <c r="O41" s="7"/>
    </row>
    <row r="42" spans="2:17" x14ac:dyDescent="0.2">
      <c r="B42">
        <v>27</v>
      </c>
      <c r="C42" s="6">
        <f t="shared" si="3"/>
        <v>0</v>
      </c>
      <c r="D42" s="6">
        <f t="shared" si="8"/>
        <v>0</v>
      </c>
      <c r="E42" s="6">
        <f t="shared" si="9"/>
        <v>0</v>
      </c>
      <c r="F42" s="6">
        <f t="shared" si="2"/>
        <v>0</v>
      </c>
      <c r="H42">
        <v>27</v>
      </c>
      <c r="I42" s="6">
        <f t="shared" si="4"/>
        <v>0</v>
      </c>
      <c r="J42" s="6">
        <f t="shared" si="5"/>
        <v>0</v>
      </c>
      <c r="K42" s="6">
        <f t="shared" si="6"/>
        <v>0</v>
      </c>
      <c r="L42" s="6">
        <f t="shared" si="7"/>
        <v>0</v>
      </c>
      <c r="N42" s="7"/>
      <c r="O42" s="7"/>
    </row>
    <row r="43" spans="2:17" x14ac:dyDescent="0.2">
      <c r="B43">
        <v>28</v>
      </c>
      <c r="C43" s="6">
        <f t="shared" si="3"/>
        <v>0</v>
      </c>
      <c r="D43" s="6">
        <f t="shared" si="8"/>
        <v>0</v>
      </c>
      <c r="E43" s="6">
        <f t="shared" si="9"/>
        <v>0</v>
      </c>
      <c r="F43" s="6">
        <f t="shared" si="2"/>
        <v>0</v>
      </c>
      <c r="H43">
        <v>28</v>
      </c>
      <c r="I43" s="6">
        <f t="shared" si="4"/>
        <v>0</v>
      </c>
      <c r="J43" s="6">
        <f t="shared" si="5"/>
        <v>0</v>
      </c>
      <c r="K43" s="6">
        <f t="shared" si="6"/>
        <v>0</v>
      </c>
      <c r="L43" s="6">
        <f t="shared" si="7"/>
        <v>0</v>
      </c>
      <c r="N43" s="7"/>
      <c r="O43" s="7"/>
    </row>
    <row r="44" spans="2:17" x14ac:dyDescent="0.2">
      <c r="B44">
        <v>29</v>
      </c>
      <c r="C44" s="6">
        <f t="shared" si="3"/>
        <v>0</v>
      </c>
      <c r="D44" s="6">
        <f t="shared" si="8"/>
        <v>0</v>
      </c>
      <c r="E44" s="6">
        <f t="shared" si="9"/>
        <v>0</v>
      </c>
      <c r="F44" s="6">
        <f t="shared" si="2"/>
        <v>0</v>
      </c>
      <c r="H44">
        <v>29</v>
      </c>
      <c r="I44" s="6">
        <f t="shared" si="4"/>
        <v>0</v>
      </c>
      <c r="J44" s="6">
        <f t="shared" si="5"/>
        <v>0</v>
      </c>
      <c r="K44" s="6">
        <f t="shared" si="6"/>
        <v>0</v>
      </c>
      <c r="L44" s="6">
        <f t="shared" si="7"/>
        <v>0</v>
      </c>
      <c r="N44" s="7"/>
      <c r="O44" s="7"/>
    </row>
    <row r="45" spans="2:17" x14ac:dyDescent="0.2">
      <c r="B45">
        <v>30</v>
      </c>
      <c r="C45" s="6">
        <f t="shared" si="3"/>
        <v>0</v>
      </c>
      <c r="D45" s="6">
        <f t="shared" si="8"/>
        <v>0</v>
      </c>
      <c r="E45" s="6">
        <f t="shared" si="9"/>
        <v>0</v>
      </c>
      <c r="F45" s="6">
        <f>IF(B45&gt;$E$8,0,$E$9-E45)</f>
        <v>0</v>
      </c>
      <c r="H45">
        <v>30</v>
      </c>
      <c r="I45" s="6">
        <f t="shared" si="4"/>
        <v>0</v>
      </c>
      <c r="J45" s="6">
        <f t="shared" si="5"/>
        <v>0</v>
      </c>
      <c r="K45" s="6">
        <f t="shared" si="6"/>
        <v>0</v>
      </c>
      <c r="L45" s="6">
        <f t="shared" si="7"/>
        <v>0</v>
      </c>
      <c r="N45" s="7"/>
      <c r="O45" s="7"/>
    </row>
  </sheetData>
  <mergeCells count="5">
    <mergeCell ref="C14:D14"/>
    <mergeCell ref="E14:F14"/>
    <mergeCell ref="I14:J14"/>
    <mergeCell ref="K14:L14"/>
    <mergeCell ref="B2:E2"/>
  </mergeCells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S38"/>
  <sheetViews>
    <sheetView workbookViewId="0"/>
  </sheetViews>
  <sheetFormatPr baseColWidth="10" defaultColWidth="11" defaultRowHeight="16" x14ac:dyDescent="0.2"/>
  <cols>
    <col min="3" max="3" width="11" bestFit="1" customWidth="1"/>
    <col min="4" max="4" width="12" bestFit="1" customWidth="1"/>
    <col min="7" max="8" width="11" bestFit="1" customWidth="1"/>
    <col min="11" max="12" width="11" bestFit="1" customWidth="1"/>
    <col min="18" max="18" width="42.6640625" bestFit="1" customWidth="1"/>
  </cols>
  <sheetData>
    <row r="2" spans="2:19" ht="26" x14ac:dyDescent="0.3">
      <c r="B2" s="160" t="s">
        <v>156</v>
      </c>
      <c r="C2" s="160"/>
      <c r="D2" s="160"/>
      <c r="E2" s="160"/>
    </row>
    <row r="4" spans="2:19" s="43" customFormat="1" ht="21" x14ac:dyDescent="0.25">
      <c r="B4" s="48" t="s">
        <v>130</v>
      </c>
      <c r="C4" s="47"/>
      <c r="D4" s="47"/>
      <c r="E4" s="47"/>
      <c r="F4" s="47"/>
      <c r="G4" s="47"/>
      <c r="J4" s="49" t="s">
        <v>131</v>
      </c>
      <c r="R4" s="19" t="s">
        <v>134</v>
      </c>
      <c r="S4" s="19" t="s">
        <v>135</v>
      </c>
    </row>
    <row r="5" spans="2:19" x14ac:dyDescent="0.2">
      <c r="R5" t="s">
        <v>132</v>
      </c>
      <c r="S5">
        <v>1</v>
      </c>
    </row>
    <row r="6" spans="2:19" x14ac:dyDescent="0.2">
      <c r="B6" s="19" t="s">
        <v>30</v>
      </c>
      <c r="G6" s="19" t="s">
        <v>31</v>
      </c>
      <c r="J6" s="19" t="s">
        <v>30</v>
      </c>
      <c r="O6" s="19" t="s">
        <v>31</v>
      </c>
      <c r="R6" t="s">
        <v>133</v>
      </c>
      <c r="S6">
        <v>2</v>
      </c>
    </row>
    <row r="8" spans="2:19" x14ac:dyDescent="0.2">
      <c r="B8" t="s">
        <v>34</v>
      </c>
      <c r="C8" t="s">
        <v>37</v>
      </c>
      <c r="D8" t="s">
        <v>38</v>
      </c>
      <c r="F8" t="s">
        <v>34</v>
      </c>
      <c r="G8" t="s">
        <v>37</v>
      </c>
      <c r="H8" t="s">
        <v>38</v>
      </c>
      <c r="J8" t="s">
        <v>34</v>
      </c>
      <c r="K8" t="s">
        <v>37</v>
      </c>
      <c r="L8" t="s">
        <v>38</v>
      </c>
      <c r="N8" t="s">
        <v>34</v>
      </c>
      <c r="O8" t="s">
        <v>37</v>
      </c>
      <c r="P8" t="s">
        <v>38</v>
      </c>
      <c r="R8" s="19" t="s">
        <v>102</v>
      </c>
      <c r="S8" s="19" t="s">
        <v>135</v>
      </c>
    </row>
    <row r="9" spans="2:19" x14ac:dyDescent="0.2">
      <c r="B9">
        <v>1</v>
      </c>
      <c r="C9" s="6">
        <f>IF(B9&gt;Data!$H$21*'Revenue Cost'!$H$10,0,IF(B9&gt;'Revenue Cost'!$H$10+7,0,IF(B9&gt;'Revenue Cost'!$H$10,VDB('Revenue Cost'!$H$8*(1+Data!$D$37)^('Revenue Cost'!$H$10-1),0,7,B9-'Revenue Cost'!$H$10-1,B9-'Revenue Cost'!$H$10,1.5),IF(B9&gt;7,0,VDB('Revenue Cost'!$H$8,0,7,B9-1,B9,1.5)))))</f>
        <v>115714.28571428571</v>
      </c>
      <c r="D9" s="6">
        <f>IF(B9&gt;10,0,VDB('Revenue Cost'!$H$9,0,10,B9-1,B9,1.5))</f>
        <v>189000</v>
      </c>
      <c r="F9">
        <v>1</v>
      </c>
      <c r="G9" s="6">
        <f>IF(F9&gt;2*Data!$I$12,0,IF(F9&gt;Data!$I$12+7,0,IF(F9&gt;Data!$I$12,VDB(Data!$I$10*(1+Data!$D$37)^(Data!$I$12-1),0,7,F9-Data!$I$12-1,F9-Data!$I$12,1.5),IF(F9&gt;7,0,VDB(Data!$I$10,0,7,F9-1,F9,1.5)))))</f>
        <v>115714.28571428571</v>
      </c>
      <c r="H9" s="6">
        <f>IF(F9&gt;10,0,VDB(Data!$I$11,0,10,F9-1,F9,1.5))</f>
        <v>81000</v>
      </c>
      <c r="J9">
        <v>1</v>
      </c>
      <c r="K9" s="6">
        <f>IF(J9&gt;Data!$H$22,0,IF(J9&gt;'Revenue Cost'!$H$10+10,0,IF(J9&gt;'Revenue Cost'!$H$10,'Revenue Cost'!$H$8*(1+Data!$D$37)^('Revenue Cost'!$H$10-1)/10,IF(J9&gt;10,0,'Revenue Cost'!$H$8/10))))</f>
        <v>54000</v>
      </c>
      <c r="L9" s="6">
        <f>IF(J9&gt;15,0,'Revenue Cost'!$H$9/15)</f>
        <v>84000</v>
      </c>
      <c r="N9">
        <v>1</v>
      </c>
      <c r="O9" s="6">
        <f>IF(N9&gt;Data!$I$22,0, IF(N9&gt;Data!$I$12+10,0, IF(N9&gt;Data!$I$12,Data!$I$10*(1+Data!$D$37)^(Data!$I$12-1)/10,IF(N9&gt;10,0,Data!$I$10/10))))</f>
        <v>54000</v>
      </c>
      <c r="P9" s="6">
        <f>IF(N9&gt;15,0,Data!$I$11/15)</f>
        <v>36000</v>
      </c>
      <c r="R9" t="str">
        <f>INDEX(R5:R6,S9)</f>
        <v>Accelerated (7 yrs for milking sys, 10 yrs for barn)</v>
      </c>
      <c r="S9">
        <v>1</v>
      </c>
    </row>
    <row r="10" spans="2:19" x14ac:dyDescent="0.2">
      <c r="B10">
        <v>2</v>
      </c>
      <c r="C10" s="6">
        <f>IF(B10&gt;Data!$H$21*'Revenue Cost'!$H$10,0,IF(B10&gt;'Revenue Cost'!$H$10+7,0,IF(B10&gt;'Revenue Cost'!$H$10,VDB('Revenue Cost'!$H$8*(1+Data!$D$37)^('Revenue Cost'!$H$10-1),0,7,B10-'Revenue Cost'!$H$10-1,B10-'Revenue Cost'!$H$10,1.5),IF(B10&gt;7,0,VDB('Revenue Cost'!$H$8,0,7,B10-1,B10,1.5)))))</f>
        <v>90918.367346938772</v>
      </c>
      <c r="D10" s="6">
        <f>IF(B10&gt;10,0,VDB('Revenue Cost'!$H$9,0,10,B10-1,B10,1.5))</f>
        <v>160650</v>
      </c>
      <c r="F10">
        <v>2</v>
      </c>
      <c r="G10" s="6">
        <f>IF(F10&gt;2*Data!$I$12,0,IF(F10&gt;Data!$I$12+7,0,IF(F10&gt;Data!$I$12,VDB(Data!$I$10*(1+Data!$D$37)^(Data!$I$12-1),0,7,F10-Data!$I$12-1,F10-Data!$I$12,1.5),IF(F10&gt;7,0,VDB(Data!$I$10,0,7,F10-1,F10,1.5)))))</f>
        <v>90918.367346938772</v>
      </c>
      <c r="H10" s="6">
        <f>IF(F10&gt;10,0,VDB(Data!$I$11,0,10,F10-1,F10,1.5))</f>
        <v>68850</v>
      </c>
      <c r="J10">
        <v>2</v>
      </c>
      <c r="K10" s="6">
        <f>IF(J10&gt;Data!$H$22,0,IF(J10&gt;'Revenue Cost'!$H$10+10,0,IF(J10&gt;'Revenue Cost'!$H$10,'Revenue Cost'!$H$8*(1+Data!$D$37)^('Revenue Cost'!$H$10-1)/10,IF(J10&gt;10,0,'Revenue Cost'!$H$8/10))))</f>
        <v>54000</v>
      </c>
      <c r="L10" s="6">
        <f>IF(J10&gt;15,0,'Revenue Cost'!$H$9/15)</f>
        <v>84000</v>
      </c>
      <c r="N10">
        <v>2</v>
      </c>
      <c r="O10" s="6">
        <f>IF(N10&gt;Data!$I$22,0, IF(N10&gt;Data!$I$12+10,0, IF(N10&gt;Data!$I$12,Data!$I$10*(1+Data!$D$37)^(Data!$I$12-1)/10,IF(N10&gt;10,0,Data!$I$10/10))))</f>
        <v>54000</v>
      </c>
      <c r="P10" s="6">
        <f>IF(N10&gt;15,0,Data!$I$11/15)</f>
        <v>36000</v>
      </c>
      <c r="R10" t="s">
        <v>235</v>
      </c>
      <c r="S10">
        <f>IF(S9=1,7,10)</f>
        <v>7</v>
      </c>
    </row>
    <row r="11" spans="2:19" x14ac:dyDescent="0.2">
      <c r="B11">
        <v>3</v>
      </c>
      <c r="C11" s="6">
        <f>IF(B11&gt;Data!$H$21*'Revenue Cost'!$H$10,0,IF(B11&gt;'Revenue Cost'!$H$10+7,0,IF(B11&gt;'Revenue Cost'!$H$10,VDB('Revenue Cost'!$H$8*(1+Data!$D$37)^('Revenue Cost'!$H$10-1),0,7,B11-'Revenue Cost'!$H$10-1,B11-'Revenue Cost'!$H$10,1.5),IF(B11&gt;7,0,VDB('Revenue Cost'!$H$8,0,7,B11-1,B11,1.5)))))</f>
        <v>71435.860058309045</v>
      </c>
      <c r="D11" s="6">
        <f>IF(B11&gt;10,0,VDB('Revenue Cost'!$H$9,0,10,B11-1,B11,1.5))</f>
        <v>136552.5</v>
      </c>
      <c r="F11">
        <v>3</v>
      </c>
      <c r="G11" s="6">
        <f>IF(F11&gt;2*Data!$I$12,0,IF(F11&gt;Data!$I$12+7,0,IF(F11&gt;Data!$I$12,VDB(Data!$I$10*(1+Data!$D$37)^(Data!$I$12-1),0,7,F11-Data!$I$12-1,F11-Data!$I$12,1.5),IF(F11&gt;7,0,VDB(Data!$I$10,0,7,F11-1,F11,1.5)))))</f>
        <v>71435.860058309045</v>
      </c>
      <c r="H11" s="6">
        <f>IF(F11&gt;10,0,VDB(Data!$I$11,0,10,F11-1,F11,1.5))</f>
        <v>58522.5</v>
      </c>
      <c r="J11">
        <v>3</v>
      </c>
      <c r="K11" s="6">
        <f>IF(J11&gt;Data!$H$22,0,IF(J11&gt;'Revenue Cost'!$H$10+10,0,IF(J11&gt;'Revenue Cost'!$H$10,'Revenue Cost'!$H$8*(1+Data!$D$37)^('Revenue Cost'!$H$10-1)/10,IF(J11&gt;10,0,'Revenue Cost'!$H$8/10))))</f>
        <v>54000</v>
      </c>
      <c r="L11" s="6">
        <f>IF(J11&gt;15,0,'Revenue Cost'!$H$9/15)</f>
        <v>84000</v>
      </c>
      <c r="N11">
        <v>3</v>
      </c>
      <c r="O11" s="6">
        <f>IF(N11&gt;Data!$I$22,0, IF(N11&gt;Data!$I$12+10,0, IF(N11&gt;Data!$I$12,Data!$I$10*(1+Data!$D$37)^(Data!$I$12-1)/10,IF(N11&gt;10,0,Data!$I$10/10))))</f>
        <v>54000</v>
      </c>
      <c r="P11" s="6">
        <f>IF(N11&gt;15,0,Data!$I$11/15)</f>
        <v>36000</v>
      </c>
      <c r="R11" t="s">
        <v>236</v>
      </c>
      <c r="S11">
        <f>IF(S9=1,10,15)</f>
        <v>10</v>
      </c>
    </row>
    <row r="12" spans="2:19" x14ac:dyDescent="0.2">
      <c r="B12">
        <v>4</v>
      </c>
      <c r="C12" s="6">
        <f>IF(B12&gt;Data!$H$21*'Revenue Cost'!$H$10,0,IF(B12&gt;'Revenue Cost'!$H$10+7,0,IF(B12&gt;'Revenue Cost'!$H$10,VDB('Revenue Cost'!$H$8*(1+Data!$D$37)^('Revenue Cost'!$H$10-1),0,7,B12-'Revenue Cost'!$H$10-1,B12-'Revenue Cost'!$H$10,1.5),IF(B12&gt;7,0,VDB('Revenue Cost'!$H$8,0,7,B12-1,B12,1.5)))))</f>
        <v>65482.871720116629</v>
      </c>
      <c r="D12" s="6">
        <f>IF(B12&gt;10,0,VDB('Revenue Cost'!$H$9,0,10,B12-1,B12,1.5))</f>
        <v>116069.625</v>
      </c>
      <c r="F12">
        <v>4</v>
      </c>
      <c r="G12" s="6">
        <f>IF(F12&gt;2*Data!$I$12,0,IF(F12&gt;Data!$I$12+7,0,IF(F12&gt;Data!$I$12,VDB(Data!$I$10*(1+Data!$D$37)^(Data!$I$12-1),0,7,F12-Data!$I$12-1,F12-Data!$I$12,1.5),IF(F12&gt;7,0,VDB(Data!$I$10,0,7,F12-1,F12,1.5)))))</f>
        <v>65482.871720116629</v>
      </c>
      <c r="H12" s="6">
        <f>IF(F12&gt;10,0,VDB(Data!$I$11,0,10,F12-1,F12,1.5))</f>
        <v>49744.125</v>
      </c>
      <c r="J12">
        <v>4</v>
      </c>
      <c r="K12" s="6">
        <f>IF(J12&gt;Data!$H$22,0,IF(J12&gt;'Revenue Cost'!$H$10+10,0,IF(J12&gt;'Revenue Cost'!$H$10,'Revenue Cost'!$H$8*(1+Data!$D$37)^('Revenue Cost'!$H$10-1)/10,IF(J12&gt;10,0,'Revenue Cost'!$H$8/10))))</f>
        <v>54000</v>
      </c>
      <c r="L12" s="6">
        <f>IF(J12&gt;15,0,'Revenue Cost'!$H$9/15)</f>
        <v>84000</v>
      </c>
      <c r="N12">
        <v>4</v>
      </c>
      <c r="O12" s="6">
        <f>IF(N12&gt;Data!$I$22,0, IF(N12&gt;Data!$I$12+10,0, IF(N12&gt;Data!$I$12,Data!$I$10*(1+Data!$D$37)^(Data!$I$12-1)/10,IF(N12&gt;10,0,Data!$I$10/10))))</f>
        <v>54000</v>
      </c>
      <c r="P12" s="6">
        <f>IF(N12&gt;15,0,Data!$I$11/15)</f>
        <v>36000</v>
      </c>
    </row>
    <row r="13" spans="2:19" x14ac:dyDescent="0.2">
      <c r="B13">
        <v>5</v>
      </c>
      <c r="C13" s="6">
        <f>IF(B13&gt;Data!$H$21*'Revenue Cost'!$H$10,0,IF(B13&gt;'Revenue Cost'!$H$10+7,0,IF(B13&gt;'Revenue Cost'!$H$10,VDB('Revenue Cost'!$H$8*(1+Data!$D$37)^('Revenue Cost'!$H$10-1),0,7,B13-'Revenue Cost'!$H$10-1,B13-'Revenue Cost'!$H$10,1.5),IF(B13&gt;7,0,VDB('Revenue Cost'!$H$8,0,7,B13-1,B13,1.5)))))</f>
        <v>65482.871720116629</v>
      </c>
      <c r="D13" s="6">
        <f>IF(B13&gt;10,0,VDB('Revenue Cost'!$H$9,0,10,B13-1,B13,1.5))</f>
        <v>109621.3125</v>
      </c>
      <c r="F13">
        <v>5</v>
      </c>
      <c r="G13" s="6">
        <f>IF(F13&gt;2*Data!$I$12,0,IF(F13&gt;Data!$I$12+7,0,IF(F13&gt;Data!$I$12,VDB(Data!$I$10*(1+Data!$D$37)^(Data!$I$12-1),0,7,F13-Data!$I$12-1,F13-Data!$I$12,1.5),IF(F13&gt;7,0,VDB(Data!$I$10,0,7,F13-1,F13,1.5)))))</f>
        <v>65482.871720116629</v>
      </c>
      <c r="H13" s="6">
        <f>IF(F13&gt;10,0,VDB(Data!$I$11,0,10,F13-1,F13,1.5))</f>
        <v>46980.5625</v>
      </c>
      <c r="J13">
        <v>5</v>
      </c>
      <c r="K13" s="6">
        <f>IF(J13&gt;Data!$H$22,0,IF(J13&gt;'Revenue Cost'!$H$10+10,0,IF(J13&gt;'Revenue Cost'!$H$10,'Revenue Cost'!$H$8*(1+Data!$D$37)^('Revenue Cost'!$H$10-1)/10,IF(J13&gt;10,0,'Revenue Cost'!$H$8/10))))</f>
        <v>54000</v>
      </c>
      <c r="L13" s="6">
        <f>IF(J13&gt;15,0,'Revenue Cost'!$H$9/15)</f>
        <v>84000</v>
      </c>
      <c r="N13">
        <v>5</v>
      </c>
      <c r="O13" s="6">
        <f>IF(N13&gt;Data!$I$22,0, IF(N13&gt;Data!$I$12+10,0, IF(N13&gt;Data!$I$12,Data!$I$10*(1+Data!$D$37)^(Data!$I$12-1)/10,IF(N13&gt;10,0,Data!$I$10/10))))</f>
        <v>54000</v>
      </c>
      <c r="P13" s="6">
        <f>IF(N13&gt;15,0,Data!$I$11/15)</f>
        <v>36000</v>
      </c>
    </row>
    <row r="14" spans="2:19" x14ac:dyDescent="0.2">
      <c r="B14">
        <v>6</v>
      </c>
      <c r="C14" s="6">
        <f>IF(B14&gt;Data!$H$21*'Revenue Cost'!$H$10,0,IF(B14&gt;'Revenue Cost'!$H$10+7,0,IF(B14&gt;'Revenue Cost'!$H$10,VDB('Revenue Cost'!$H$8*(1+Data!$D$37)^('Revenue Cost'!$H$10-1),0,7,B14-'Revenue Cost'!$H$10-1,B14-'Revenue Cost'!$H$10,1.5),IF(B14&gt;7,0,VDB('Revenue Cost'!$H$8,0,7,B14-1,B14,1.5)))))</f>
        <v>65482.871720116629</v>
      </c>
      <c r="D14" s="6">
        <f>IF(B14&gt;10,0,VDB('Revenue Cost'!$H$9,0,10,B14-1,B14,1.5))</f>
        <v>109621.3125</v>
      </c>
      <c r="F14">
        <v>6</v>
      </c>
      <c r="G14" s="6">
        <f>IF(F14&gt;2*Data!$I$12,0,IF(F14&gt;Data!$I$12+7,0,IF(F14&gt;Data!$I$12,VDB(Data!$I$10*(1+Data!$D$37)^(Data!$I$12-1),0,7,F14-Data!$I$12-1,F14-Data!$I$12,1.5),IF(F14&gt;7,0,VDB(Data!$I$10,0,7,F14-1,F14,1.5)))))</f>
        <v>65482.871720116629</v>
      </c>
      <c r="H14" s="6">
        <f>IF(F14&gt;10,0,VDB(Data!$I$11,0,10,F14-1,F14,1.5))</f>
        <v>46980.5625</v>
      </c>
      <c r="J14">
        <v>6</v>
      </c>
      <c r="K14" s="6">
        <f>IF(J14&gt;Data!$H$22,0,IF(J14&gt;'Revenue Cost'!$H$10+10,0,IF(J14&gt;'Revenue Cost'!$H$10,'Revenue Cost'!$H$8*(1+Data!$D$37)^('Revenue Cost'!$H$10-1)/10,IF(J14&gt;10,0,'Revenue Cost'!$H$8/10))))</f>
        <v>54000</v>
      </c>
      <c r="L14" s="6">
        <f>IF(J14&gt;15,0,'Revenue Cost'!$H$9/15)</f>
        <v>84000</v>
      </c>
      <c r="N14">
        <v>6</v>
      </c>
      <c r="O14" s="6">
        <f>IF(N14&gt;Data!$I$22,0, IF(N14&gt;Data!$I$12+10,0, IF(N14&gt;Data!$I$12,Data!$I$10*(1+Data!$D$37)^(Data!$I$12-1)/10,IF(N14&gt;10,0,Data!$I$10/10))))</f>
        <v>54000</v>
      </c>
      <c r="P14" s="6">
        <f>IF(N14&gt;15,0,Data!$I$11/15)</f>
        <v>36000</v>
      </c>
    </row>
    <row r="15" spans="2:19" x14ac:dyDescent="0.2">
      <c r="B15">
        <v>7</v>
      </c>
      <c r="C15" s="6">
        <f>IF(B15&gt;Data!$H$21*'Revenue Cost'!$H$10,0,IF(B15&gt;'Revenue Cost'!$H$10+7,0,IF(B15&gt;'Revenue Cost'!$H$10,VDB('Revenue Cost'!$H$8*(1+Data!$D$37)^('Revenue Cost'!$H$10-1),0,7,B15-'Revenue Cost'!$H$10-1,B15-'Revenue Cost'!$H$10,1.5),IF(B15&gt;7,0,VDB('Revenue Cost'!$H$8,0,7,B15-1,B15,1.5)))))</f>
        <v>65482.871720116629</v>
      </c>
      <c r="D15" s="6">
        <f>IF(B15&gt;10,0,VDB('Revenue Cost'!$H$9,0,10,B15-1,B15,1.5))</f>
        <v>109621.3125</v>
      </c>
      <c r="F15">
        <v>7</v>
      </c>
      <c r="G15" s="6">
        <f>IF(F15&gt;2*Data!$I$12,0,IF(F15&gt;Data!$I$12+7,0,IF(F15&gt;Data!$I$12,VDB(Data!$I$10*(1+Data!$D$37)^(Data!$I$12-1),0,7,F15-Data!$I$12-1,F15-Data!$I$12,1.5),IF(F15&gt;7,0,VDB(Data!$I$10,0,7,F15-1,F15,1.5)))))</f>
        <v>65482.871720116629</v>
      </c>
      <c r="H15" s="6">
        <f>IF(F15&gt;10,0,VDB(Data!$I$11,0,10,F15-1,F15,1.5))</f>
        <v>46980.5625</v>
      </c>
      <c r="J15">
        <v>7</v>
      </c>
      <c r="K15" s="6">
        <f>IF(J15&gt;Data!$H$22,0,IF(J15&gt;'Revenue Cost'!$H$10+10,0,IF(J15&gt;'Revenue Cost'!$H$10,'Revenue Cost'!$H$8*(1+Data!$D$37)^('Revenue Cost'!$H$10-1)/10,IF(J15&gt;10,0,'Revenue Cost'!$H$8/10))))</f>
        <v>54000</v>
      </c>
      <c r="L15" s="6">
        <f>IF(J15&gt;15,0,'Revenue Cost'!$H$9/15)</f>
        <v>84000</v>
      </c>
      <c r="N15">
        <v>7</v>
      </c>
      <c r="O15" s="6">
        <f>IF(N15&gt;Data!$I$22,0, IF(N15&gt;Data!$I$12+10,0, IF(N15&gt;Data!$I$12,Data!$I$10*(1+Data!$D$37)^(Data!$I$12-1)/10,IF(N15&gt;10,0,Data!$I$10/10))))</f>
        <v>54000</v>
      </c>
      <c r="P15" s="6">
        <f>IF(N15&gt;15,0,Data!$I$11/15)</f>
        <v>36000</v>
      </c>
    </row>
    <row r="16" spans="2:19" x14ac:dyDescent="0.2">
      <c r="B16">
        <v>8</v>
      </c>
      <c r="C16" s="6">
        <f>IF(B16&gt;Data!$H$21*'Revenue Cost'!$H$10,0,IF(B16&gt;'Revenue Cost'!$H$10+7,0,IF(B16&gt;'Revenue Cost'!$H$10,VDB('Revenue Cost'!$H$8*(1+Data!$D$37)^('Revenue Cost'!$H$10-1),0,7,B16-'Revenue Cost'!$H$10-1,B16-'Revenue Cost'!$H$10,1.5),IF(B16&gt;7,0,VDB('Revenue Cost'!$H$8,0,7,B16-1,B16,1.5)))))</f>
        <v>0</v>
      </c>
      <c r="D16" s="6">
        <f>IF(B16&gt;10,0,VDB('Revenue Cost'!$H$9,0,10,B16-1,B16,1.5))</f>
        <v>109621.3125</v>
      </c>
      <c r="F16">
        <v>8</v>
      </c>
      <c r="G16" s="6">
        <f>IF(F16&gt;2*Data!$I$12,0,IF(F16&gt;Data!$I$12+7,0,IF(F16&gt;Data!$I$12,VDB(Data!$I$10*(1+Data!$D$37)^(Data!$I$12-1),0,7,F16-Data!$I$12-1,F16-Data!$I$12,1.5),IF(F16&gt;7,0,VDB(Data!$I$10,0,7,F16-1,F16,1.5)))))</f>
        <v>0</v>
      </c>
      <c r="H16" s="6">
        <f>IF(F16&gt;10,0,VDB(Data!$I$11,0,10,F16-1,F16,1.5))</f>
        <v>46980.5625</v>
      </c>
      <c r="J16">
        <v>8</v>
      </c>
      <c r="K16" s="6">
        <f>IF(J16&gt;Data!$H$22,0,IF(J16&gt;'Revenue Cost'!$H$10+10,0,IF(J16&gt;'Revenue Cost'!$H$10,'Revenue Cost'!$H$8*(1+Data!$D$37)^('Revenue Cost'!$H$10-1)/10,IF(J16&gt;10,0,'Revenue Cost'!$H$8/10))))</f>
        <v>54000</v>
      </c>
      <c r="L16" s="6">
        <f>IF(J16&gt;15,0,'Revenue Cost'!$H$9/15)</f>
        <v>84000</v>
      </c>
      <c r="N16">
        <v>8</v>
      </c>
      <c r="O16" s="6">
        <f>IF(N16&gt;Data!$I$22,0, IF(N16&gt;Data!$I$12+10,0, IF(N16&gt;Data!$I$12,Data!$I$10*(1+Data!$D$37)^(Data!$I$12-1)/10,IF(N16&gt;10,0,Data!$I$10/10))))</f>
        <v>54000</v>
      </c>
      <c r="P16" s="6">
        <f>IF(N16&gt;15,0,Data!$I$11/15)</f>
        <v>36000</v>
      </c>
    </row>
    <row r="17" spans="2:16" x14ac:dyDescent="0.2">
      <c r="B17">
        <v>9</v>
      </c>
      <c r="C17" s="6">
        <f>IF(B17&gt;Data!$H$21*'Revenue Cost'!$H$10,0,IF(B17&gt;'Revenue Cost'!$H$10+7,0,IF(B17&gt;'Revenue Cost'!$H$10,VDB('Revenue Cost'!$H$8*(1+Data!$D$37)^('Revenue Cost'!$H$10-1),0,7,B17-'Revenue Cost'!$H$10-1,B17-'Revenue Cost'!$H$10,1.5),IF(B17&gt;7,0,VDB('Revenue Cost'!$H$8,0,7,B17-1,B17,1.5)))))</f>
        <v>0</v>
      </c>
      <c r="D17" s="6">
        <f>IF(B17&gt;10,0,VDB('Revenue Cost'!$H$9,0,10,B17-1,B17,1.5))</f>
        <v>109621.3125</v>
      </c>
      <c r="F17">
        <v>9</v>
      </c>
      <c r="G17" s="6">
        <f>IF(F17&gt;2*Data!$I$12,0,IF(F17&gt;Data!$I$12+7,0,IF(F17&gt;Data!$I$12,VDB(Data!$I$10*(1+Data!$D$37)^(Data!$I$12-1),0,7,F17-Data!$I$12-1,F17-Data!$I$12,1.5),IF(F17&gt;7,0,VDB(Data!$I$10,0,7,F17-1,F17,1.5)))))</f>
        <v>0</v>
      </c>
      <c r="H17" s="6">
        <f>IF(F17&gt;10,0,VDB(Data!$I$11,0,10,F17-1,F17,1.5))</f>
        <v>46980.5625</v>
      </c>
      <c r="J17">
        <v>9</v>
      </c>
      <c r="K17" s="6">
        <f>IF(J17&gt;Data!$H$22,0,IF(J17&gt;'Revenue Cost'!$H$10+10,0,IF(J17&gt;'Revenue Cost'!$H$10,'Revenue Cost'!$H$8*(1+Data!$D$37)^('Revenue Cost'!$H$10-1)/10,IF(J17&gt;10,0,'Revenue Cost'!$H$8/10))))</f>
        <v>54000</v>
      </c>
      <c r="L17" s="6">
        <f>IF(J17&gt;15,0,'Revenue Cost'!$H$9/15)</f>
        <v>84000</v>
      </c>
      <c r="N17">
        <v>9</v>
      </c>
      <c r="O17" s="6">
        <f>IF(N17&gt;Data!$I$22,0, IF(N17&gt;Data!$I$12+10,0, IF(N17&gt;Data!$I$12,Data!$I$10*(1+Data!$D$37)^(Data!$I$12-1)/10,IF(N17&gt;10,0,Data!$I$10/10))))</f>
        <v>54000</v>
      </c>
      <c r="P17" s="6">
        <f>IF(N17&gt;15,0,Data!$I$11/15)</f>
        <v>36000</v>
      </c>
    </row>
    <row r="18" spans="2:16" x14ac:dyDescent="0.2">
      <c r="B18">
        <v>10</v>
      </c>
      <c r="C18" s="6">
        <f>IF(B18&gt;Data!$H$21*'Revenue Cost'!$H$10,0,IF(B18&gt;'Revenue Cost'!$H$10+7,0,IF(B18&gt;'Revenue Cost'!$H$10,VDB('Revenue Cost'!$H$8*(1+Data!$D$37)^('Revenue Cost'!$H$10-1),0,7,B18-'Revenue Cost'!$H$10-1,B18-'Revenue Cost'!$H$10,1.5),IF(B18&gt;7,0,VDB('Revenue Cost'!$H$8,0,7,B18-1,B18,1.5)))))</f>
        <v>0</v>
      </c>
      <c r="D18" s="6">
        <f>IF(B18&gt;10,0,VDB('Revenue Cost'!$H$9,0,10,B18-1,B18,1.5))</f>
        <v>109621.3125</v>
      </c>
      <c r="F18">
        <v>10</v>
      </c>
      <c r="G18" s="6">
        <f>IF(F18&gt;2*Data!$I$12,0,IF(F18&gt;Data!$I$12+7,0,IF(F18&gt;Data!$I$12,VDB(Data!$I$10*(1+Data!$D$37)^(Data!$I$12-1),0,7,F18-Data!$I$12-1,F18-Data!$I$12,1.5),IF(F18&gt;7,0,VDB(Data!$I$10,0,7,F18-1,F18,1.5)))))</f>
        <v>0</v>
      </c>
      <c r="H18" s="6">
        <f>IF(F18&gt;10,0,VDB(Data!$I$11,0,10,F18-1,F18,1.5))</f>
        <v>46980.5625</v>
      </c>
      <c r="J18">
        <v>10</v>
      </c>
      <c r="K18" s="6">
        <f>IF(J18&gt;Data!$H$22,0,IF(J18&gt;'Revenue Cost'!$H$10+10,0,IF(J18&gt;'Revenue Cost'!$H$10,'Revenue Cost'!$H$8*(1+Data!$D$37)^('Revenue Cost'!$H$10-1)/10,IF(J18&gt;10,0,'Revenue Cost'!$H$8/10))))</f>
        <v>54000</v>
      </c>
      <c r="L18" s="6">
        <f>IF(J18&gt;15,0,'Revenue Cost'!$H$9/15)</f>
        <v>84000</v>
      </c>
      <c r="N18">
        <v>10</v>
      </c>
      <c r="O18" s="6">
        <f>IF(N18&gt;Data!$I$22,0, IF(N18&gt;Data!$I$12+10,0, IF(N18&gt;Data!$I$12,Data!$I$10*(1+Data!$D$37)^(Data!$I$12-1)/10,IF(N18&gt;10,0,Data!$I$10/10))))</f>
        <v>54000</v>
      </c>
      <c r="P18" s="6">
        <f>IF(N18&gt;15,0,Data!$I$11/15)</f>
        <v>36000</v>
      </c>
    </row>
    <row r="19" spans="2:16" x14ac:dyDescent="0.2">
      <c r="B19">
        <v>11</v>
      </c>
      <c r="C19" s="6">
        <f>IF(B19&gt;Data!$H$21*'Revenue Cost'!$H$10,0,IF(B19&gt;'Revenue Cost'!$H$10+7,0,IF(B19&gt;'Revenue Cost'!$H$10,VDB('Revenue Cost'!$H$8*(1+Data!$D$37)^('Revenue Cost'!$H$10-1),0,7,B19-'Revenue Cost'!$H$10-1,B19-'Revenue Cost'!$H$10,1.5),IF(B19&gt;7,0,VDB('Revenue Cost'!$H$8,0,7,B19-1,B19,1.5)))))</f>
        <v>0</v>
      </c>
      <c r="D19" s="6">
        <f>IF(B19&gt;10,0,VDB('Revenue Cost'!$H$9,0,10,B19-1,B19,1.5))</f>
        <v>0</v>
      </c>
      <c r="F19">
        <v>11</v>
      </c>
      <c r="G19" s="6">
        <f>IF(F19&gt;2*Data!$I$12,0,IF(F19&gt;Data!$I$12+7,0,IF(F19&gt;Data!$I$12,VDB(Data!$I$10*(1+Data!$D$37)^(Data!$I$12-1),0,7,F19-Data!$I$12-1,F19-Data!$I$12,1.5),IF(F19&gt;7,0,VDB(Data!$I$10,0,7,F19-1,F19,1.5)))))</f>
        <v>0</v>
      </c>
      <c r="H19" s="6">
        <f>IF(F19&gt;10,0,VDB(Data!$I$11,0,10,F19-1,F19,1.5))</f>
        <v>0</v>
      </c>
      <c r="J19">
        <v>11</v>
      </c>
      <c r="K19" s="6">
        <f>IF(J19&gt;Data!$H$22,0,IF(J19&gt;'Revenue Cost'!$H$10+10,0,IF(J19&gt;'Revenue Cost'!$H$10,'Revenue Cost'!$H$8*(1+Data!$D$37)^('Revenue Cost'!$H$10-1)/10,IF(J19&gt;10,0,'Revenue Cost'!$H$8/10))))</f>
        <v>0</v>
      </c>
      <c r="L19" s="6">
        <f>IF(J19&gt;15,0,'Revenue Cost'!$H$9/15)</f>
        <v>84000</v>
      </c>
      <c r="N19">
        <v>11</v>
      </c>
      <c r="O19" s="6">
        <f>IF(N19&gt;Data!$I$22,0, IF(N19&gt;Data!$I$12+10,0, IF(N19&gt;Data!$I$12,Data!$I$10*(1+Data!$D$37)^(Data!$I$12-1)/10,IF(N19&gt;10,0,Data!$I$10/10))))</f>
        <v>0</v>
      </c>
      <c r="P19" s="6">
        <f>IF(N19&gt;15,0,Data!$I$11/15)</f>
        <v>36000</v>
      </c>
    </row>
    <row r="20" spans="2:16" x14ac:dyDescent="0.2">
      <c r="B20">
        <v>12</v>
      </c>
      <c r="C20" s="6">
        <f>IF(B20&gt;Data!$H$21*'Revenue Cost'!$H$10,0,IF(B20&gt;'Revenue Cost'!$H$10+7,0,IF(B20&gt;'Revenue Cost'!$H$10,VDB('Revenue Cost'!$H$8*(1+Data!$D$37)^('Revenue Cost'!$H$10-1),0,7,B20-'Revenue Cost'!$H$10-1,B20-'Revenue Cost'!$H$10,1.5),IF(B20&gt;7,0,VDB('Revenue Cost'!$H$8,0,7,B20-1,B20,1.5)))))</f>
        <v>0</v>
      </c>
      <c r="D20" s="6">
        <f>IF(B20&gt;10,0,VDB('Revenue Cost'!$H$9,0,10,B20-1,B20,1.5))</f>
        <v>0</v>
      </c>
      <c r="F20">
        <v>12</v>
      </c>
      <c r="G20" s="6">
        <f>IF(F20&gt;2*Data!$I$12,0,IF(F20&gt;Data!$I$12+7,0,IF(F20&gt;Data!$I$12,VDB(Data!$I$10*(1+Data!$D$37)^(Data!$I$12-1),0,7,F20-Data!$I$12-1,F20-Data!$I$12,1.5),IF(F20&gt;7,0,VDB(Data!$I$10,0,7,F20-1,F20,1.5)))))</f>
        <v>0</v>
      </c>
      <c r="H20" s="6">
        <f>IF(F20&gt;10,0,VDB(Data!$I$11,0,10,F20-1,F20,1.5))</f>
        <v>0</v>
      </c>
      <c r="J20">
        <v>12</v>
      </c>
      <c r="K20" s="6">
        <f>IF(J20&gt;Data!$H$22,0,IF(J20&gt;'Revenue Cost'!$H$10+10,0,IF(J20&gt;'Revenue Cost'!$H$10,'Revenue Cost'!$H$8*(1+Data!$D$37)^('Revenue Cost'!$H$10-1)/10,IF(J20&gt;10,0,'Revenue Cost'!$H$8/10))))</f>
        <v>0</v>
      </c>
      <c r="L20" s="6">
        <f>IF(J20&gt;15,0,'Revenue Cost'!$H$9/15)</f>
        <v>84000</v>
      </c>
      <c r="N20">
        <v>12</v>
      </c>
      <c r="O20" s="6">
        <f>IF(N20&gt;Data!$I$22,0, IF(N20&gt;Data!$I$12+10,0, IF(N20&gt;Data!$I$12,Data!$I$10*(1+Data!$D$37)^(Data!$I$12-1)/10,IF(N20&gt;10,0,Data!$I$10/10))))</f>
        <v>0</v>
      </c>
      <c r="P20" s="6">
        <f>IF(N20&gt;15,0,Data!$I$11/15)</f>
        <v>36000</v>
      </c>
    </row>
    <row r="21" spans="2:16" x14ac:dyDescent="0.2">
      <c r="B21">
        <v>13</v>
      </c>
      <c r="C21" s="6">
        <f>IF(B21&gt;Data!$H$21*'Revenue Cost'!$H$10,0,IF(B21&gt;'Revenue Cost'!$H$10+7,0,IF(B21&gt;'Revenue Cost'!$H$10,VDB('Revenue Cost'!$H$8*(1+Data!$D$37)^('Revenue Cost'!$H$10-1),0,7,B21-'Revenue Cost'!$H$10-1,B21-'Revenue Cost'!$H$10,1.5),IF(B21&gt;7,0,VDB('Revenue Cost'!$H$8,0,7,B21-1,B21,1.5)))))</f>
        <v>0</v>
      </c>
      <c r="D21" s="6">
        <f>IF(B21&gt;10,0,VDB('Revenue Cost'!$H$9,0,10,B21-1,B21,1.5))</f>
        <v>0</v>
      </c>
      <c r="F21">
        <v>13</v>
      </c>
      <c r="G21" s="6">
        <f>IF(F21&gt;2*Data!$I$12,0,IF(F21&gt;Data!$I$12+7,0,IF(F21&gt;Data!$I$12,VDB(Data!$I$10*(1+Data!$D$37)^(Data!$I$12-1),0,7,F21-Data!$I$12-1,F21-Data!$I$12,1.5),IF(F21&gt;7,0,VDB(Data!$I$10,0,7,F21-1,F21,1.5)))))</f>
        <v>0</v>
      </c>
      <c r="H21" s="6">
        <f>IF(F21&gt;10,0,VDB(Data!$I$11,0,10,F21-1,F21,1.5))</f>
        <v>0</v>
      </c>
      <c r="J21">
        <v>13</v>
      </c>
      <c r="K21" s="6">
        <f>IF(J21&gt;Data!$H$22,0,IF(J21&gt;'Revenue Cost'!$H$10+10,0,IF(J21&gt;'Revenue Cost'!$H$10,'Revenue Cost'!$H$8*(1+Data!$D$37)^('Revenue Cost'!$H$10-1)/10,IF(J21&gt;10,0,'Revenue Cost'!$H$8/10))))</f>
        <v>0</v>
      </c>
      <c r="L21" s="6">
        <f>IF(J21&gt;15,0,'Revenue Cost'!$H$9/15)</f>
        <v>84000</v>
      </c>
      <c r="N21">
        <v>13</v>
      </c>
      <c r="O21" s="6">
        <f>IF(N21&gt;Data!$I$22,0, IF(N21&gt;Data!$I$12+10,0, IF(N21&gt;Data!$I$12,Data!$I$10*(1+Data!$D$37)^(Data!$I$12-1)/10,IF(N21&gt;10,0,Data!$I$10/10))))</f>
        <v>0</v>
      </c>
      <c r="P21" s="6">
        <f>IF(N21&gt;15,0,Data!$I$11/15)</f>
        <v>36000</v>
      </c>
    </row>
    <row r="22" spans="2:16" x14ac:dyDescent="0.2">
      <c r="B22">
        <v>14</v>
      </c>
      <c r="C22" s="6">
        <f>IF(B22&gt;Data!$H$21*'Revenue Cost'!$H$10,0,IF(B22&gt;'Revenue Cost'!$H$10+7,0,IF(B22&gt;'Revenue Cost'!$H$10,VDB('Revenue Cost'!$H$8*(1+Data!$D$37)^('Revenue Cost'!$H$10-1),0,7,B22-'Revenue Cost'!$H$10-1,B22-'Revenue Cost'!$H$10,1.5),IF(B22&gt;7,0,VDB('Revenue Cost'!$H$8,0,7,B22-1,B22,1.5)))))</f>
        <v>0</v>
      </c>
      <c r="D22" s="6">
        <f>IF(B22&gt;10,0,VDB('Revenue Cost'!$H$9,0,10,B22-1,B22,1.5))</f>
        <v>0</v>
      </c>
      <c r="F22">
        <v>14</v>
      </c>
      <c r="G22" s="6">
        <f>IF(F22&gt;2*Data!$I$12,0,IF(F22&gt;Data!$I$12+7,0,IF(F22&gt;Data!$I$12,VDB(Data!$I$10*(1+Data!$D$37)^(Data!$I$12-1),0,7,F22-Data!$I$12-1,F22-Data!$I$12,1.5),IF(F22&gt;7,0,VDB(Data!$I$10,0,7,F22-1,F22,1.5)))))</f>
        <v>0</v>
      </c>
      <c r="H22" s="6">
        <f>IF(F22&gt;10,0,VDB(Data!$I$11,0,10,F22-1,F22,1.5))</f>
        <v>0</v>
      </c>
      <c r="J22">
        <v>14</v>
      </c>
      <c r="K22" s="6">
        <f>IF(J22&gt;Data!$H$22,0,IF(J22&gt;'Revenue Cost'!$H$10+10,0,IF(J22&gt;'Revenue Cost'!$H$10,'Revenue Cost'!$H$8*(1+Data!$D$37)^('Revenue Cost'!$H$10-1)/10,IF(J22&gt;10,0,'Revenue Cost'!$H$8/10))))</f>
        <v>0</v>
      </c>
      <c r="L22" s="6">
        <f>IF(J22&gt;15,0,'Revenue Cost'!$H$9/15)</f>
        <v>84000</v>
      </c>
      <c r="N22">
        <v>14</v>
      </c>
      <c r="O22" s="6">
        <f>IF(N22&gt;Data!$I$22,0, IF(N22&gt;Data!$I$12+10,0, IF(N22&gt;Data!$I$12,Data!$I$10*(1+Data!$D$37)^(Data!$I$12-1)/10,IF(N22&gt;10,0,Data!$I$10/10))))</f>
        <v>0</v>
      </c>
      <c r="P22" s="6">
        <f>IF(N22&gt;15,0,Data!$I$11/15)</f>
        <v>36000</v>
      </c>
    </row>
    <row r="23" spans="2:16" x14ac:dyDescent="0.2">
      <c r="B23">
        <v>15</v>
      </c>
      <c r="C23" s="6">
        <f>IF(B23&gt;Data!$H$21*'Revenue Cost'!$H$10,0,IF(B23&gt;'Revenue Cost'!$H$10+7,0,IF(B23&gt;'Revenue Cost'!$H$10,VDB('Revenue Cost'!$H$8*(1+Data!$D$37)^('Revenue Cost'!$H$10-1),0,7,B23-'Revenue Cost'!$H$10-1,B23-'Revenue Cost'!$H$10,1.5),IF(B23&gt;7,0,VDB('Revenue Cost'!$H$8,0,7,B23-1,B23,1.5)))))</f>
        <v>0</v>
      </c>
      <c r="D23" s="6">
        <f>IF(B23&gt;10,0,VDB('Revenue Cost'!$H$9,0,10,B23-1,B23,1.5))</f>
        <v>0</v>
      </c>
      <c r="F23">
        <v>15</v>
      </c>
      <c r="G23" s="6">
        <f>IF(F23&gt;2*Data!$I$12,0,IF(F23&gt;Data!$I$12+7,0,IF(F23&gt;Data!$I$12,VDB(Data!$I$10*(1+Data!$D$37)^(Data!$I$12-1),0,7,F23-Data!$I$12-1,F23-Data!$I$12,1.5),IF(F23&gt;7,0,VDB(Data!$I$10,0,7,F23-1,F23,1.5)))))</f>
        <v>0</v>
      </c>
      <c r="H23" s="6">
        <f>IF(F23&gt;10,0,VDB(Data!$I$11,0,10,F23-1,F23,1.5))</f>
        <v>0</v>
      </c>
      <c r="J23">
        <v>15</v>
      </c>
      <c r="K23" s="6">
        <f>IF(J23&gt;Data!$H$22,0,IF(J23&gt;'Revenue Cost'!$H$10+10,0,IF(J23&gt;'Revenue Cost'!$H$10,'Revenue Cost'!$H$8*(1+Data!$D$37)^('Revenue Cost'!$H$10-1)/10,IF(J23&gt;10,0,'Revenue Cost'!$H$8/10))))</f>
        <v>0</v>
      </c>
      <c r="L23" s="6">
        <f>IF(J23&gt;15,0,'Revenue Cost'!$H$9/15)</f>
        <v>84000</v>
      </c>
      <c r="N23">
        <v>15</v>
      </c>
      <c r="O23" s="6">
        <f>IF(N23&gt;Data!$I$22,0, IF(N23&gt;Data!$I$12+10,0, IF(N23&gt;Data!$I$12,Data!$I$10*(1+Data!$D$37)^(Data!$I$12-1)/10,IF(N23&gt;10,0,Data!$I$10/10))))</f>
        <v>0</v>
      </c>
      <c r="P23" s="6">
        <f>IF(N23&gt;15,0,Data!$I$11/15)</f>
        <v>36000</v>
      </c>
    </row>
    <row r="24" spans="2:16" x14ac:dyDescent="0.2">
      <c r="B24">
        <v>16</v>
      </c>
      <c r="C24" s="6">
        <f>IF(B24&gt;Data!$H$21*'Revenue Cost'!$H$10,0,IF(B24&gt;'Revenue Cost'!$H$10+7,0,IF(B24&gt;'Revenue Cost'!$H$10,VDB('Revenue Cost'!$H$8*(1+Data!$D$37)^('Revenue Cost'!$H$10-1),0,7,B24-'Revenue Cost'!$H$10-1,B24-'Revenue Cost'!$H$10,1.5),IF(B24&gt;7,0,VDB('Revenue Cost'!$H$8,0,7,B24-1,B24,1.5)))))</f>
        <v>142531.73455172937</v>
      </c>
      <c r="D24" s="6">
        <f>IF(B24&gt;10,0,VDB('Revenue Cost'!$H$9,0,10,B24-1,B24,1.5))</f>
        <v>0</v>
      </c>
      <c r="F24">
        <v>16</v>
      </c>
      <c r="G24" s="6">
        <f>IF(F24&gt;Data!$I$21*Data!$I$12,0,IF(F24&gt;Data!$I$12+7,0,IF(F24&gt;Data!$I$12,VDB(Data!$I$10*(1+Data!$D$37)^(Data!$I$12-1),0,7,F24-Data!$I$12-1,F24-Data!$I$12,1.5),IF(F24&gt;7,0,VDB(Data!$I$10,0,7,F24-1,F24,1.5)))))</f>
        <v>0</v>
      </c>
      <c r="H24" s="6">
        <f>IF(F24&gt;10,0,VDB(Data!$I$11,0,10,F24-1,F24,1.5))</f>
        <v>0</v>
      </c>
      <c r="J24">
        <v>16</v>
      </c>
      <c r="K24" s="6">
        <f>IF(J24&gt;Data!$H$22,0,IF(J24&gt;'Revenue Cost'!$H$10+10,0,IF(J24&gt;'Revenue Cost'!$H$10,'Revenue Cost'!$H$8*(1+Data!$D$37)^('Revenue Cost'!$H$10-1)/10,IF(J24&gt;10,0,'Revenue Cost'!$H$8/10))))</f>
        <v>66514.809457473719</v>
      </c>
      <c r="L24" s="6">
        <f>IF(J24&gt;15,0,'Revenue Cost'!$H$9/15)</f>
        <v>0</v>
      </c>
      <c r="N24">
        <v>16</v>
      </c>
      <c r="O24" s="6">
        <f>IF(N24&gt;Data!$I$22,0, IF(N24&gt;Data!$I$12+10,0, IF(N24&gt;Data!$I$12,Data!$I$10*(1+Data!$D$37)^(Data!$I$12-1)/10,IF(N24&gt;10,0,Data!$I$10/10))))</f>
        <v>0</v>
      </c>
      <c r="P24" s="6">
        <f>IF(N24&gt;15,0,Data!$I$11/15)</f>
        <v>0</v>
      </c>
    </row>
    <row r="25" spans="2:16" x14ac:dyDescent="0.2">
      <c r="B25">
        <v>17</v>
      </c>
      <c r="C25" s="6">
        <f>IF(B25&gt;Data!$H$21*'Revenue Cost'!$H$10,0,IF(B25&gt;'Revenue Cost'!$H$10+7,0,IF(B25&gt;'Revenue Cost'!$H$10,VDB('Revenue Cost'!$H$8*(1+Data!$D$37)^('Revenue Cost'!$H$10-1),0,7,B25-'Revenue Cost'!$H$10-1,B25-'Revenue Cost'!$H$10,1.5),IF(B25&gt;7,0,VDB('Revenue Cost'!$H$8,0,7,B25-1,B25,1.5)))))</f>
        <v>111989.22000493022</v>
      </c>
      <c r="D25" s="6">
        <f>IF(B25&gt;10,0,VDB('Revenue Cost'!$H$9,0,10,B25-1,B25,1.5))</f>
        <v>0</v>
      </c>
      <c r="F25">
        <v>17</v>
      </c>
      <c r="G25" s="6">
        <f>IF(F25&gt;Data!$I$21*Data!$I$12,0,IF(F25&gt;Data!$I$12+7,0,IF(F25&gt;Data!$I$12,VDB(Data!$I$10*(1+Data!$D$37)^(Data!$I$12-1),0,7,F25-Data!$I$12-1,F25-Data!$I$12,1.5),IF(F25&gt;7,0,VDB(Data!$I$10,0,7,F25-1,F25,1.5)))))</f>
        <v>0</v>
      </c>
      <c r="H25" s="6">
        <f>IF(F25&gt;10,0,VDB(Data!$I$11,0,10,F25-1,F25,1.5))</f>
        <v>0</v>
      </c>
      <c r="J25">
        <v>17</v>
      </c>
      <c r="K25" s="6">
        <f>IF(J25&gt;Data!$H$22,0,IF(J25&gt;'Revenue Cost'!$H$10+10,0,IF(J25&gt;'Revenue Cost'!$H$10,'Revenue Cost'!$H$8*(1+Data!$D$37)^('Revenue Cost'!$H$10-1)/10,IF(J25&gt;10,0,'Revenue Cost'!$H$8/10))))</f>
        <v>66514.809457473719</v>
      </c>
      <c r="L25" s="6">
        <f>IF(J25&gt;15,0,'Revenue Cost'!$H$9/15)</f>
        <v>0</v>
      </c>
      <c r="N25">
        <v>17</v>
      </c>
      <c r="O25" s="6">
        <f>IF(N25&gt;Data!$I$22,0, IF(N25&gt;Data!$I$12+10,0, IF(N25&gt;Data!$I$12,Data!$I$10*(1+Data!$D$37)^(Data!$I$12-1)/10,IF(N25&gt;10,0,Data!$I$10/10))))</f>
        <v>0</v>
      </c>
      <c r="P25" s="6">
        <f>IF(N25&gt;15,0,Data!$I$11/15)</f>
        <v>0</v>
      </c>
    </row>
    <row r="26" spans="2:16" x14ac:dyDescent="0.2">
      <c r="B26">
        <v>18</v>
      </c>
      <c r="C26" s="6">
        <f>IF(B26&gt;Data!$H$21*'Revenue Cost'!$H$10,0,IF(B26&gt;'Revenue Cost'!$H$10+7,0,IF(B26&gt;'Revenue Cost'!$H$10,VDB('Revenue Cost'!$H$8*(1+Data!$D$37)^('Revenue Cost'!$H$10-1),0,7,B26-'Revenue Cost'!$H$10-1,B26-'Revenue Cost'!$H$10,1.5),IF(B26&gt;7,0,VDB('Revenue Cost'!$H$8,0,7,B26-1,B26,1.5)))))</f>
        <v>87991.530003873748</v>
      </c>
      <c r="D26" s="6">
        <f>IF(B26&gt;10,0,VDB('Revenue Cost'!$H$9,0,10,B26-1,B26,1.5))</f>
        <v>0</v>
      </c>
      <c r="F26">
        <v>18</v>
      </c>
      <c r="G26" s="6">
        <f>IF(F26&gt;Data!$I$21*Data!$I$12,0,IF(F26&gt;Data!$I$12+7,0,IF(F26&gt;Data!$I$12,VDB(Data!$I$10*(1+Data!$D$37)^(Data!$I$12-1),0,7,F26-Data!$I$12-1,F26-Data!$I$12,1.5),IF(F26&gt;7,0,VDB(Data!$I$10,0,7,F26-1,F26,1.5)))))</f>
        <v>0</v>
      </c>
      <c r="H26" s="6">
        <f>IF(F26&gt;10,0,VDB(Data!$I$11,0,10,F26-1,F26,1.5))</f>
        <v>0</v>
      </c>
      <c r="J26">
        <v>18</v>
      </c>
      <c r="K26" s="6">
        <f>IF(J26&gt;Data!$H$22,0,IF(J26&gt;'Revenue Cost'!$H$10+10,0,IF(J26&gt;'Revenue Cost'!$H$10,'Revenue Cost'!$H$8*(1+Data!$D$37)^('Revenue Cost'!$H$10-1)/10,IF(J26&gt;10,0,'Revenue Cost'!$H$8/10))))</f>
        <v>66514.809457473719</v>
      </c>
      <c r="L26" s="6">
        <f>IF(J26&gt;15,0,'Revenue Cost'!$H$9/15)</f>
        <v>0</v>
      </c>
      <c r="N26">
        <v>18</v>
      </c>
      <c r="O26" s="6">
        <f>IF(N26&gt;Data!$I$22,0, IF(N26&gt;Data!$I$12+10,0, IF(N26&gt;Data!$I$12,Data!$I$10*(1+Data!$D$37)^(Data!$I$12-1)/10,IF(N26&gt;10,0,Data!$I$10/10))))</f>
        <v>0</v>
      </c>
      <c r="P26" s="6">
        <f>IF(N26&gt;15,0,Data!$I$11/15)</f>
        <v>0</v>
      </c>
    </row>
    <row r="27" spans="2:16" x14ac:dyDescent="0.2">
      <c r="B27">
        <v>19</v>
      </c>
      <c r="C27" s="6">
        <f>IF(B27&gt;Data!$H$21*'Revenue Cost'!$H$10,0,IF(B27&gt;'Revenue Cost'!$H$10+7,0,IF(B27&gt;'Revenue Cost'!$H$10,VDB('Revenue Cost'!$H$8*(1+Data!$D$37)^('Revenue Cost'!$H$10-1),0,7,B27-'Revenue Cost'!$H$10-1,B27-'Revenue Cost'!$H$10,1.5),IF(B27&gt;7,0,VDB('Revenue Cost'!$H$8,0,7,B27-1,B27,1.5)))))</f>
        <v>80658.90250355094</v>
      </c>
      <c r="D27" s="6">
        <f>IF(B27&gt;10,0,VDB('Revenue Cost'!$H$9,0,10,B27-1,B27,1.5))</f>
        <v>0</v>
      </c>
      <c r="F27">
        <v>19</v>
      </c>
      <c r="G27" s="6">
        <f>IF(F27&gt;Data!$I$21*Data!$I$12,0,IF(F27&gt;Data!$I$12+7,0,IF(F27&gt;Data!$I$12,VDB(Data!$I$10*(1+Data!$D$37)^(Data!$I$12-1),0,7,F27-Data!$I$12-1,F27-Data!$I$12,1.5),IF(F27&gt;7,0,VDB(Data!$I$10,0,7,F27-1,F27,1.5)))))</f>
        <v>0</v>
      </c>
      <c r="H27" s="6">
        <f>IF(F27&gt;10,0,VDB(Data!$I$11,0,10,F27-1,F27,1.5))</f>
        <v>0</v>
      </c>
      <c r="J27">
        <v>19</v>
      </c>
      <c r="K27" s="6">
        <f>IF(J27&gt;Data!$H$22,0,IF(J27&gt;'Revenue Cost'!$H$10+10,0,IF(J27&gt;'Revenue Cost'!$H$10,'Revenue Cost'!$H$8*(1+Data!$D$37)^('Revenue Cost'!$H$10-1)/10,IF(J27&gt;10,0,'Revenue Cost'!$H$8/10))))</f>
        <v>66514.809457473719</v>
      </c>
      <c r="L27" s="6">
        <f>IF(J27&gt;15,0,'Revenue Cost'!$H$9/15)</f>
        <v>0</v>
      </c>
      <c r="N27">
        <v>19</v>
      </c>
      <c r="O27" s="6">
        <f>IF(N27&gt;Data!$I$22,0, IF(N27&gt;Data!$I$12+10,0, IF(N27&gt;Data!$I$12,Data!$I$10*(1+Data!$D$37)^(Data!$I$12-1)/10,IF(N27&gt;10,0,Data!$I$10/10))))</f>
        <v>0</v>
      </c>
      <c r="P27" s="6">
        <f>IF(N27&gt;15,0,Data!$I$11/15)</f>
        <v>0</v>
      </c>
    </row>
    <row r="28" spans="2:16" x14ac:dyDescent="0.2">
      <c r="B28">
        <v>20</v>
      </c>
      <c r="C28" s="6">
        <f>IF(B28&gt;Data!$H$21*'Revenue Cost'!$H$10,0,IF(B28&gt;'Revenue Cost'!$H$10+7,0,IF(B28&gt;'Revenue Cost'!$H$10,VDB('Revenue Cost'!$H$8*(1+Data!$D$37)^('Revenue Cost'!$H$10-1),0,7,B28-'Revenue Cost'!$H$10-1,B28-'Revenue Cost'!$H$10,1.5),IF(B28&gt;7,0,VDB('Revenue Cost'!$H$8,0,7,B28-1,B28,1.5)))))</f>
        <v>80658.90250355094</v>
      </c>
      <c r="D28" s="6">
        <f>IF(B28&gt;10,0,VDB('Revenue Cost'!$H$9,0,10,B28-1,B28,1.5))</f>
        <v>0</v>
      </c>
      <c r="F28">
        <v>20</v>
      </c>
      <c r="G28" s="6">
        <f>IF(F28&gt;Data!$I$21*Data!$I$12,0,IF(F28&gt;Data!$I$12+7,0,IF(F28&gt;Data!$I$12,VDB(Data!$I$10*(1+Data!$D$37)^(Data!$I$12-1),0,7,F28-Data!$I$12-1,F28-Data!$I$12,1.5),IF(F28&gt;7,0,VDB(Data!$I$10,0,7,F28-1,F28,1.5)))))</f>
        <v>0</v>
      </c>
      <c r="H28" s="6">
        <f>IF(F28&gt;10,0,VDB(Data!$I$11,0,10,F28-1,F28,1.5))</f>
        <v>0</v>
      </c>
      <c r="J28">
        <v>20</v>
      </c>
      <c r="K28" s="6">
        <f>IF(J28&gt;Data!$H$22,0,IF(J28&gt;'Revenue Cost'!$H$10+10,0,IF(J28&gt;'Revenue Cost'!$H$10,'Revenue Cost'!$H$8*(1+Data!$D$37)^('Revenue Cost'!$H$10-1)/10,IF(J28&gt;10,0,'Revenue Cost'!$H$8/10))))</f>
        <v>66514.809457473719</v>
      </c>
      <c r="L28" s="6">
        <f>IF(J28&gt;15,0,'Revenue Cost'!$H$9/15)</f>
        <v>0</v>
      </c>
      <c r="N28">
        <v>20</v>
      </c>
      <c r="O28" s="6">
        <f>IF(N28&gt;Data!$I$22,0, IF(N28&gt;Data!$I$12+10,0, IF(N28&gt;Data!$I$12,Data!$I$10*(1+Data!$D$37)^(Data!$I$12-1)/10,IF(N28&gt;10,0,Data!$I$10/10))))</f>
        <v>0</v>
      </c>
      <c r="P28" s="6">
        <f>IF(N28&gt;15,0,Data!$I$11/15)</f>
        <v>0</v>
      </c>
    </row>
    <row r="29" spans="2:16" x14ac:dyDescent="0.2">
      <c r="B29">
        <v>21</v>
      </c>
      <c r="C29" s="6">
        <f>IF(B29&gt;Data!$H$21*'Revenue Cost'!$H$10,0,IF(B29&gt;'Revenue Cost'!$H$10+7,0,IF(B29&gt;'Revenue Cost'!$H$10,VDB('Revenue Cost'!$H$8*(1+Data!$D$37)^('Revenue Cost'!$H$10-1),0,7,B29-'Revenue Cost'!$H$10-1,B29-'Revenue Cost'!$H$10,1.5),IF(B29&gt;7,0,VDB('Revenue Cost'!$H$8,0,7,B29-1,B29,1.5)))))</f>
        <v>80658.90250355094</v>
      </c>
      <c r="D29" s="6">
        <f>IF(B29&gt;10,0,VDB('Revenue Cost'!$H$9,0,10,B29-1,B29,1.5))</f>
        <v>0</v>
      </c>
      <c r="F29">
        <v>21</v>
      </c>
      <c r="G29" s="6">
        <f>IF(F29&gt;Data!$I$21*Data!$I$12,0,IF(F29&gt;Data!$I$12+7,0,IF(F29&gt;Data!$I$12,VDB(Data!$I$10*(1+Data!$D$37)^(Data!$I$12-1),0,7,F29-Data!$I$12-1,F29-Data!$I$12,1.5),IF(F29&gt;7,0,VDB(Data!$I$10,0,7,F29-1,F29,1.5)))))</f>
        <v>0</v>
      </c>
      <c r="H29" s="6">
        <f>IF(F29&gt;10,0,VDB(Data!$I$11,0,10,F29-1,F29,1.5))</f>
        <v>0</v>
      </c>
      <c r="J29">
        <v>21</v>
      </c>
      <c r="K29" s="6">
        <f>IF(J29&gt;Data!$H$22,0,IF(J29&gt;'Revenue Cost'!$H$10+10,0,IF(J29&gt;'Revenue Cost'!$H$10,'Revenue Cost'!$H$8*(1+Data!$D$37)^('Revenue Cost'!$H$10-1)/10,IF(J29&gt;10,0,'Revenue Cost'!$H$8/10))))</f>
        <v>66514.809457473719</v>
      </c>
      <c r="L29" s="6">
        <f>IF(J29&gt;15,0,'Revenue Cost'!$H$9/15)</f>
        <v>0</v>
      </c>
      <c r="N29">
        <v>21</v>
      </c>
      <c r="O29" s="6">
        <f>IF(N29&gt;Data!$I$22,0, IF(N29&gt;Data!$I$12+10,0, IF(N29&gt;Data!$I$12,Data!$I$10*(1+Data!$D$37)^(Data!$I$12-1)/10,IF(N29&gt;10,0,Data!$I$10/10))))</f>
        <v>0</v>
      </c>
      <c r="P29" s="6">
        <f>IF(N29&gt;15,0,Data!$I$11/15)</f>
        <v>0</v>
      </c>
    </row>
    <row r="30" spans="2:16" x14ac:dyDescent="0.2">
      <c r="B30">
        <v>22</v>
      </c>
      <c r="C30" s="6">
        <f>IF(B30&gt;Data!$H$21*'Revenue Cost'!$H$10,0,IF(B30&gt;'Revenue Cost'!$H$10+7,0,IF(B30&gt;'Revenue Cost'!$H$10,VDB('Revenue Cost'!$H$8*(1+Data!$D$37)^('Revenue Cost'!$H$10-1),0,7,B30-'Revenue Cost'!$H$10-1,B30-'Revenue Cost'!$H$10,1.5),IF(B30&gt;7,0,VDB('Revenue Cost'!$H$8,0,7,B30-1,B30,1.5)))))</f>
        <v>80658.90250355094</v>
      </c>
      <c r="D30" s="6">
        <f>IF(B30&gt;10,0,VDB('Revenue Cost'!$H$9,0,10,B30-1,B30,1.5))</f>
        <v>0</v>
      </c>
      <c r="F30">
        <v>22</v>
      </c>
      <c r="G30" s="6">
        <f>IF(F30&gt;Data!$I$21*Data!$I$12,0,IF(F30&gt;Data!$I$12+7,0,IF(F30&gt;Data!$I$12,VDB(Data!$I$10*(1+Data!$D$37)^(Data!$I$12-1),0,7,F30-Data!$I$12-1,F30-Data!$I$12,1.5),IF(F30&gt;7,0,VDB(Data!$I$10,0,7,F30-1,F30,1.5)))))</f>
        <v>0</v>
      </c>
      <c r="H30" s="6">
        <f>IF(F30&gt;10,0,VDB(Data!$I$11,0,10,F30-1,F30,1.5))</f>
        <v>0</v>
      </c>
      <c r="J30">
        <v>22</v>
      </c>
      <c r="K30" s="6">
        <f>IF(J30&gt;Data!$H$22,0,IF(J30&gt;'Revenue Cost'!$H$10+10,0,IF(J30&gt;'Revenue Cost'!$H$10,'Revenue Cost'!$H$8*(1+Data!$D$37)^('Revenue Cost'!$H$10-1)/10,IF(J30&gt;10,0,'Revenue Cost'!$H$8/10))))</f>
        <v>66514.809457473719</v>
      </c>
      <c r="L30" s="6">
        <f>IF(J30&gt;15,0,'Revenue Cost'!$H$9/15)</f>
        <v>0</v>
      </c>
      <c r="N30">
        <v>22</v>
      </c>
      <c r="O30" s="6">
        <f>IF(N30&gt;Data!$I$22,0, IF(N30&gt;Data!$I$12+10,0, IF(N30&gt;Data!$I$12,Data!$I$10*(1+Data!$D$37)^(Data!$I$12-1)/10,IF(N30&gt;10,0,Data!$I$10/10))))</f>
        <v>0</v>
      </c>
      <c r="P30" s="6">
        <f>IF(N30&gt;15,0,Data!$I$11/15)</f>
        <v>0</v>
      </c>
    </row>
    <row r="31" spans="2:16" x14ac:dyDescent="0.2">
      <c r="B31">
        <v>23</v>
      </c>
      <c r="C31" s="6">
        <f>IF(B31&gt;Data!$H$21*'Revenue Cost'!$H$10,0,IF(B31&gt;'Revenue Cost'!$H$10+7,0,IF(B31&gt;'Revenue Cost'!$H$10,VDB('Revenue Cost'!$H$8*(1+Data!$D$37)^('Revenue Cost'!$H$10-1),0,7,B31-'Revenue Cost'!$H$10-1,B31-'Revenue Cost'!$H$10,1.5),IF(B31&gt;7,0,VDB('Revenue Cost'!$H$8,0,7,B31-1,B31,1.5)))))</f>
        <v>0</v>
      </c>
      <c r="D31" s="6">
        <f>IF(B31&gt;10,0,VDB('Revenue Cost'!$H$9,0,10,B31-1,B31,1.5))</f>
        <v>0</v>
      </c>
      <c r="F31">
        <v>23</v>
      </c>
      <c r="G31" s="6">
        <f>IF(F31&gt;Data!$I$21*Data!$I$12,0,IF(F31&gt;Data!$I$12+7,0,IF(F31&gt;Data!$I$12,VDB(Data!$I$10*(1+Data!$D$37)^(Data!$I$12-1),0,7,F31-Data!$I$12-1,F31-Data!$I$12,1.5),IF(F31&gt;7,0,VDB(Data!$I$10,0,7,F31-1,F31,1.5)))))</f>
        <v>0</v>
      </c>
      <c r="H31" s="6">
        <f>IF(F31&gt;10,0,VDB(Data!$I$11,0,10,F31-1,F31,1.5))</f>
        <v>0</v>
      </c>
      <c r="J31">
        <v>23</v>
      </c>
      <c r="K31" s="6">
        <f>IF(J31&gt;Data!$H$22,0,IF(J31&gt;'Revenue Cost'!$H$10+10,0,IF(J31&gt;'Revenue Cost'!$H$10,'Revenue Cost'!$H$8*(1+Data!$D$37)^('Revenue Cost'!$H$10-1)/10,IF(J31&gt;10,0,'Revenue Cost'!$H$8/10))))</f>
        <v>66514.809457473719</v>
      </c>
      <c r="L31" s="6">
        <f>IF(J31&gt;15,0,'Revenue Cost'!$H$9/15)</f>
        <v>0</v>
      </c>
      <c r="N31">
        <v>23</v>
      </c>
      <c r="O31" s="6">
        <f>IF(N31&gt;Data!$I$22,0, IF(N31&gt;Data!$I$12+10,0, IF(N31&gt;Data!$I$12,Data!$I$10*(1+Data!$D$37)^(Data!$I$12-1)/10,IF(N31&gt;10,0,Data!$I$10/10))))</f>
        <v>0</v>
      </c>
      <c r="P31" s="6">
        <f>IF(N31&gt;15,0,Data!$I$11/15)</f>
        <v>0</v>
      </c>
    </row>
    <row r="32" spans="2:16" x14ac:dyDescent="0.2">
      <c r="B32">
        <v>24</v>
      </c>
      <c r="C32" s="6">
        <f>IF(B32&gt;Data!$H$21*'Revenue Cost'!$H$10,0,IF(B32&gt;'Revenue Cost'!$H$10+7,0,IF(B32&gt;'Revenue Cost'!$H$10,VDB('Revenue Cost'!$H$8*(1+Data!$D$37)^('Revenue Cost'!$H$10-1),0,7,B32-'Revenue Cost'!$H$10-1,B32-'Revenue Cost'!$H$10,1.5),IF(B32&gt;7,0,VDB('Revenue Cost'!$H$8,0,7,B32-1,B32,1.5)))))</f>
        <v>0</v>
      </c>
      <c r="D32" s="6">
        <f>IF(B32&gt;10,0,VDB('Revenue Cost'!$H$9,0,10,B32-1,B32,1.5))</f>
        <v>0</v>
      </c>
      <c r="F32">
        <v>24</v>
      </c>
      <c r="G32" s="6">
        <f>IF(F32&gt;Data!$I$21*Data!$I$12,0,IF(F32&gt;Data!$I$12+7,0,IF(F32&gt;Data!$I$12,VDB(Data!$I$10*(1+Data!$D$37)^(Data!$I$12-1),0,7,F32-Data!$I$12-1,F32-Data!$I$12,1.5),IF(F32&gt;7,0,VDB(Data!$I$10,0,7,F32-1,F32,1.5)))))</f>
        <v>0</v>
      </c>
      <c r="H32" s="6">
        <f>IF(F32&gt;10,0,VDB(Data!$I$11,0,10,F32-1,F32,1.5))</f>
        <v>0</v>
      </c>
      <c r="J32">
        <v>24</v>
      </c>
      <c r="K32" s="6">
        <f>IF(J32&gt;Data!$H$22,0,IF(J32&gt;'Revenue Cost'!$H$10+10,0,IF(J32&gt;'Revenue Cost'!$H$10,'Revenue Cost'!$H$8*(1+Data!$D$37)^('Revenue Cost'!$H$10-1)/10,IF(J32&gt;10,0,'Revenue Cost'!$H$8/10))))</f>
        <v>66514.809457473719</v>
      </c>
      <c r="L32" s="6">
        <f>IF(J32&gt;15,0,'Revenue Cost'!$H$9/15)</f>
        <v>0</v>
      </c>
      <c r="N32">
        <v>24</v>
      </c>
      <c r="O32" s="6">
        <f>IF(N32&gt;Data!$I$22,0, IF(N32&gt;Data!$I$12+10,0, IF(N32&gt;Data!$I$12,Data!$I$10*(1+Data!$D$37)^(Data!$I$12-1)/10,IF(N32&gt;10,0,Data!$I$10/10))))</f>
        <v>0</v>
      </c>
      <c r="P32" s="6">
        <f>IF(N32&gt;15,0,Data!$I$11/15)</f>
        <v>0</v>
      </c>
    </row>
    <row r="33" spans="2:16" x14ac:dyDescent="0.2">
      <c r="B33">
        <v>25</v>
      </c>
      <c r="C33" s="6">
        <f>IF(B33&gt;Data!$H$21*'Revenue Cost'!$H$10,0,IF(B33&gt;'Revenue Cost'!$H$10+7,0,IF(B33&gt;'Revenue Cost'!$H$10,VDB('Revenue Cost'!$H$8*(1+Data!$D$37)^('Revenue Cost'!$H$10-1),0,7,B33-'Revenue Cost'!$H$10-1,B33-'Revenue Cost'!$H$10,1.5),IF(B33&gt;7,0,VDB('Revenue Cost'!$H$8,0,7,B33-1,B33,1.5)))))</f>
        <v>0</v>
      </c>
      <c r="D33" s="6">
        <f>IF(B33&gt;10,0,VDB('Revenue Cost'!$H$9,0,10,B33-1,B33,1.5))</f>
        <v>0</v>
      </c>
      <c r="F33">
        <v>25</v>
      </c>
      <c r="G33" s="6">
        <f>IF(F33&gt;Data!$I$21*Data!$I$12,0,IF(F33&gt;Data!$I$12+7,0,IF(F33&gt;Data!$I$12,VDB(Data!$I$10*(1+Data!$D$37)^(Data!$I$12-1),0,7,F33-Data!$I$12-1,F33-Data!$I$12,1.5),IF(F33&gt;7,0,VDB(Data!$I$10,0,7,F33-1,F33,1.5)))))</f>
        <v>0</v>
      </c>
      <c r="H33" s="6">
        <f>IF(F33&gt;10,0,VDB(Data!$I$11,0,10,F33-1,F33,1.5))</f>
        <v>0</v>
      </c>
      <c r="J33">
        <v>25</v>
      </c>
      <c r="K33" s="6">
        <f>IF(J33&gt;Data!$H$22,0,IF(J33&gt;'Revenue Cost'!$H$10+10,0,IF(J33&gt;'Revenue Cost'!$H$10,'Revenue Cost'!$H$8*(1+Data!$D$37)^('Revenue Cost'!$H$10-1)/10,IF(J33&gt;10,0,'Revenue Cost'!$H$8/10))))</f>
        <v>66514.809457473719</v>
      </c>
      <c r="L33" s="6">
        <f>IF(J33&gt;15,0,'Revenue Cost'!$H$9/15)</f>
        <v>0</v>
      </c>
      <c r="N33">
        <v>25</v>
      </c>
      <c r="O33" s="6">
        <f>IF(N33&gt;Data!$I$22,0, IF(N33&gt;Data!$I$12+10,0, IF(N33&gt;Data!$I$12,Data!$I$10*(1+Data!$D$37)^(Data!$I$12-1)/10,IF(N33&gt;10,0,Data!$I$10/10))))</f>
        <v>0</v>
      </c>
      <c r="P33" s="6">
        <f>IF(N33&gt;15,0,Data!$I$11/15)</f>
        <v>0</v>
      </c>
    </row>
    <row r="34" spans="2:16" x14ac:dyDescent="0.2">
      <c r="B34">
        <v>26</v>
      </c>
      <c r="C34" s="6">
        <f>IF(B34&gt;Data!$H$21*'Revenue Cost'!$H$10,0,IF(B34&gt;'Revenue Cost'!$H$10+7,0,IF(B34&gt;'Revenue Cost'!$H$10,VDB('Revenue Cost'!$H$8*(1+Data!$D$37)^('Revenue Cost'!$H$10-1),0,7,B34-'Revenue Cost'!$H$10-1,B34-'Revenue Cost'!$H$10,1.5),IF(B34&gt;7,0,VDB('Revenue Cost'!$H$8,0,7,B34-1,B34,1.5)))))</f>
        <v>0</v>
      </c>
      <c r="D34" s="6">
        <f>IF(B34&gt;10,0,VDB('Revenue Cost'!$H$9,0,10,B34-1,B34,1.5))</f>
        <v>0</v>
      </c>
      <c r="F34">
        <v>26</v>
      </c>
      <c r="G34" s="6">
        <f>IF(F34&gt;Data!$I$21*Data!$I$12,0,IF(F34&gt;Data!$I$12+7,0,IF(F34&gt;Data!$I$12,VDB(Data!$I$10*(1+Data!$D$37)^(Data!$I$12-1),0,7,F34-Data!$I$12-1,F34-Data!$I$12,1.5),IF(F34&gt;7,0,VDB(Data!$I$10,0,7,F34-1,F34,1.5)))))</f>
        <v>0</v>
      </c>
      <c r="H34" s="6">
        <f>IF(F34&gt;10,0,VDB(Data!$I$11,0,10,F34-1,F34,1.5))</f>
        <v>0</v>
      </c>
      <c r="J34">
        <v>26</v>
      </c>
      <c r="K34" s="6">
        <f>IF(J34&gt;Data!$H$22,0,IF(J34&gt;'Revenue Cost'!$H$10+10,0,IF(J34&gt;'Revenue Cost'!$H$10,'Revenue Cost'!$H$8*(1+Data!$D$37)^('Revenue Cost'!$H$10-1)/10,IF(J34&gt;10,0,'Revenue Cost'!$H$8/10))))</f>
        <v>0</v>
      </c>
      <c r="L34" s="6">
        <f>IF(J34&gt;15,0,'Revenue Cost'!$H$9/15)</f>
        <v>0</v>
      </c>
      <c r="N34">
        <v>26</v>
      </c>
      <c r="O34" s="6">
        <f>IF(N34&gt;Data!$I$22,0, IF(N34&gt;Data!$I$12+10,0, IF(N34&gt;Data!$I$12,Data!$I$10*(1+Data!$D$37)^(Data!$I$12-1)/10,IF(N34&gt;10,0,Data!$I$10/10))))</f>
        <v>0</v>
      </c>
      <c r="P34" s="6">
        <f>IF(N34&gt;15,0,Data!$I$11/15)</f>
        <v>0</v>
      </c>
    </row>
    <row r="35" spans="2:16" x14ac:dyDescent="0.2">
      <c r="B35">
        <v>27</v>
      </c>
      <c r="C35" s="6">
        <f>IF(B35&gt;Data!$H$21*'Revenue Cost'!$H$10,0,IF(B35&gt;'Revenue Cost'!$H$10+7,0,IF(B35&gt;'Revenue Cost'!$H$10,VDB('Revenue Cost'!$H$8*(1+Data!$D$37)^('Revenue Cost'!$H$10-1),0,7,B35-'Revenue Cost'!$H$10-1,B35-'Revenue Cost'!$H$10,1.5),IF(B35&gt;7,0,VDB('Revenue Cost'!$H$8,0,7,B35-1,B35,1.5)))))</f>
        <v>0</v>
      </c>
      <c r="D35" s="6">
        <f>IF(B35&gt;10,0,VDB('Revenue Cost'!$H$9,0,10,B35-1,B35,1.5))</f>
        <v>0</v>
      </c>
      <c r="F35">
        <v>27</v>
      </c>
      <c r="G35" s="6">
        <f>IF(F35&gt;Data!$I$21*Data!$I$12,0,IF(F35&gt;Data!$I$12+7,0,IF(F35&gt;Data!$I$12,VDB(Data!$I$10*(1+Data!$D$37)^(Data!$I$12-1),0,7,F35-Data!$I$12-1,F35-Data!$I$12,1.5),IF(F35&gt;7,0,VDB(Data!$I$10,0,7,F35-1,F35,1.5)))))</f>
        <v>0</v>
      </c>
      <c r="H35" s="6">
        <f>IF(F35&gt;10,0,VDB(Data!$I$11,0,10,F35-1,F35,1.5))</f>
        <v>0</v>
      </c>
      <c r="J35">
        <v>27</v>
      </c>
      <c r="K35" s="6">
        <f>IF(J35&gt;Data!$H$22,0,IF(J35&gt;'Revenue Cost'!$H$10+10,0,IF(J35&gt;'Revenue Cost'!$H$10,'Revenue Cost'!$H$8*(1+Data!$D$37)^('Revenue Cost'!$H$10-1)/10,IF(J35&gt;10,0,'Revenue Cost'!$H$8/10))))</f>
        <v>0</v>
      </c>
      <c r="L35" s="6">
        <f>IF(J35&gt;15,0,'Revenue Cost'!$H$9/15)</f>
        <v>0</v>
      </c>
      <c r="N35">
        <v>27</v>
      </c>
      <c r="O35" s="6">
        <f>IF(N35&gt;Data!$I$22,0, IF(N35&gt;Data!$I$12+10,0, IF(N35&gt;Data!$I$12,Data!$I$10*(1+Data!$D$37)^(Data!$I$12-1)/10,IF(N35&gt;10,0,Data!$I$10/10))))</f>
        <v>0</v>
      </c>
      <c r="P35" s="6">
        <f>IF(N35&gt;15,0,Data!$I$11/15)</f>
        <v>0</v>
      </c>
    </row>
    <row r="36" spans="2:16" x14ac:dyDescent="0.2">
      <c r="B36">
        <v>28</v>
      </c>
      <c r="C36" s="6">
        <f>IF(B36&gt;Data!$H$21*'Revenue Cost'!$H$10,0,IF(B36&gt;'Revenue Cost'!$H$10+7,0,IF(B36&gt;'Revenue Cost'!$H$10,VDB('Revenue Cost'!$H$8*(1+Data!$D$37)^('Revenue Cost'!$H$10-1),0,7,B36-'Revenue Cost'!$H$10-1,B36-'Revenue Cost'!$H$10,1.5),IF(B36&gt;7,0,VDB('Revenue Cost'!$H$8,0,7,B36-1,B36,1.5)))))</f>
        <v>0</v>
      </c>
      <c r="D36" s="6">
        <f>IF(B36&gt;10,0,VDB('Revenue Cost'!$H$9,0,10,B36-1,B36,1.5))</f>
        <v>0</v>
      </c>
      <c r="F36">
        <v>28</v>
      </c>
      <c r="G36" s="6">
        <f>IF(F36&gt;Data!$I$21*Data!$I$12,0,IF(F36&gt;Data!$I$12+7,0,IF(F36&gt;Data!$I$12,VDB(Data!$I$10*(1+Data!$D$37)^(Data!$I$12-1),0,7,F36-Data!$I$12-1,F36-Data!$I$12,1.5),IF(F36&gt;7,0,VDB(Data!$I$10,0,7,F36-1,F36,1.5)))))</f>
        <v>0</v>
      </c>
      <c r="H36" s="6">
        <f>IF(F36&gt;10,0,VDB(Data!$I$11,0,10,F36-1,F36,1.5))</f>
        <v>0</v>
      </c>
      <c r="J36">
        <v>28</v>
      </c>
      <c r="K36" s="6">
        <f>IF(J36&gt;Data!$H$22,0,IF(J36&gt;'Revenue Cost'!$H$10+10,0,IF(J36&gt;'Revenue Cost'!$H$10,'Revenue Cost'!$H$8*(1+Data!$D$37)^('Revenue Cost'!$H$10-1)/10,IF(J36&gt;10,0,'Revenue Cost'!$H$8/10))))</f>
        <v>0</v>
      </c>
      <c r="L36" s="6">
        <f>IF(J36&gt;15,0,'Revenue Cost'!$H$9/15)</f>
        <v>0</v>
      </c>
      <c r="N36">
        <v>28</v>
      </c>
      <c r="O36" s="6">
        <f>IF(N36&gt;Data!$I$22,0, IF(N36&gt;Data!$I$12+10,0, IF(N36&gt;Data!$I$12,Data!$I$10*(1+Data!$D$37)^(Data!$I$12-1)/10,IF(N36&gt;10,0,Data!$I$10/10))))</f>
        <v>0</v>
      </c>
      <c r="P36" s="6">
        <f>IF(N36&gt;15,0,Data!$I$11/15)</f>
        <v>0</v>
      </c>
    </row>
    <row r="37" spans="2:16" x14ac:dyDescent="0.2">
      <c r="B37">
        <v>29</v>
      </c>
      <c r="C37" s="6">
        <f>IF(B37&gt;Data!$H$21*'Revenue Cost'!$H$10,0,IF(B37&gt;'Revenue Cost'!$H$10+7,0,IF(B37&gt;'Revenue Cost'!$H$10,VDB('Revenue Cost'!$H$8*(1+Data!$D$37)^('Revenue Cost'!$H$10-1),0,7,B37-'Revenue Cost'!$H$10-1,B37-'Revenue Cost'!$H$10,1.5),IF(B37&gt;7,0,VDB('Revenue Cost'!$H$8,0,7,B37-1,B37,1.5)))))</f>
        <v>0</v>
      </c>
      <c r="D37" s="6">
        <f>IF(B37&gt;10,0,VDB('Revenue Cost'!$H$9,0,10,B37-1,B37,1.5))</f>
        <v>0</v>
      </c>
      <c r="F37">
        <v>29</v>
      </c>
      <c r="G37" s="6">
        <f>IF(F37&gt;Data!$I$21*Data!$I$12,0,IF(F37&gt;Data!$I$12+7,0,IF(F37&gt;Data!$I$12,VDB(Data!$I$10*(1+Data!$D$37)^(Data!$I$12-1),0,7,F37-Data!$I$12-1,F37-Data!$I$12,1.5),IF(F37&gt;7,0,VDB(Data!$I$10,0,7,F37-1,F37,1.5)))))</f>
        <v>0</v>
      </c>
      <c r="H37" s="6">
        <f>IF(F37&gt;10,0,VDB(Data!$I$11,0,10,F37-1,F37,1.5))</f>
        <v>0</v>
      </c>
      <c r="J37">
        <v>29</v>
      </c>
      <c r="K37" s="6">
        <f>IF(J37&gt;Data!$H$22,0,IF(J37&gt;'Revenue Cost'!$H$10+10,0,IF(J37&gt;'Revenue Cost'!$H$10,'Revenue Cost'!$H$8*(1+Data!$D$37)^('Revenue Cost'!$H$10-1)/10,IF(J37&gt;10,0,'Revenue Cost'!$H$8/10))))</f>
        <v>0</v>
      </c>
      <c r="L37" s="6">
        <f>IF(J37&gt;15,0,'Revenue Cost'!$H$9/15)</f>
        <v>0</v>
      </c>
      <c r="N37">
        <v>29</v>
      </c>
      <c r="O37" s="6">
        <f>IF(N37&gt;Data!$I$22,0, IF(N37&gt;Data!$I$12+10,0, IF(N37&gt;Data!$I$12,Data!$I$10*(1+Data!$D$37)^(Data!$I$12-1)/10,IF(N37&gt;10,0,Data!$I$10/10))))</f>
        <v>0</v>
      </c>
      <c r="P37" s="6">
        <f>IF(N37&gt;15,0,Data!$I$11/15)</f>
        <v>0</v>
      </c>
    </row>
    <row r="38" spans="2:16" x14ac:dyDescent="0.2">
      <c r="B38">
        <v>30</v>
      </c>
      <c r="C38" s="6">
        <f>IF(B38&gt;Data!$H$21*'Revenue Cost'!$H$10,0,IF(B38&gt;'Revenue Cost'!$H$10+7,0,IF(B38&gt;'Revenue Cost'!$H$10,VDB('Revenue Cost'!$H$8*(1+Data!$D$37)^('Revenue Cost'!$H$10-1),0,7,B38-'Revenue Cost'!$H$10-1,B38-'Revenue Cost'!$H$10,1.5),IF(B38&gt;7,0,VDB('Revenue Cost'!$H$8,0,7,B38-1,B38,1.5)))))</f>
        <v>0</v>
      </c>
      <c r="D38" s="6">
        <f>IF(B38&gt;10,0,VDB('Revenue Cost'!$H$9,0,10,B38-1,B38,1.5))</f>
        <v>0</v>
      </c>
      <c r="F38">
        <v>30</v>
      </c>
      <c r="G38" s="6">
        <f>IF(F38&gt;Data!$I$21*Data!$I$12,0,IF(F38&gt;Data!$I$12+7,0,IF(F38&gt;Data!$I$12,VDB(Data!$I$10*(1+Data!$D$37)^(Data!$I$12-1),0,7,F38-Data!$I$12-1,F38-Data!$I$12,1.5),IF(F38&gt;7,0,VDB(Data!$I$10,0,7,F38-1,F38,1.5)))))</f>
        <v>0</v>
      </c>
      <c r="H38" s="6">
        <f>IF(F38&gt;10,0,VDB(Data!$I$11,0,10,F38-1,F38,1.5))</f>
        <v>0</v>
      </c>
      <c r="J38">
        <v>30</v>
      </c>
      <c r="K38" s="6">
        <f>IF(J38&gt;Data!$H$22,0,IF(J38&gt;'Revenue Cost'!$H$10+10,0,IF(J38&gt;'Revenue Cost'!$H$10,'Revenue Cost'!$H$8*(1+Data!$D$37)^('Revenue Cost'!$H$10-1)/10,IF(J38&gt;10,0,'Revenue Cost'!$H$8/10))))</f>
        <v>0</v>
      </c>
      <c r="L38" s="6">
        <f>IF(J38&gt;15,0,'Revenue Cost'!$H$9/15)</f>
        <v>0</v>
      </c>
      <c r="N38">
        <v>30</v>
      </c>
      <c r="O38" s="6">
        <f>IF(N38&gt;Data!$I$22,0, IF(N38&gt;Data!$I$12+10,0, IF(N38&gt;Data!$I$12,Data!$I$10*(1+Data!$D$37)^(Data!$I$12-1)/10,IF(N38&gt;10,0,Data!$I$10/10))))</f>
        <v>0</v>
      </c>
      <c r="P38" s="6">
        <f>IF(N38&gt;15,0,Data!$I$11/15)</f>
        <v>0</v>
      </c>
    </row>
  </sheetData>
  <mergeCells count="1">
    <mergeCell ref="B2:E2"/>
  </mergeCells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K42"/>
  <sheetViews>
    <sheetView topLeftCell="A2" workbookViewId="0">
      <selection activeCell="H35" sqref="H35"/>
    </sheetView>
  </sheetViews>
  <sheetFormatPr baseColWidth="10" defaultColWidth="11" defaultRowHeight="16" x14ac:dyDescent="0.2"/>
  <cols>
    <col min="2" max="2" width="41.33203125" customWidth="1"/>
    <col min="3" max="3" width="12.33203125" customWidth="1"/>
    <col min="4" max="4" width="11.83203125" customWidth="1"/>
    <col min="5" max="5" width="13.83203125" customWidth="1"/>
  </cols>
  <sheetData>
    <row r="2" spans="2:5" ht="26" x14ac:dyDescent="0.3">
      <c r="B2" s="56" t="s">
        <v>105</v>
      </c>
    </row>
    <row r="4" spans="2:5" x14ac:dyDescent="0.2">
      <c r="B4" t="s">
        <v>96</v>
      </c>
    </row>
    <row r="5" spans="2:5" x14ac:dyDescent="0.2">
      <c r="B5" t="s">
        <v>98</v>
      </c>
    </row>
    <row r="6" spans="2:5" x14ac:dyDescent="0.2">
      <c r="B6" t="s">
        <v>97</v>
      </c>
    </row>
    <row r="8" spans="2:5" x14ac:dyDescent="0.2">
      <c r="B8" t="s">
        <v>104</v>
      </c>
    </row>
    <row r="10" spans="2:5" x14ac:dyDescent="0.2">
      <c r="B10" s="105" t="s">
        <v>194</v>
      </c>
      <c r="C10" s="105"/>
      <c r="D10" s="105"/>
      <c r="E10" s="105"/>
    </row>
    <row r="11" spans="2:5" x14ac:dyDescent="0.2">
      <c r="B11" s="43" t="s">
        <v>99</v>
      </c>
      <c r="C11" s="104">
        <v>-60000</v>
      </c>
      <c r="D11" s="104">
        <v>-80000</v>
      </c>
      <c r="E11" s="104">
        <v>-100000</v>
      </c>
    </row>
    <row r="12" spans="2:5" x14ac:dyDescent="0.2">
      <c r="B12" s="43" t="s">
        <v>95</v>
      </c>
      <c r="C12" s="104">
        <v>-10000</v>
      </c>
      <c r="D12" s="104">
        <v>-20000</v>
      </c>
      <c r="E12" s="104">
        <v>-30000</v>
      </c>
    </row>
    <row r="13" spans="2:5" x14ac:dyDescent="0.2">
      <c r="B13" s="43" t="s">
        <v>94</v>
      </c>
      <c r="C13" s="104">
        <v>-20000</v>
      </c>
      <c r="D13" s="104">
        <v>-40000</v>
      </c>
      <c r="E13" s="104">
        <v>-60000</v>
      </c>
    </row>
    <row r="15" spans="2:5" x14ac:dyDescent="0.2">
      <c r="B15" s="38" t="s">
        <v>90</v>
      </c>
      <c r="C15" s="39" t="s">
        <v>91</v>
      </c>
      <c r="D15" s="39" t="s">
        <v>92</v>
      </c>
      <c r="E15" s="39" t="s">
        <v>93</v>
      </c>
    </row>
    <row r="16" spans="2:5" x14ac:dyDescent="0.2">
      <c r="B16" s="22" t="s">
        <v>99</v>
      </c>
      <c r="C16" s="37">
        <f>'Warning Criteria'!$J$42*C11</f>
        <v>-180000</v>
      </c>
      <c r="D16" s="37">
        <f>'Warning Criteria'!$J$42*D11</f>
        <v>-240000</v>
      </c>
      <c r="E16" s="37">
        <f>'Warning Criteria'!$J$42*E11</f>
        <v>-300000</v>
      </c>
    </row>
    <row r="17" spans="2:11" x14ac:dyDescent="0.2">
      <c r="B17" s="22" t="s">
        <v>95</v>
      </c>
      <c r="C17" s="37">
        <f>'Warning Criteria'!$J$42*C12</f>
        <v>-30000</v>
      </c>
      <c r="D17" s="37">
        <f>'Warning Criteria'!$J$42*D12</f>
        <v>-60000</v>
      </c>
      <c r="E17" s="37">
        <f>'Warning Criteria'!$J$42*E12</f>
        <v>-90000</v>
      </c>
    </row>
    <row r="18" spans="2:11" x14ac:dyDescent="0.2">
      <c r="B18" s="22" t="s">
        <v>94</v>
      </c>
      <c r="C18" s="37">
        <f>'Warning Criteria'!$J$42*C13</f>
        <v>-60000</v>
      </c>
      <c r="D18" s="37">
        <f>'Warning Criteria'!$J$42*D13</f>
        <v>-120000</v>
      </c>
      <c r="E18" s="37">
        <f>'Warning Criteria'!$J$42*E13</f>
        <v>-180000</v>
      </c>
    </row>
    <row r="20" spans="2:11" x14ac:dyDescent="0.2">
      <c r="B20" s="54" t="s">
        <v>185</v>
      </c>
      <c r="C20" s="54"/>
      <c r="D20" s="54"/>
      <c r="E20" s="54"/>
    </row>
    <row r="21" spans="2:11" x14ac:dyDescent="0.2">
      <c r="B21" s="54" t="s">
        <v>90</v>
      </c>
      <c r="C21" s="54" t="s">
        <v>99</v>
      </c>
      <c r="D21" s="54" t="s">
        <v>95</v>
      </c>
      <c r="E21" s="54" t="s">
        <v>94</v>
      </c>
    </row>
    <row r="22" spans="2:11" x14ac:dyDescent="0.2">
      <c r="B22" s="54" t="s">
        <v>91</v>
      </c>
      <c r="C22" s="86">
        <f>C16</f>
        <v>-180000</v>
      </c>
      <c r="D22" s="86">
        <f>C17</f>
        <v>-30000</v>
      </c>
      <c r="E22" s="86">
        <f>C18</f>
        <v>-60000</v>
      </c>
    </row>
    <row r="23" spans="2:11" x14ac:dyDescent="0.2">
      <c r="B23" s="54" t="s">
        <v>92</v>
      </c>
      <c r="C23" s="86">
        <f>D16</f>
        <v>-240000</v>
      </c>
      <c r="D23" s="86">
        <f>D17</f>
        <v>-60000</v>
      </c>
      <c r="E23" s="86">
        <f>D18</f>
        <v>-120000</v>
      </c>
    </row>
    <row r="24" spans="2:11" x14ac:dyDescent="0.2">
      <c r="B24" s="54" t="s">
        <v>93</v>
      </c>
      <c r="C24" s="86">
        <f>E16+E16</f>
        <v>-600000</v>
      </c>
      <c r="D24" s="86">
        <f>E17</f>
        <v>-90000</v>
      </c>
      <c r="E24" s="86">
        <f>E18</f>
        <v>-180000</v>
      </c>
    </row>
    <row r="27" spans="2:11" ht="16" customHeight="1" x14ac:dyDescent="0.25">
      <c r="C27" s="10" t="s">
        <v>187</v>
      </c>
    </row>
    <row r="28" spans="2:11" x14ac:dyDescent="0.2">
      <c r="C28" s="54"/>
    </row>
    <row r="29" spans="2:11" x14ac:dyDescent="0.2">
      <c r="D29" s="19" t="s">
        <v>199</v>
      </c>
      <c r="F29" s="19" t="s">
        <v>116</v>
      </c>
      <c r="G29" s="19" t="s">
        <v>113</v>
      </c>
      <c r="H29" s="19" t="s">
        <v>114</v>
      </c>
      <c r="J29" s="19" t="s">
        <v>111</v>
      </c>
      <c r="K29" s="19" t="s">
        <v>112</v>
      </c>
    </row>
    <row r="30" spans="2:11" x14ac:dyDescent="0.2">
      <c r="C30" t="s">
        <v>136</v>
      </c>
      <c r="D30" s="50" t="s">
        <v>137</v>
      </c>
      <c r="F30" t="s">
        <v>115</v>
      </c>
      <c r="G30">
        <v>60</v>
      </c>
      <c r="H30">
        <v>5</v>
      </c>
      <c r="J30">
        <v>1</v>
      </c>
      <c r="K30" t="s">
        <v>120</v>
      </c>
    </row>
    <row r="31" spans="2:11" x14ac:dyDescent="0.2">
      <c r="C31">
        <v>1</v>
      </c>
      <c r="D31" s="24">
        <f>Results!$D$16</f>
        <v>5847.6208326920741</v>
      </c>
      <c r="F31" t="s">
        <v>117</v>
      </c>
      <c r="G31">
        <v>1</v>
      </c>
      <c r="H31">
        <v>1</v>
      </c>
      <c r="J31">
        <v>2</v>
      </c>
      <c r="K31" t="s">
        <v>121</v>
      </c>
    </row>
    <row r="32" spans="2:11" x14ac:dyDescent="0.2">
      <c r="C32">
        <v>2</v>
      </c>
      <c r="D32" s="24">
        <f>Results!$D$16</f>
        <v>5847.6208326920741</v>
      </c>
      <c r="F32" t="s">
        <v>2</v>
      </c>
      <c r="G32">
        <v>7</v>
      </c>
      <c r="H32">
        <v>1</v>
      </c>
      <c r="J32">
        <v>3</v>
      </c>
      <c r="K32" t="s">
        <v>122</v>
      </c>
    </row>
    <row r="33" spans="3:11" x14ac:dyDescent="0.2">
      <c r="C33">
        <v>3</v>
      </c>
      <c r="D33" s="24">
        <f>Results!$D$16</f>
        <v>5847.6208326920741</v>
      </c>
      <c r="F33" t="s">
        <v>118</v>
      </c>
      <c r="G33">
        <v>80000</v>
      </c>
      <c r="H33">
        <v>20000</v>
      </c>
      <c r="J33">
        <v>4</v>
      </c>
      <c r="K33" t="s">
        <v>123</v>
      </c>
    </row>
    <row r="34" spans="3:11" x14ac:dyDescent="0.2">
      <c r="C34">
        <v>4</v>
      </c>
      <c r="D34" s="24">
        <f>Results!$D$16</f>
        <v>5847.6208326920741</v>
      </c>
      <c r="F34" t="s">
        <v>119</v>
      </c>
      <c r="G34">
        <v>0</v>
      </c>
      <c r="H34">
        <v>80000</v>
      </c>
      <c r="J34">
        <v>5</v>
      </c>
      <c r="K34" t="s">
        <v>124</v>
      </c>
    </row>
    <row r="35" spans="3:11" x14ac:dyDescent="0.2">
      <c r="C35">
        <v>5</v>
      </c>
      <c r="D35" s="24">
        <f>Results!$D$16</f>
        <v>5847.6208326920741</v>
      </c>
      <c r="F35" t="s">
        <v>299</v>
      </c>
      <c r="G35">
        <v>0</v>
      </c>
      <c r="H35">
        <v>2000</v>
      </c>
      <c r="J35">
        <v>6</v>
      </c>
      <c r="K35" t="s">
        <v>125</v>
      </c>
    </row>
    <row r="36" spans="3:11" x14ac:dyDescent="0.2">
      <c r="C36">
        <v>6</v>
      </c>
      <c r="D36" s="24">
        <f>Results!$D$16</f>
        <v>5847.6208326920741</v>
      </c>
      <c r="J36">
        <v>7</v>
      </c>
      <c r="K36" t="s">
        <v>126</v>
      </c>
    </row>
    <row r="37" spans="3:11" x14ac:dyDescent="0.2">
      <c r="C37">
        <v>7</v>
      </c>
      <c r="D37" s="24">
        <f>Results!$D$16</f>
        <v>5847.6208326920741</v>
      </c>
      <c r="J37">
        <v>8</v>
      </c>
      <c r="K37" t="s">
        <v>127</v>
      </c>
    </row>
    <row r="38" spans="3:11" x14ac:dyDescent="0.2">
      <c r="C38">
        <v>8</v>
      </c>
      <c r="D38" s="24">
        <f>Results!$D$16</f>
        <v>5847.6208326920741</v>
      </c>
      <c r="J38">
        <v>9</v>
      </c>
      <c r="K38" t="s">
        <v>128</v>
      </c>
    </row>
    <row r="39" spans="3:11" x14ac:dyDescent="0.2">
      <c r="C39">
        <v>9</v>
      </c>
      <c r="D39" s="24">
        <f>Results!$D$16</f>
        <v>5847.6208326920741</v>
      </c>
      <c r="J39">
        <v>10</v>
      </c>
      <c r="K39" t="s">
        <v>129</v>
      </c>
    </row>
    <row r="40" spans="3:11" x14ac:dyDescent="0.2">
      <c r="C40">
        <v>10</v>
      </c>
      <c r="D40" s="24">
        <f>Results!$D$16</f>
        <v>5847.6208326920741</v>
      </c>
    </row>
    <row r="41" spans="3:11" x14ac:dyDescent="0.2">
      <c r="C41">
        <v>11</v>
      </c>
      <c r="D41" s="24">
        <f>Results!$D$16</f>
        <v>5847.6208326920741</v>
      </c>
      <c r="J41" s="19" t="s">
        <v>287</v>
      </c>
    </row>
    <row r="42" spans="3:11" x14ac:dyDescent="0.2">
      <c r="C42">
        <v>12</v>
      </c>
      <c r="D42" s="24">
        <f>Results!$D$16</f>
        <v>5847.6208326920741</v>
      </c>
      <c r="J42">
        <f>MIN(MAX(FLOOR((Data!D10+30)/60,1),1),10)</f>
        <v>3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2:L27"/>
  <sheetViews>
    <sheetView showGridLines="0" workbookViewId="0"/>
  </sheetViews>
  <sheetFormatPr baseColWidth="10" defaultColWidth="10.83203125" defaultRowHeight="16" x14ac:dyDescent="0.2"/>
  <cols>
    <col min="1" max="5" width="10.83203125" style="57"/>
    <col min="6" max="6" width="9" style="57" customWidth="1"/>
    <col min="7" max="7" width="18.5" style="57" customWidth="1"/>
    <col min="8" max="8" width="24.6640625" style="57" customWidth="1"/>
    <col min="9" max="16384" width="10.83203125" style="57"/>
  </cols>
  <sheetData>
    <row r="2" spans="2:12" ht="30" x14ac:dyDescent="0.2">
      <c r="B2" s="177" t="s">
        <v>172</v>
      </c>
      <c r="C2" s="177"/>
      <c r="D2" s="177"/>
      <c r="E2" s="177"/>
      <c r="F2" s="177"/>
      <c r="G2" s="177"/>
      <c r="H2" s="177"/>
      <c r="I2" s="71"/>
      <c r="J2" s="71"/>
      <c r="K2" s="71"/>
      <c r="L2" s="71"/>
    </row>
    <row r="3" spans="2:12" ht="20" x14ac:dyDescent="0.2">
      <c r="C3" s="58"/>
      <c r="D3" s="58"/>
      <c r="E3" s="58"/>
      <c r="F3" s="70"/>
      <c r="G3" s="70"/>
      <c r="H3" s="70"/>
      <c r="I3" s="70"/>
      <c r="J3" s="65"/>
      <c r="K3" s="65"/>
      <c r="L3" s="65"/>
    </row>
    <row r="4" spans="2:12" x14ac:dyDescent="0.2">
      <c r="B4" s="59"/>
      <c r="C4" s="59"/>
      <c r="D4" s="59"/>
      <c r="E4" s="59"/>
      <c r="F4" s="65" t="s">
        <v>159</v>
      </c>
      <c r="G4" s="65"/>
      <c r="H4" s="65"/>
      <c r="I4" s="65"/>
      <c r="J4" s="60"/>
      <c r="K4" s="60"/>
      <c r="L4" s="60"/>
    </row>
    <row r="5" spans="2:12" x14ac:dyDescent="0.2">
      <c r="C5" s="61"/>
      <c r="D5" s="61"/>
      <c r="E5" s="61"/>
      <c r="F5"/>
      <c r="G5" s="66" t="s">
        <v>160</v>
      </c>
      <c r="H5" s="57" t="s">
        <v>161</v>
      </c>
    </row>
    <row r="6" spans="2:12" x14ac:dyDescent="0.2">
      <c r="B6" s="62"/>
      <c r="D6" s="63"/>
    </row>
    <row r="7" spans="2:12" x14ac:dyDescent="0.2">
      <c r="F7" s="57" t="s">
        <v>157</v>
      </c>
      <c r="I7" s="64"/>
    </row>
    <row r="8" spans="2:12" x14ac:dyDescent="0.2">
      <c r="G8" s="67" t="s">
        <v>162</v>
      </c>
      <c r="H8" s="57" t="s">
        <v>165</v>
      </c>
      <c r="I8" s="64"/>
    </row>
    <row r="10" spans="2:12" x14ac:dyDescent="0.2">
      <c r="F10" s="68" t="s">
        <v>158</v>
      </c>
    </row>
    <row r="11" spans="2:12" x14ac:dyDescent="0.2">
      <c r="G11" s="67" t="s">
        <v>163</v>
      </c>
      <c r="H11" s="57" t="s">
        <v>164</v>
      </c>
      <c r="I11" s="64"/>
    </row>
    <row r="13" spans="2:12" x14ac:dyDescent="0.2">
      <c r="F13" s="57" t="s">
        <v>166</v>
      </c>
      <c r="I13" s="64"/>
    </row>
    <row r="14" spans="2:12" x14ac:dyDescent="0.2">
      <c r="G14" s="67" t="s">
        <v>167</v>
      </c>
      <c r="H14" s="57" t="s">
        <v>168</v>
      </c>
      <c r="I14" s="64"/>
    </row>
    <row r="15" spans="2:12" x14ac:dyDescent="0.2">
      <c r="I15" s="64"/>
    </row>
    <row r="16" spans="2:12" x14ac:dyDescent="0.2">
      <c r="F16" s="57" t="s">
        <v>169</v>
      </c>
    </row>
    <row r="17" spans="2:9" x14ac:dyDescent="0.2">
      <c r="G17" s="69" t="s">
        <v>170</v>
      </c>
      <c r="H17" t="s">
        <v>171</v>
      </c>
      <c r="I17" s="64"/>
    </row>
    <row r="18" spans="2:9" x14ac:dyDescent="0.2">
      <c r="I18" s="64"/>
    </row>
    <row r="19" spans="2:9" ht="17" thickBot="1" x14ac:dyDescent="0.25">
      <c r="I19" s="64"/>
    </row>
    <row r="20" spans="2:9" ht="30" customHeight="1" x14ac:dyDescent="0.2">
      <c r="B20" s="178" t="s">
        <v>173</v>
      </c>
      <c r="C20" s="179"/>
      <c r="D20" s="179"/>
      <c r="E20" s="179"/>
      <c r="F20" s="179"/>
      <c r="G20" s="179"/>
      <c r="H20" s="180"/>
      <c r="I20" s="64"/>
    </row>
    <row r="21" spans="2:9" x14ac:dyDescent="0.2">
      <c r="B21" s="78"/>
      <c r="C21" s="75" t="s">
        <v>174</v>
      </c>
      <c r="D21" s="76"/>
      <c r="E21" s="76"/>
      <c r="F21" s="76"/>
      <c r="G21" s="76"/>
      <c r="H21" s="79"/>
    </row>
    <row r="22" spans="2:9" ht="33" customHeight="1" x14ac:dyDescent="0.2">
      <c r="B22" s="181" t="s">
        <v>175</v>
      </c>
      <c r="C22" s="182"/>
      <c r="D22" s="182"/>
      <c r="E22" s="182"/>
      <c r="F22" s="182"/>
      <c r="G22" s="182"/>
      <c r="H22" s="183"/>
    </row>
    <row r="23" spans="2:9" x14ac:dyDescent="0.2">
      <c r="B23" s="78"/>
      <c r="C23" s="77" t="s">
        <v>176</v>
      </c>
      <c r="D23" s="76"/>
      <c r="E23" s="76"/>
      <c r="F23" s="76"/>
      <c r="G23" s="76"/>
      <c r="H23" s="79"/>
    </row>
    <row r="24" spans="2:9" ht="32" customHeight="1" x14ac:dyDescent="0.2">
      <c r="B24" s="184" t="s">
        <v>186</v>
      </c>
      <c r="C24" s="185"/>
      <c r="D24" s="185"/>
      <c r="E24" s="185"/>
      <c r="F24" s="185"/>
      <c r="G24" s="185"/>
      <c r="H24" s="186"/>
    </row>
    <row r="25" spans="2:9" x14ac:dyDescent="0.2">
      <c r="B25" s="78"/>
      <c r="C25" s="77" t="s">
        <v>167</v>
      </c>
      <c r="D25" s="76"/>
      <c r="E25" s="76"/>
      <c r="F25" s="76"/>
      <c r="G25" s="76"/>
      <c r="H25" s="79"/>
    </row>
    <row r="26" spans="2:9" x14ac:dyDescent="0.2">
      <c r="B26" s="80" t="s">
        <v>178</v>
      </c>
      <c r="C26" s="76"/>
      <c r="D26" s="76"/>
      <c r="E26" s="76"/>
      <c r="F26" s="76"/>
      <c r="G26" s="76"/>
      <c r="H26" s="79"/>
    </row>
    <row r="27" spans="2:9" ht="17" thickBot="1" x14ac:dyDescent="0.25">
      <c r="B27" s="81"/>
      <c r="C27" s="82"/>
      <c r="D27" s="82"/>
      <c r="E27" s="82"/>
      <c r="F27" s="82"/>
      <c r="G27" s="82"/>
      <c r="H27" s="83"/>
    </row>
  </sheetData>
  <mergeCells count="4">
    <mergeCell ref="B2:H2"/>
    <mergeCell ref="B20:H20"/>
    <mergeCell ref="B22:H22"/>
    <mergeCell ref="B24:H24"/>
  </mergeCells>
  <hyperlinks>
    <hyperlink ref="G5" r:id="rId1" xr:uid="{00000000-0004-0000-0900-000000000000}"/>
    <hyperlink ref="G8" r:id="rId2" xr:uid="{00000000-0004-0000-0900-000001000000}"/>
    <hyperlink ref="G11" r:id="rId3" xr:uid="{00000000-0004-0000-0900-000002000000}"/>
    <hyperlink ref="G14" r:id="rId4" xr:uid="{00000000-0004-0000-0900-000003000000}"/>
    <hyperlink ref="G17" r:id="rId5" xr:uid="{00000000-0004-0000-0900-000004000000}"/>
    <hyperlink ref="C21" r:id="rId6" xr:uid="{00000000-0004-0000-0900-000005000000}"/>
    <hyperlink ref="C23" r:id="rId7" xr:uid="{00000000-0004-0000-0900-000006000000}"/>
    <hyperlink ref="C25" r:id="rId8" xr:uid="{00000000-0004-0000-0900-000007000000}"/>
  </hyperlinks>
  <pageMargins left="0.75" right="0.75" top="1" bottom="1" header="0.5" footer="0.5"/>
  <pageSetup orientation="portrait" horizontalDpi="4294967292" verticalDpi="4294967292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Contents</vt:lpstr>
      <vt:lpstr>Data</vt:lpstr>
      <vt:lpstr>Results</vt:lpstr>
      <vt:lpstr>Sensitivity</vt:lpstr>
      <vt:lpstr>Cashflow</vt:lpstr>
      <vt:lpstr>Revenue Cost</vt:lpstr>
      <vt:lpstr>Debt</vt:lpstr>
      <vt:lpstr>Depreciation</vt:lpstr>
      <vt:lpstr>Warning Criteria</vt:lpstr>
      <vt:lpstr>About</vt:lpstr>
      <vt:lpstr>Additional_repair_cost</vt:lpstr>
      <vt:lpstr>Lifespan</vt:lpstr>
      <vt:lpstr>projected_milk_production</vt:lpstr>
      <vt:lpstr>Projected_milking_chore_labor</vt:lpstr>
      <vt:lpstr>Total_barn_cost</vt:lpstr>
      <vt:lpstr>Total_cost_of_milking_system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Microsoft Office User</cp:lastModifiedBy>
  <dcterms:created xsi:type="dcterms:W3CDTF">2016-03-29T01:42:13Z</dcterms:created>
  <dcterms:modified xsi:type="dcterms:W3CDTF">2019-08-01T21:17:54Z</dcterms:modified>
</cp:coreProperties>
</file>