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マイクロサービスCode\チケットMock_ポケモンチケット\mock-ticket\"/>
    </mc:Choice>
  </mc:AlternateContent>
  <xr:revisionPtr revIDLastSave="0" documentId="13_ncr:1_{8D6DC2CB-6283-4E8B-9698-FF08DC485E2B}" xr6:coauthVersionLast="47" xr6:coauthVersionMax="47" xr10:uidLastSave="{00000000-0000-0000-0000-000000000000}"/>
  <bookViews>
    <workbookView xWindow="-60" yWindow="-16320" windowWidth="29040" windowHeight="15720" tabRatio="825" firstSheet="3" activeTab="8" xr2:uid="{00000000-000D-0000-FFFF-FFFF00000000}"/>
  </bookViews>
  <sheets>
    <sheet name="シナリオ一覧" sheetId="12" r:id="rId1"/>
    <sheet name="No.1_EC関連問合せ応答" sheetId="4" r:id="rId2"/>
    <sheet name="No.1_EC関連問合せ応答_マッピング" sheetId="6" r:id="rId3"/>
    <sheet name="No.2_EC関連払戻し応答" sheetId="7" r:id="rId4"/>
    <sheet name="No.2_EC関連払戻し応答_マッピング" sheetId="8" r:id="rId5"/>
    <sheet name="No.3_EC関連完了応答" sheetId="9" r:id="rId6"/>
    <sheet name="No.3_EC関連完了応答_マッピング" sheetId="13" r:id="rId7"/>
    <sheet name="No.4_EC関連問合せ応答 " sheetId="16" r:id="rId8"/>
    <sheet name="No.4_EC関連問合せ応答_マッピング" sheetId="17" r:id="rId9"/>
  </sheets>
  <definedNames>
    <definedName name="_xlnm._FilterDatabase" localSheetId="0" hidden="1">シナリオ一覧!$A$2:$L$2</definedName>
    <definedName name="_xlnm.Print_Area" localSheetId="1">No.1_EC関連問合せ応答!$A$1:$F$72</definedName>
    <definedName name="_xlnm.Print_Area" localSheetId="2">No.1_EC関連問合せ応答_マッピング!$A$1:$Q$52</definedName>
    <definedName name="_xlnm.Print_Area" localSheetId="3">No.2_EC関連払戻し応答!$A$1:$F$39</definedName>
    <definedName name="_xlnm.Print_Area" localSheetId="4">No.2_EC関連払戻し応答_マッピング!$A$1:$L$54</definedName>
    <definedName name="_xlnm.Print_Area" localSheetId="5">No.3_EC関連完了応答!$A$1:$E$71</definedName>
    <definedName name="_xlnm.Print_Area" localSheetId="6">No.3_EC関連完了応答_マッピング!$A$1:$N$52</definedName>
    <definedName name="_xlnm.Print_Area" localSheetId="7">'No.4_EC関連問合せ応答 '!$A$1:$E$73</definedName>
    <definedName name="_xlnm.Print_Area" localSheetId="8">No.4_EC関連問合せ応答_マッピング!$A$1:$L$62</definedName>
    <definedName name="_xlnm.Print_Area" localSheetId="0">シナリオ一覧!$A$1:$M$29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6" l="1"/>
  <c r="B47" i="8"/>
  <c r="B55" i="17"/>
  <c r="B45" i="13"/>
  <c r="E58" i="4"/>
  <c r="E66" i="4"/>
  <c r="E65" i="4"/>
  <c r="E63" i="4"/>
  <c r="E62" i="4"/>
  <c r="E60" i="4"/>
  <c r="E59" i="4"/>
  <c r="E56" i="4"/>
  <c r="E55" i="4"/>
  <c r="E53" i="4"/>
  <c r="E21" i="9"/>
  <c r="E67" i="16"/>
  <c r="E59" i="16"/>
  <c r="K44" i="8" l="1"/>
  <c r="J44" i="8"/>
  <c r="I44" i="8"/>
  <c r="H44" i="8"/>
  <c r="G44" i="8"/>
  <c r="F44" i="8"/>
  <c r="E44" i="8"/>
  <c r="D44" i="8"/>
  <c r="C44" i="8"/>
  <c r="B44" i="8"/>
  <c r="B42" i="8"/>
  <c r="K52" i="17"/>
  <c r="J52" i="17"/>
  <c r="I52" i="17"/>
  <c r="H52" i="17"/>
  <c r="G52" i="17"/>
  <c r="F52" i="17"/>
  <c r="E52" i="17"/>
  <c r="D52" i="17"/>
  <c r="C52" i="17"/>
  <c r="B52" i="17"/>
  <c r="B51" i="17"/>
  <c r="B1" i="17"/>
  <c r="M42" i="13"/>
  <c r="L42" i="13"/>
  <c r="K42" i="13"/>
  <c r="J42" i="13"/>
  <c r="I42" i="13"/>
  <c r="H42" i="13"/>
  <c r="G42" i="13"/>
  <c r="F42" i="13"/>
  <c r="E42" i="13"/>
  <c r="D42" i="13"/>
  <c r="C42" i="13"/>
  <c r="B42" i="13"/>
  <c r="J41" i="13"/>
  <c r="B41" i="13"/>
  <c r="B40" i="13"/>
  <c r="B40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E66" i="16" l="1"/>
  <c r="E64" i="16"/>
  <c r="E63" i="16"/>
  <c r="E61" i="16"/>
  <c r="E60" i="16"/>
  <c r="E57" i="16"/>
  <c r="E56" i="16"/>
  <c r="E54" i="16"/>
  <c r="E48" i="9" l="1"/>
  <c r="E46" i="9"/>
  <c r="E45" i="9"/>
  <c r="E44" i="9"/>
  <c r="E43" i="9"/>
  <c r="E42" i="9"/>
  <c r="E39" i="9"/>
  <c r="E38" i="9"/>
  <c r="E36" i="9"/>
  <c r="J26" i="6" l="1"/>
  <c r="K26" i="17" l="1"/>
  <c r="L25" i="17"/>
  <c r="L29" i="8"/>
  <c r="L28" i="17"/>
  <c r="B25" i="17"/>
  <c r="C25" i="17"/>
  <c r="D25" i="17"/>
  <c r="E25" i="17"/>
  <c r="F25" i="17"/>
  <c r="G25" i="17"/>
  <c r="H25" i="17"/>
  <c r="I25" i="17"/>
  <c r="J25" i="17"/>
  <c r="K25" i="17"/>
  <c r="K2" i="17" l="1"/>
  <c r="J2" i="17"/>
  <c r="I2" i="17" l="1"/>
  <c r="H2" i="17"/>
  <c r="G2" i="17"/>
  <c r="F2" i="17"/>
  <c r="E2" i="17"/>
  <c r="D2" i="17"/>
  <c r="C2" i="17"/>
  <c r="B2" i="17"/>
  <c r="H26" i="17" l="1"/>
  <c r="L27" i="17" l="1"/>
  <c r="J26" i="17"/>
  <c r="F23" i="17"/>
  <c r="M19" i="17"/>
  <c r="K28" i="17" l="1"/>
  <c r="K27" i="17"/>
  <c r="J28" i="17" s="1"/>
  <c r="E23" i="17"/>
  <c r="J27" i="17" l="1"/>
  <c r="I28" i="17" s="1"/>
  <c r="C23" i="17"/>
  <c r="D23" i="17"/>
  <c r="G23" i="17"/>
  <c r="H23" i="17"/>
  <c r="I23" i="17"/>
  <c r="J23" i="17"/>
  <c r="C26" i="17"/>
  <c r="D26" i="17"/>
  <c r="E26" i="17"/>
  <c r="F26" i="17"/>
  <c r="G26" i="17"/>
  <c r="I26" i="17"/>
  <c r="B26" i="17"/>
  <c r="B23" i="17"/>
  <c r="L23" i="17"/>
  <c r="E20" i="16"/>
  <c r="E18" i="16"/>
  <c r="E17" i="16"/>
  <c r="E16" i="16"/>
  <c r="E15" i="16"/>
  <c r="E14" i="16"/>
  <c r="E11" i="16"/>
  <c r="E10" i="16"/>
  <c r="E8" i="16"/>
  <c r="I27" i="17" l="1"/>
  <c r="H28" i="17" s="1"/>
  <c r="D55" i="17"/>
  <c r="K23" i="17"/>
  <c r="H27" i="17" l="1"/>
  <c r="G28" i="17" s="1"/>
  <c r="G27" i="17" l="1"/>
  <c r="F27" i="17" s="1"/>
  <c r="F28" i="17" l="1"/>
  <c r="E28" i="17"/>
  <c r="E27" i="17"/>
  <c r="H3" i="8"/>
  <c r="D28" i="17" l="1"/>
  <c r="D27" i="17"/>
  <c r="B2" i="13"/>
  <c r="N29" i="13"/>
  <c r="N28" i="13"/>
  <c r="N26" i="13"/>
  <c r="N24" i="13" s="1"/>
  <c r="L28" i="8"/>
  <c r="L26" i="8"/>
  <c r="L24" i="8" s="1"/>
  <c r="M27" i="13"/>
  <c r="L27" i="13"/>
  <c r="K27" i="13"/>
  <c r="J27" i="13"/>
  <c r="I27" i="13"/>
  <c r="H27" i="13"/>
  <c r="G27" i="13"/>
  <c r="F27" i="13"/>
  <c r="E27" i="13"/>
  <c r="D27" i="13"/>
  <c r="C27" i="13"/>
  <c r="B27" i="13"/>
  <c r="M26" i="13"/>
  <c r="M24" i="13" s="1"/>
  <c r="L26" i="13"/>
  <c r="L24" i="13" s="1"/>
  <c r="K26" i="13"/>
  <c r="K24" i="13" s="1"/>
  <c r="J26" i="13"/>
  <c r="J24" i="13" s="1"/>
  <c r="I26" i="13"/>
  <c r="I24" i="13" s="1"/>
  <c r="H26" i="13"/>
  <c r="H24" i="13" s="1"/>
  <c r="G26" i="13"/>
  <c r="G24" i="13" s="1"/>
  <c r="F26" i="13"/>
  <c r="F24" i="13" s="1"/>
  <c r="E26" i="13"/>
  <c r="E24" i="13" s="1"/>
  <c r="D26" i="13"/>
  <c r="D24" i="13" s="1"/>
  <c r="C26" i="13"/>
  <c r="C24" i="13" s="1"/>
  <c r="B26" i="13"/>
  <c r="B24" i="13" s="1"/>
  <c r="K27" i="8"/>
  <c r="J27" i="8"/>
  <c r="I27" i="8"/>
  <c r="H27" i="8"/>
  <c r="G27" i="8"/>
  <c r="F27" i="8"/>
  <c r="E27" i="8"/>
  <c r="D27" i="8"/>
  <c r="C27" i="8"/>
  <c r="B27" i="8"/>
  <c r="D47" i="8" s="1"/>
  <c r="K26" i="8"/>
  <c r="J26" i="8"/>
  <c r="I26" i="8"/>
  <c r="I24" i="8" s="1"/>
  <c r="H26" i="8"/>
  <c r="H24" i="8" s="1"/>
  <c r="G26" i="8"/>
  <c r="G24" i="8" s="1"/>
  <c r="F26" i="8"/>
  <c r="F24" i="8" s="1"/>
  <c r="E26" i="8"/>
  <c r="E24" i="8" s="1"/>
  <c r="D26" i="8"/>
  <c r="D24" i="8" s="1"/>
  <c r="C26" i="8"/>
  <c r="C24" i="8" s="1"/>
  <c r="B26" i="8"/>
  <c r="B24" i="8" s="1"/>
  <c r="J2" i="13"/>
  <c r="B1" i="13"/>
  <c r="B1" i="8"/>
  <c r="P27" i="6"/>
  <c r="O27" i="6"/>
  <c r="N27" i="6"/>
  <c r="M27" i="6"/>
  <c r="P26" i="6"/>
  <c r="O26" i="6"/>
  <c r="O24" i="6" s="1"/>
  <c r="N26" i="6"/>
  <c r="N24" i="6" s="1"/>
  <c r="M26" i="6"/>
  <c r="M24" i="6" s="1"/>
  <c r="B1" i="6"/>
  <c r="Q29" i="6"/>
  <c r="Q28" i="6"/>
  <c r="Q26" i="6"/>
  <c r="Q24" i="6" s="1"/>
  <c r="L27" i="6"/>
  <c r="K27" i="6"/>
  <c r="J27" i="6"/>
  <c r="I27" i="6"/>
  <c r="H27" i="6"/>
  <c r="G27" i="6"/>
  <c r="F27" i="6"/>
  <c r="E27" i="6"/>
  <c r="D27" i="6"/>
  <c r="C27" i="6"/>
  <c r="B27" i="6"/>
  <c r="D45" i="6" s="1"/>
  <c r="L26" i="6"/>
  <c r="L24" i="6" s="1"/>
  <c r="K26" i="6"/>
  <c r="K24" i="6" s="1"/>
  <c r="J24" i="6"/>
  <c r="I26" i="6"/>
  <c r="I24" i="6" s="1"/>
  <c r="H26" i="6"/>
  <c r="H24" i="6" s="1"/>
  <c r="G26" i="6"/>
  <c r="G24" i="6" s="1"/>
  <c r="F26" i="6"/>
  <c r="F24" i="6" s="1"/>
  <c r="E26" i="6"/>
  <c r="E24" i="6" s="1"/>
  <c r="D26" i="6"/>
  <c r="D24" i="6" s="1"/>
  <c r="C26" i="6"/>
  <c r="C24" i="6" s="1"/>
  <c r="B26" i="6"/>
  <c r="B24" i="6" s="1"/>
  <c r="D45" i="13" l="1"/>
  <c r="C28" i="17"/>
  <c r="C27" i="17"/>
  <c r="P28" i="6"/>
  <c r="O28" i="6" s="1"/>
  <c r="P29" i="6"/>
  <c r="J24" i="8"/>
  <c r="K24" i="8"/>
  <c r="K29" i="8"/>
  <c r="P24" i="6"/>
  <c r="N28" i="6" l="1"/>
  <c r="M28" i="6" s="1"/>
  <c r="N29" i="6"/>
  <c r="O29" i="6"/>
  <c r="B28" i="17"/>
  <c r="B30" i="17" s="1"/>
  <c r="B31" i="17" s="1" a="1"/>
  <c r="B31" i="17" s="1"/>
  <c r="B32" i="17" s="1"/>
  <c r="B27" i="17"/>
  <c r="B33" i="17" l="1"/>
  <c r="M29" i="6"/>
  <c r="L29" i="6"/>
  <c r="L28" i="6"/>
  <c r="M29" i="13"/>
  <c r="M28" i="13"/>
  <c r="L28" i="13" s="1"/>
  <c r="B57" i="17" l="1"/>
  <c r="C57" i="17" s="1"/>
  <c r="C56" i="17" s="1"/>
  <c r="B56" i="17"/>
  <c r="K29" i="6"/>
  <c r="K28" i="6"/>
  <c r="J28" i="6" s="1"/>
  <c r="L29" i="13"/>
  <c r="D57" i="17" l="1"/>
  <c r="D56" i="17" s="1"/>
  <c r="J29" i="6"/>
  <c r="K29" i="13"/>
  <c r="K28" i="13"/>
  <c r="K28" i="8"/>
  <c r="J29" i="8" s="1"/>
  <c r="E57" i="17" l="1"/>
  <c r="I29" i="6"/>
  <c r="I28" i="6"/>
  <c r="J29" i="13"/>
  <c r="J28" i="13"/>
  <c r="J28" i="8"/>
  <c r="F57" i="17" l="1"/>
  <c r="F56" i="17" s="1"/>
  <c r="E56" i="17"/>
  <c r="H29" i="6"/>
  <c r="H28" i="6"/>
  <c r="I29" i="13"/>
  <c r="I28" i="13"/>
  <c r="I29" i="8"/>
  <c r="I28" i="8"/>
  <c r="G57" i="17" l="1"/>
  <c r="G56" i="17"/>
  <c r="G28" i="6"/>
  <c r="G29" i="6"/>
  <c r="H29" i="13"/>
  <c r="H28" i="13"/>
  <c r="H29" i="8"/>
  <c r="H28" i="8"/>
  <c r="H57" i="17" l="1"/>
  <c r="I57" i="17" s="1"/>
  <c r="F29" i="6"/>
  <c r="F28" i="6"/>
  <c r="G29" i="13"/>
  <c r="G28" i="13"/>
  <c r="G29" i="8"/>
  <c r="G28" i="8"/>
  <c r="H56" i="17" l="1"/>
  <c r="I56" i="17"/>
  <c r="J57" i="17"/>
  <c r="E29" i="6"/>
  <c r="E28" i="6"/>
  <c r="F29" i="13"/>
  <c r="F28" i="13"/>
  <c r="F29" i="8"/>
  <c r="F28" i="8"/>
  <c r="K57" i="17" l="1"/>
  <c r="K56" i="17" s="1"/>
  <c r="J56" i="17"/>
  <c r="D29" i="6"/>
  <c r="D28" i="6"/>
  <c r="E29" i="13"/>
  <c r="E28" i="13"/>
  <c r="E29" i="8"/>
  <c r="E28" i="8"/>
  <c r="L57" i="17" l="1"/>
  <c r="L56" i="17" s="1"/>
  <c r="C28" i="6"/>
  <c r="C29" i="6"/>
  <c r="D29" i="13"/>
  <c r="D28" i="13"/>
  <c r="D29" i="8"/>
  <c r="D28" i="8"/>
  <c r="M57" i="17" l="1"/>
  <c r="M56" i="17" s="1"/>
  <c r="B28" i="6"/>
  <c r="B29" i="6"/>
  <c r="B31" i="6" s="1"/>
  <c r="C29" i="13"/>
  <c r="C28" i="13"/>
  <c r="C29" i="8"/>
  <c r="C28" i="8"/>
  <c r="N57" i="17" l="1"/>
  <c r="N56" i="17" s="1"/>
  <c r="B32" i="6" a="1"/>
  <c r="B32" i="6" s="1"/>
  <c r="B33" i="6" s="1"/>
  <c r="B29" i="13"/>
  <c r="B31" i="13" s="1"/>
  <c r="B32" i="13" s="1" a="1"/>
  <c r="B32" i="13" s="1"/>
  <c r="B33" i="13" s="1"/>
  <c r="B28" i="13"/>
  <c r="B29" i="8"/>
  <c r="B31" i="8" s="1"/>
  <c r="B28" i="8"/>
  <c r="H3" i="13"/>
  <c r="J3" i="6"/>
  <c r="B32" i="8" l="1" a="1"/>
  <c r="B32" i="8" s="1"/>
  <c r="B33" i="8" s="1"/>
  <c r="O57" i="17"/>
  <c r="O56" i="17" s="1"/>
  <c r="B34" i="13"/>
  <c r="B34" i="6"/>
  <c r="P57" i="17" l="1"/>
  <c r="P56" i="17" s="1"/>
  <c r="K3" i="6"/>
  <c r="L3" i="6"/>
  <c r="B34" i="8" l="1"/>
  <c r="Q57" i="17"/>
  <c r="B47" i="13"/>
  <c r="B46" i="13"/>
  <c r="B47" i="6"/>
  <c r="B46" i="6"/>
  <c r="E16" i="4"/>
  <c r="R57" i="17" l="1"/>
  <c r="R56" i="17" s="1"/>
  <c r="Q56" i="17"/>
  <c r="C47" i="13"/>
  <c r="C46" i="13" s="1"/>
  <c r="C47" i="6"/>
  <c r="C46" i="6" s="1"/>
  <c r="E14" i="7"/>
  <c r="D3" i="8"/>
  <c r="K3" i="8"/>
  <c r="J3" i="8"/>
  <c r="I3" i="8"/>
  <c r="G3" i="6"/>
  <c r="M3" i="13"/>
  <c r="L3" i="13"/>
  <c r="K3" i="13"/>
  <c r="J3" i="13"/>
  <c r="I3" i="13"/>
  <c r="G3" i="13"/>
  <c r="F3" i="13"/>
  <c r="E3" i="13"/>
  <c r="D3" i="13"/>
  <c r="C3" i="13"/>
  <c r="B3" i="13"/>
  <c r="O3" i="6"/>
  <c r="N3" i="6"/>
  <c r="P3" i="6"/>
  <c r="B48" i="8" l="1"/>
  <c r="B49" i="8"/>
  <c r="S57" i="17"/>
  <c r="S56" i="17" s="1"/>
  <c r="D47" i="13"/>
  <c r="D46" i="13" s="1"/>
  <c r="D47" i="6"/>
  <c r="D46" i="6" s="1"/>
  <c r="C3" i="6"/>
  <c r="M3" i="6"/>
  <c r="E17" i="9"/>
  <c r="E20" i="9"/>
  <c r="E18" i="9"/>
  <c r="E15" i="9"/>
  <c r="E14" i="9"/>
  <c r="E11" i="9"/>
  <c r="E10" i="9"/>
  <c r="E8" i="9"/>
  <c r="I3" i="6"/>
  <c r="G3" i="8"/>
  <c r="F3" i="8"/>
  <c r="E3" i="8"/>
  <c r="C3" i="8"/>
  <c r="B3" i="8"/>
  <c r="E19" i="7"/>
  <c r="E16" i="7"/>
  <c r="E15" i="7"/>
  <c r="E13" i="7"/>
  <c r="E12" i="7"/>
  <c r="E10" i="7"/>
  <c r="E8" i="7"/>
  <c r="E20" i="4"/>
  <c r="E8" i="4"/>
  <c r="E11" i="4"/>
  <c r="E10" i="4"/>
  <c r="E17" i="4"/>
  <c r="E15" i="4"/>
  <c r="E14" i="4"/>
  <c r="E18" i="4"/>
  <c r="B3" i="6"/>
  <c r="D3" i="6"/>
  <c r="E3" i="6"/>
  <c r="F3" i="6"/>
  <c r="H3" i="6"/>
  <c r="C49" i="8" l="1"/>
  <c r="T57" i="17"/>
  <c r="T56" i="17" s="1"/>
  <c r="E47" i="13"/>
  <c r="E46" i="13" s="1"/>
  <c r="E47" i="6"/>
  <c r="F47" i="6" s="1"/>
  <c r="D49" i="8" l="1"/>
  <c r="C48" i="8"/>
  <c r="U57" i="17"/>
  <c r="U56" i="17" s="1"/>
  <c r="F47" i="13"/>
  <c r="F46" i="13" s="1"/>
  <c r="E46" i="6"/>
  <c r="F46" i="6"/>
  <c r="G47" i="6"/>
  <c r="H47" i="6" s="1"/>
  <c r="E49" i="8" l="1"/>
  <c r="F49" i="8" s="1"/>
  <c r="D48" i="8"/>
  <c r="V57" i="17"/>
  <c r="G47" i="13"/>
  <c r="H47" i="13" s="1"/>
  <c r="G46" i="6"/>
  <c r="H46" i="6"/>
  <c r="I47" i="6"/>
  <c r="I46" i="6" s="1"/>
  <c r="F48" i="8" l="1"/>
  <c r="G49" i="8"/>
  <c r="E48" i="8"/>
  <c r="V56" i="17"/>
  <c r="W57" i="17"/>
  <c r="G46" i="13"/>
  <c r="H46" i="13"/>
  <c r="I47" i="13"/>
  <c r="J47" i="6"/>
  <c r="J46" i="6" s="1"/>
  <c r="G48" i="8" l="1"/>
  <c r="H49" i="8"/>
  <c r="H48" i="8" s="1"/>
  <c r="W56" i="17"/>
  <c r="X57" i="17"/>
  <c r="X56" i="17" s="1"/>
  <c r="I46" i="13"/>
  <c r="J47" i="13"/>
  <c r="K47" i="13" s="1"/>
  <c r="K47" i="6"/>
  <c r="K46" i="6" s="1"/>
  <c r="I49" i="8" l="1"/>
  <c r="I48" i="8" s="1"/>
  <c r="Y57" i="17"/>
  <c r="Y56" i="17" s="1"/>
  <c r="K46" i="13"/>
  <c r="L47" i="13"/>
  <c r="L46" i="13" s="1"/>
  <c r="J46" i="13"/>
  <c r="L47" i="6"/>
  <c r="L46" i="6" s="1"/>
  <c r="J49" i="8" l="1"/>
  <c r="J48" i="8" s="1"/>
  <c r="Z57" i="17"/>
  <c r="Z56" i="17" s="1"/>
  <c r="M47" i="13"/>
  <c r="M46" i="13" s="1"/>
  <c r="M47" i="6"/>
  <c r="M46" i="6" s="1"/>
  <c r="K49" i="8" l="1"/>
  <c r="K48" i="8" s="1"/>
  <c r="AA57" i="17"/>
  <c r="AA56" i="17" s="1"/>
  <c r="N47" i="13"/>
  <c r="N46" i="13" s="1"/>
  <c r="N47" i="6"/>
  <c r="N46" i="6" s="1"/>
  <c r="L49" i="8" l="1"/>
  <c r="L48" i="8" s="1"/>
  <c r="AB57" i="17"/>
  <c r="AB56" i="17" s="1"/>
  <c r="O47" i="13"/>
  <c r="O46" i="13" s="1"/>
  <c r="O47" i="6"/>
  <c r="O46" i="6" s="1"/>
  <c r="M49" i="8" l="1"/>
  <c r="M48" i="8" s="1"/>
  <c r="AC57" i="17"/>
  <c r="AC56" i="17" s="1"/>
  <c r="P47" i="13"/>
  <c r="Q47" i="13" s="1"/>
  <c r="P47" i="6"/>
  <c r="P46" i="6" s="1"/>
  <c r="N49" i="8" l="1"/>
  <c r="N48" i="8" s="1"/>
  <c r="AD57" i="17"/>
  <c r="AD56" i="17" s="1"/>
  <c r="P46" i="13"/>
  <c r="Q46" i="13"/>
  <c r="R47" i="13"/>
  <c r="R46" i="13" s="1"/>
  <c r="Q47" i="6"/>
  <c r="Q46" i="6" s="1"/>
  <c r="O49" i="8" l="1"/>
  <c r="O48" i="8" s="1"/>
  <c r="AE57" i="17"/>
  <c r="S47" i="13"/>
  <c r="S46" i="13" s="1"/>
  <c r="R47" i="6"/>
  <c r="R46" i="6" s="1"/>
  <c r="P49" i="8" l="1"/>
  <c r="P48" i="8" s="1"/>
  <c r="AF57" i="17"/>
  <c r="AF56" i="17" s="1"/>
  <c r="AE56" i="17"/>
  <c r="T47" i="13"/>
  <c r="T46" i="13" s="1"/>
  <c r="S47" i="6"/>
  <c r="S46" i="6" s="1"/>
  <c r="Q49" i="8" l="1"/>
  <c r="Q48" i="8" s="1"/>
  <c r="AG57" i="17"/>
  <c r="U47" i="13"/>
  <c r="V47" i="13" s="1"/>
  <c r="T47" i="6"/>
  <c r="T46" i="6" s="1"/>
  <c r="U46" i="13" l="1"/>
  <c r="R49" i="8"/>
  <c r="R48" i="8" s="1"/>
  <c r="AH57" i="17"/>
  <c r="AH56" i="17" s="1"/>
  <c r="AG56" i="17"/>
  <c r="V46" i="13"/>
  <c r="W47" i="13"/>
  <c r="W46" i="13" s="1"/>
  <c r="U47" i="6"/>
  <c r="U46" i="6" s="1"/>
  <c r="S49" i="8" l="1"/>
  <c r="S48" i="8" s="1"/>
  <c r="AI57" i="17"/>
  <c r="X47" i="13"/>
  <c r="X46" i="13" s="1"/>
  <c r="V47" i="6"/>
  <c r="W47" i="6" s="1"/>
  <c r="T49" i="8" l="1"/>
  <c r="T48" i="8" s="1"/>
  <c r="AJ57" i="17"/>
  <c r="AJ56" i="17" s="1"/>
  <c r="AI56" i="17"/>
  <c r="Y47" i="13"/>
  <c r="Y46" i="13" s="1"/>
  <c r="V46" i="6"/>
  <c r="W46" i="6"/>
  <c r="X47" i="6"/>
  <c r="X46" i="6" s="1"/>
  <c r="B58" i="17" l="1" a="1"/>
  <c r="B58" i="17" s="1"/>
  <c r="U49" i="8"/>
  <c r="U48" i="8" s="1"/>
  <c r="Z47" i="13"/>
  <c r="Z46" i="13" s="1"/>
  <c r="Y47" i="6"/>
  <c r="Y46" i="6" s="1"/>
  <c r="B59" i="17" l="1"/>
  <c r="V49" i="8"/>
  <c r="V48" i="8" s="1"/>
  <c r="AA47" i="13"/>
  <c r="AA46" i="13" s="1"/>
  <c r="Z47" i="6"/>
  <c r="Z46" i="6" s="1"/>
  <c r="L60" i="17" l="1"/>
  <c r="K60" i="17"/>
  <c r="J60" i="17"/>
  <c r="H60" i="17"/>
  <c r="G60" i="17"/>
  <c r="F60" i="17"/>
  <c r="E60" i="17"/>
  <c r="C60" i="17"/>
  <c r="B60" i="17"/>
  <c r="I60" i="17"/>
  <c r="D60" i="17"/>
  <c r="B50" i="17"/>
  <c r="W49" i="8"/>
  <c r="W48" i="8" s="1"/>
  <c r="AB47" i="13"/>
  <c r="AB46" i="13" s="1"/>
  <c r="AA47" i="6"/>
  <c r="AA46" i="6" s="1"/>
  <c r="X49" i="8" l="1"/>
  <c r="X48" i="8" s="1"/>
  <c r="AC47" i="13"/>
  <c r="AC46" i="13" s="1"/>
  <c r="AB47" i="6"/>
  <c r="AB46" i="6" s="1"/>
  <c r="Y49" i="8" l="1"/>
  <c r="Y48" i="8" s="1"/>
  <c r="AD47" i="13"/>
  <c r="AD46" i="13" s="1"/>
  <c r="AC47" i="6"/>
  <c r="AC46" i="6" s="1"/>
  <c r="Z49" i="8" l="1"/>
  <c r="Z48" i="8" s="1"/>
  <c r="AE47" i="13"/>
  <c r="AE46" i="13" s="1"/>
  <c r="AD47" i="6"/>
  <c r="AD46" i="6" s="1"/>
  <c r="AA49" i="8" l="1"/>
  <c r="AA48" i="8" s="1"/>
  <c r="AF47" i="13"/>
  <c r="AF46" i="13" s="1"/>
  <c r="AE47" i="6"/>
  <c r="AF47" i="6" s="1"/>
  <c r="AB49" i="8" l="1"/>
  <c r="AB48" i="8" s="1"/>
  <c r="AG47" i="13"/>
  <c r="AG46" i="13" s="1"/>
  <c r="AE46" i="6"/>
  <c r="AF46" i="6"/>
  <c r="AG47" i="6"/>
  <c r="AG46" i="6" s="1"/>
  <c r="AC49" i="8" l="1"/>
  <c r="AC48" i="8" s="1"/>
  <c r="AH47" i="13"/>
  <c r="AH46" i="13" s="1"/>
  <c r="AH47" i="6"/>
  <c r="AH46" i="6" s="1"/>
  <c r="AD49" i="8" l="1"/>
  <c r="AD48" i="8" s="1"/>
  <c r="AI47" i="13"/>
  <c r="AJ47" i="13" s="1"/>
  <c r="AJ46" i="13" s="1"/>
  <c r="AI47" i="6"/>
  <c r="AE49" i="8" l="1"/>
  <c r="AE48" i="8" s="1"/>
  <c r="AI46" i="13"/>
  <c r="B48" i="13" s="1" a="1"/>
  <c r="B48" i="13" s="1"/>
  <c r="B49" i="13" s="1"/>
  <c r="AJ47" i="6"/>
  <c r="AI46" i="6"/>
  <c r="AJ46" i="6" l="1"/>
  <c r="AK47" i="6"/>
  <c r="AK46" i="6"/>
  <c r="B39" i="13"/>
  <c r="N50" i="13"/>
  <c r="N51" i="13" s="1"/>
  <c r="H50" i="13"/>
  <c r="H51" i="13" s="1"/>
  <c r="F50" i="13"/>
  <c r="F51" i="13" s="1"/>
  <c r="M50" i="13"/>
  <c r="M51" i="13" s="1"/>
  <c r="G50" i="13"/>
  <c r="G51" i="13" s="1"/>
  <c r="C50" i="13"/>
  <c r="C51" i="13" s="1"/>
  <c r="L50" i="13"/>
  <c r="L51" i="13" s="1"/>
  <c r="K50" i="13"/>
  <c r="K51" i="13" s="1"/>
  <c r="K43" i="13" s="1"/>
  <c r="E50" i="13"/>
  <c r="E51" i="13" s="1"/>
  <c r="J50" i="13"/>
  <c r="J51" i="13" s="1"/>
  <c r="I50" i="13"/>
  <c r="I51" i="13" s="1"/>
  <c r="D50" i="13"/>
  <c r="D51" i="13" s="1"/>
  <c r="B50" i="13"/>
  <c r="B51" i="13" s="1"/>
  <c r="AF49" i="8"/>
  <c r="AF48" i="8" s="1"/>
  <c r="P50" i="13"/>
  <c r="P51" i="13" s="1"/>
  <c r="Q50" i="13"/>
  <c r="Q51" i="13" s="1"/>
  <c r="O50" i="13"/>
  <c r="O51" i="13" s="1"/>
  <c r="E43" i="13" l="1"/>
  <c r="C43" i="13"/>
  <c r="M43" i="13"/>
  <c r="H43" i="13"/>
  <c r="AL47" i="6"/>
  <c r="AL46" i="6" s="1"/>
  <c r="I43" i="13"/>
  <c r="D43" i="13"/>
  <c r="G43" i="13"/>
  <c r="N43" i="13"/>
  <c r="B43" i="13"/>
  <c r="F43" i="13"/>
  <c r="J43" i="13"/>
  <c r="L43" i="13"/>
  <c r="AG49" i="8"/>
  <c r="AM47" i="6" l="1"/>
  <c r="AM46" i="6"/>
  <c r="AH49" i="8"/>
  <c r="AG48" i="8"/>
  <c r="AN47" i="6" l="1"/>
  <c r="AN46" i="6"/>
  <c r="B48" i="6" s="1" a="1"/>
  <c r="B48" i="6" s="1"/>
  <c r="AI49" i="8"/>
  <c r="AH48" i="8"/>
  <c r="D48" i="6" l="1"/>
  <c r="B49" i="6"/>
  <c r="AJ49" i="8"/>
  <c r="AJ48" i="8" s="1"/>
  <c r="AI48" i="8"/>
  <c r="F50" i="6" l="1"/>
  <c r="F51" i="6" s="1"/>
  <c r="E50" i="6"/>
  <c r="E51" i="6" s="1"/>
  <c r="D50" i="6"/>
  <c r="D51" i="6" s="1"/>
  <c r="B50" i="6"/>
  <c r="B51" i="6" s="1"/>
  <c r="B39" i="6"/>
  <c r="D49" i="6"/>
  <c r="O50" i="6"/>
  <c r="O51" i="6" s="1"/>
  <c r="N50" i="6"/>
  <c r="N51" i="6" s="1"/>
  <c r="C50" i="6"/>
  <c r="C51" i="6" s="1"/>
  <c r="M50" i="6"/>
  <c r="M51" i="6" s="1"/>
  <c r="K50" i="6"/>
  <c r="K51" i="6" s="1"/>
  <c r="I50" i="6"/>
  <c r="I51" i="6" s="1"/>
  <c r="G50" i="6"/>
  <c r="G51" i="6" s="1"/>
  <c r="Q50" i="6"/>
  <c r="Q51" i="6" s="1"/>
  <c r="P50" i="6"/>
  <c r="P51" i="6" s="1"/>
  <c r="L50" i="6"/>
  <c r="L51" i="6" s="1"/>
  <c r="J50" i="6"/>
  <c r="J51" i="6" s="1"/>
  <c r="H50" i="6"/>
  <c r="H51" i="6" s="1"/>
  <c r="B50" i="8" a="1"/>
  <c r="B50" i="8" s="1"/>
  <c r="P43" i="6" l="1"/>
  <c r="L43" i="6"/>
  <c r="E43" i="6"/>
  <c r="H43" i="6"/>
  <c r="O43" i="6"/>
  <c r="J43" i="6"/>
  <c r="M43" i="6"/>
  <c r="N43" i="6"/>
  <c r="B43" i="6"/>
  <c r="K43" i="6"/>
  <c r="F43" i="6"/>
  <c r="D43" i="6"/>
  <c r="I43" i="6"/>
  <c r="C43" i="6"/>
  <c r="G43" i="6"/>
  <c r="Q43" i="6"/>
  <c r="B51" i="8"/>
  <c r="B41" i="8" s="1"/>
  <c r="L52" i="8" l="1"/>
  <c r="L53" i="8" s="1"/>
  <c r="K52" i="8"/>
  <c r="K53" i="8" s="1"/>
  <c r="J52" i="8"/>
  <c r="J53" i="8" s="1"/>
  <c r="I52" i="8"/>
  <c r="I53" i="8" s="1"/>
  <c r="H52" i="8"/>
  <c r="H53" i="8" s="1"/>
  <c r="G52" i="8"/>
  <c r="G53" i="8" s="1"/>
  <c r="F52" i="8"/>
  <c r="F53" i="8" s="1"/>
  <c r="E52" i="8"/>
  <c r="E53" i="8" s="1"/>
  <c r="E45" i="8" s="1"/>
  <c r="D52" i="8"/>
  <c r="D53" i="8" s="1"/>
  <c r="D45" i="8" s="1"/>
  <c r="C52" i="8"/>
  <c r="C53" i="8" s="1"/>
  <c r="C45" i="8" s="1"/>
  <c r="B52" i="8"/>
  <c r="B53" i="8" s="1"/>
  <c r="B45" i="8" s="1"/>
  <c r="P52" i="8"/>
  <c r="P53" i="8" s="1"/>
  <c r="N52" i="8"/>
  <c r="N53" i="8" s="1"/>
  <c r="Q52" i="8"/>
  <c r="Q53" i="8" s="1"/>
  <c r="O52" i="8"/>
  <c r="O53" i="8" s="1"/>
  <c r="M52" i="8"/>
  <c r="M53" i="8" s="1"/>
  <c r="M60" i="17"/>
  <c r="M61" i="17" s="1"/>
  <c r="F61" i="17"/>
  <c r="F53" i="17" s="1"/>
  <c r="C61" i="17"/>
  <c r="C53" i="17" s="1"/>
  <c r="D61" i="17"/>
  <c r="D53" i="17" s="1"/>
  <c r="P60" i="17"/>
  <c r="P61" i="17" s="1"/>
  <c r="K61" i="17"/>
  <c r="K53" i="17" s="1"/>
  <c r="E61" i="17"/>
  <c r="E53" i="17" s="1"/>
  <c r="B61" i="17"/>
  <c r="B53" i="17" s="1"/>
  <c r="L61" i="17"/>
  <c r="L53" i="17" s="1"/>
  <c r="O60" i="17"/>
  <c r="O61" i="17" s="1"/>
  <c r="N60" i="17"/>
  <c r="N61" i="17" s="1"/>
  <c r="I61" i="17"/>
  <c r="I53" i="17" s="1"/>
  <c r="G61" i="17"/>
  <c r="G53" i="17" s="1"/>
  <c r="Q60" i="17"/>
  <c r="Q61" i="17" s="1"/>
  <c r="H61" i="17"/>
  <c r="H53" i="17" s="1"/>
  <c r="J61" i="17"/>
  <c r="J53" i="17" s="1"/>
  <c r="R60" i="17"/>
  <c r="G45" i="8" l="1"/>
  <c r="H45" i="8"/>
  <c r="F45" i="8"/>
  <c r="J45" i="8"/>
  <c r="L45" i="8"/>
  <c r="K45" i="8"/>
  <c r="I4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M3" authorId="0" shapeId="0" xr:uid="{E6F3CF9F-9544-46A8-9FA8-7C669082AF73}">
      <text>
        <r>
          <rPr>
            <sz val="9"/>
            <color indexed="81"/>
            <rFont val="MS P ゴシック"/>
            <family val="3"/>
            <charset val="128"/>
          </rPr>
          <t xml:space="preserve">使用前提：
処理結果は正常以外に設定する場合有効
</t>
        </r>
      </text>
    </comment>
    <comment ref="P3" authorId="0" shapeId="0" xr:uid="{CD551437-FE31-4FF5-BB32-666D727E0985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使用前提：
処理結果は正常以外に設定する場合有効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K3" authorId="0" shapeId="0" xr:uid="{CA6BBDD4-A536-45EB-AAA0-5F26EC63BA06}">
      <text>
        <r>
          <rPr>
            <b/>
            <sz val="9"/>
            <color indexed="81"/>
            <rFont val="MS P ゴシック"/>
            <family val="3"/>
            <charset val="128"/>
          </rPr>
          <t>使用前提：
処理結果は正常以外に設定する場合有効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44" authorId="0" shapeId="0" xr:uid="{B0A41D0B-D023-4F2D-B8B9-43824D3279A4}">
      <text>
        <r>
          <rPr>
            <b/>
            <sz val="9"/>
            <color indexed="81"/>
            <rFont val="MS P ゴシック"/>
            <family val="3"/>
            <charset val="128"/>
          </rPr>
          <t>使用前提：
処理結果は正常以外に設定する場合有効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M3" authorId="0" shapeId="0" xr:uid="{45F7FEFF-CC2B-4814-8F0E-1083B9E21F7A}">
      <text>
        <r>
          <rPr>
            <sz val="9"/>
            <color indexed="81"/>
            <rFont val="MS P ゴシック"/>
            <family val="3"/>
            <charset val="128"/>
          </rPr>
          <t>失敗時のエラーは「処理結果」の設定と同じです。
成功の場合、正常のレスポンスを返却します。
その他：
失敗→成功後循環処理します。
失敗の計数は当日内のみ有効</t>
        </r>
      </text>
    </comment>
    <comment ref="M42" authorId="0" shapeId="0" xr:uid="{0BC5D652-569F-477A-B595-06EF944C33D1}">
      <text>
        <r>
          <rPr>
            <sz val="9"/>
            <color indexed="81"/>
            <rFont val="MS P ゴシック"/>
            <family val="3"/>
            <charset val="128"/>
          </rPr>
          <t>失敗時のエラーは「処理結果」の設定と同じです。
成功の場合、正常のレスポンスを返却します。
その他：
失敗→成功後循環処理します。
失敗の計数は当日内のみ有効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<sst xmlns="http://schemas.openxmlformats.org/spreadsheetml/2006/main" count="1343" uniqueCount="519">
  <si>
    <t>"99"：その他エラー</t>
    <phoneticPr fontId="27"/>
  </si>
  <si>
    <t>応答結果</t>
  </si>
  <si>
    <t>ルートタグ</t>
  </si>
  <si>
    <t>IF情報</t>
  </si>
  <si>
    <t>電文区分</t>
  </si>
  <si>
    <t>処理結果</t>
  </si>
  <si>
    <t>業務区分</t>
  </si>
  <si>
    <t>企業ＩＤ</t>
  </si>
  <si>
    <t>通　番</t>
  </si>
  <si>
    <t>レジ　No.</t>
  </si>
  <si>
    <t>チケット発券操作レジＮｏ．</t>
  </si>
  <si>
    <t>注文種別</t>
  </si>
  <si>
    <t>商品情報区分</t>
  </si>
  <si>
    <t>利用年月日時分秒</t>
  </si>
  <si>
    <t>処理通番</t>
  </si>
  <si>
    <t>再送区分</t>
  </si>
  <si>
    <t>要求区分</t>
  </si>
  <si>
    <t>問合せ・完了区分</t>
  </si>
  <si>
    <t>注文情報</t>
    <rPh sb="0" eb="4">
      <t>チュウモンジョウホウ</t>
    </rPh>
    <phoneticPr fontId="25"/>
  </si>
  <si>
    <t>決済ＩＤ(検索キー）</t>
  </si>
  <si>
    <t>バーコードNo.</t>
  </si>
  <si>
    <t>支払種別</t>
  </si>
  <si>
    <t>納品種別</t>
  </si>
  <si>
    <t>店舗番号</t>
  </si>
  <si>
    <t>店名</t>
  </si>
  <si>
    <t>住所</t>
  </si>
  <si>
    <t>店舗電話番号</t>
  </si>
  <si>
    <t>売上計上区分</t>
  </si>
  <si>
    <t>印紙基準額</t>
  </si>
  <si>
    <t>価格変更フラグ</t>
  </si>
  <si>
    <t>払込票番号/引換票番号</t>
  </si>
  <si>
    <t>SHOP-CD</t>
  </si>
  <si>
    <t>商品代金</t>
  </si>
  <si>
    <t>ショップ名</t>
  </si>
  <si>
    <t>お客様名</t>
  </si>
  <si>
    <t>ｼｮｯﾌﾟ連絡先</t>
  </si>
  <si>
    <t>"5"：新プリペイドサービス</t>
    <phoneticPr fontId="28"/>
  </si>
  <si>
    <t>"999999"：最大値</t>
    <rPh sb="9" eb="12">
      <t>サイダイチ</t>
    </rPh>
    <phoneticPr fontId="28"/>
  </si>
  <si>
    <t>"3"：チケット発券</t>
    <phoneticPr fontId="28"/>
  </si>
  <si>
    <t>"2"：売上計上/未収入金計上</t>
    <phoneticPr fontId="28"/>
  </si>
  <si>
    <t>"3"：後払い</t>
    <phoneticPr fontId="28"/>
  </si>
  <si>
    <t>"000000"：最低値</t>
    <rPh sb="9" eb="12">
      <t>サイテイチ</t>
    </rPh>
    <phoneticPr fontId="28"/>
  </si>
  <si>
    <t>"00236"：オリンピックチケット</t>
    <phoneticPr fontId="28"/>
  </si>
  <si>
    <t>"1"：合計金額の変更がある場合</t>
    <phoneticPr fontId="28"/>
  </si>
  <si>
    <t>"1"：売上計上</t>
    <phoneticPr fontId="28"/>
  </si>
  <si>
    <t>'"2"：宅配</t>
  </si>
  <si>
    <t>"2"：代金引換</t>
    <phoneticPr fontId="28"/>
  </si>
  <si>
    <t>"00000"：オリンピックチケット以外</t>
    <rPh sb="18" eb="20">
      <t>イガイ</t>
    </rPh>
    <phoneticPr fontId="28"/>
  </si>
  <si>
    <t>" "（半角空白）：下記以外の場合</t>
    <rPh sb="10" eb="11">
      <t>シタ</t>
    </rPh>
    <phoneticPr fontId="28"/>
  </si>
  <si>
    <t>" "（半角空白）：預り金計上</t>
    <phoneticPr fontId="28"/>
  </si>
  <si>
    <t>'"1"：店渡し</t>
  </si>
  <si>
    <t>"1"：前払い</t>
    <phoneticPr fontId="28"/>
  </si>
  <si>
    <t>'"00"：正常（決済可能）</t>
  </si>
  <si>
    <t>ビット値
（必要桁数まで足りない場合は左0埋め）</t>
    <rPh sb="3" eb="4">
      <t>アタイ</t>
    </rPh>
    <rPh sb="6" eb="8">
      <t>ヒツヨウ</t>
    </rPh>
    <rPh sb="8" eb="10">
      <t>ケタスウ</t>
    </rPh>
    <rPh sb="12" eb="13">
      <t>タ</t>
    </rPh>
    <rPh sb="16" eb="18">
      <t>バアイ</t>
    </rPh>
    <rPh sb="19" eb="20">
      <t>ヒダリ</t>
    </rPh>
    <rPh sb="21" eb="22">
      <t>ウ</t>
    </rPh>
    <phoneticPr fontId="28"/>
  </si>
  <si>
    <t>'"01"：検索キーエラー</t>
  </si>
  <si>
    <t>'"02"：支払期限エラー</t>
  </si>
  <si>
    <t>'"03"：支払済み</t>
  </si>
  <si>
    <t>'"05"：決済中止</t>
  </si>
  <si>
    <t>" "（半角空白） 固定</t>
    <phoneticPr fontId="28"/>
  </si>
  <si>
    <t>"0067" 固定　　：新型チケットプリンター対応業務ＩＤ</t>
    <phoneticPr fontId="28"/>
  </si>
  <si>
    <t>"07" 固定</t>
    <phoneticPr fontId="28"/>
  </si>
  <si>
    <t>"22" 固定</t>
    <phoneticPr fontId="28"/>
  </si>
  <si>
    <t>"SQ" 固定</t>
    <phoneticPr fontId="28"/>
  </si>
  <si>
    <r>
      <t>"</t>
    </r>
    <r>
      <rPr>
        <sz val="11"/>
        <color theme="1"/>
        <rFont val="Microsoft YaHei"/>
        <family val="2"/>
        <charset val="134"/>
      </rPr>
      <t>001000</t>
    </r>
    <r>
      <rPr>
        <sz val="11"/>
        <color theme="1"/>
        <rFont val="Yu Gothic"/>
        <family val="2"/>
        <charset val="128"/>
        <scheme val="minor"/>
      </rPr>
      <t>"：一般値</t>
    </r>
    <rPh sb="9" eb="11">
      <t>イッパン</t>
    </rPh>
    <rPh sb="11" eb="12">
      <t>チ</t>
    </rPh>
    <phoneticPr fontId="28"/>
  </si>
  <si>
    <t>"6" + リクエスト[決済ＩＤ（検索キー）]の値を設定</t>
    <phoneticPr fontId="28"/>
  </si>
  <si>
    <r>
      <rPr>
        <sz val="11"/>
        <color theme="1"/>
        <rFont val="Microsoft YaHei"/>
        <family val="2"/>
        <charset val="134"/>
      </rPr>
      <t>20</t>
    </r>
    <r>
      <rPr>
        <sz val="11"/>
        <color theme="1"/>
        <rFont val="Yu Gothic"/>
        <family val="2"/>
        <charset val="128"/>
        <scheme val="minor"/>
      </rPr>
      <t>件</t>
    </r>
    <rPh sb="2" eb="3">
      <t>ケン</t>
    </rPh>
    <phoneticPr fontId="28"/>
  </si>
  <si>
    <r>
      <rPr>
        <sz val="11"/>
        <color theme="1"/>
        <rFont val="Microsoft YaHei"/>
        <family val="2"/>
        <charset val="134"/>
      </rPr>
      <t>10</t>
    </r>
    <r>
      <rPr>
        <sz val="11"/>
        <color theme="1"/>
        <rFont val="Yu Gothic"/>
        <family val="2"/>
        <charset val="128"/>
        <scheme val="minor"/>
      </rPr>
      <t>件</t>
    </r>
    <rPh sb="2" eb="3">
      <t>ケン</t>
    </rPh>
    <phoneticPr fontId="28"/>
  </si>
  <si>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Yu Gothic"/>
        <family val="2"/>
        <charset val="128"/>
        <scheme val="minor"/>
      </rPr>
      <t>件</t>
    </r>
    <rPh sb="1" eb="2">
      <t>ケン</t>
    </rPh>
    <phoneticPr fontId="28"/>
  </si>
  <si>
    <r>
      <rPr>
        <sz val="11"/>
        <color theme="1"/>
        <rFont val="Microsoft YaHei"/>
        <family val="2"/>
        <charset val="134"/>
      </rPr>
      <t>0</t>
    </r>
    <r>
      <rPr>
        <sz val="11"/>
        <color theme="1"/>
        <rFont val="Yu Gothic"/>
        <family val="2"/>
        <charset val="128"/>
        <scheme val="minor"/>
      </rPr>
      <t>件</t>
    </r>
    <rPh sb="1" eb="2">
      <t>ケン</t>
    </rPh>
    <phoneticPr fontId="28"/>
  </si>
  <si>
    <t>店　番</t>
    <phoneticPr fontId="28"/>
  </si>
  <si>
    <t>リクエスト「店　番」の値を設定</t>
    <phoneticPr fontId="28"/>
  </si>
  <si>
    <t>機能区分</t>
    <phoneticPr fontId="28"/>
  </si>
  <si>
    <t>チケット発券個別情報</t>
    <phoneticPr fontId="25"/>
  </si>
  <si>
    <t>"000000 固定</t>
    <phoneticPr fontId="28"/>
  </si>
  <si>
    <t>レスポンスの設定値（発券）</t>
    <rPh sb="6" eb="8">
      <t>セッテイ</t>
    </rPh>
    <rPh sb="8" eb="9">
      <t>アタイ</t>
    </rPh>
    <rPh sb="10" eb="12">
      <t>ハッケン</t>
    </rPh>
    <phoneticPr fontId="28"/>
  </si>
  <si>
    <t>"ショップ名                                        " 固定</t>
    <phoneticPr fontId="28"/>
  </si>
  <si>
    <t>"お客様名                      " 固定</t>
    <phoneticPr fontId="28"/>
  </si>
  <si>
    <t>"ショップ連絡先                                                  " 固定</t>
    <phoneticPr fontId="28"/>
  </si>
  <si>
    <t>"○○店舗                            "固定</t>
    <phoneticPr fontId="28"/>
  </si>
  <si>
    <t>"住所（漢字）                                    "固定</t>
    <phoneticPr fontId="28"/>
  </si>
  <si>
    <t>"029-298-0203"固定</t>
    <phoneticPr fontId="28"/>
  </si>
  <si>
    <t>"             "固定</t>
    <phoneticPr fontId="28"/>
  </si>
  <si>
    <t>チケットデータ（１）～（N）</t>
    <phoneticPr fontId="31"/>
  </si>
  <si>
    <r>
      <t>印刷用バーコード（１）～（</t>
    </r>
    <r>
      <rPr>
        <b/>
        <i/>
        <sz val="11"/>
        <rFont val="Yu Gothic"/>
        <family val="3"/>
        <charset val="128"/>
        <scheme val="minor"/>
      </rPr>
      <t>N</t>
    </r>
    <r>
      <rPr>
        <sz val="11"/>
        <rFont val="Yu Gothic"/>
        <family val="3"/>
        <charset val="128"/>
        <scheme val="minor"/>
      </rPr>
      <t>）</t>
    </r>
    <phoneticPr fontId="31"/>
  </si>
  <si>
    <r>
      <t>ﾃﾝﾌﾟﾚｰﾄHTMLﾌｧｲﾙ名（１）～（</t>
    </r>
    <r>
      <rPr>
        <b/>
        <i/>
        <sz val="11"/>
        <rFont val="Yu Gothic"/>
        <family val="3"/>
        <charset val="128"/>
        <scheme val="minor"/>
      </rPr>
      <t>N</t>
    </r>
    <r>
      <rPr>
        <sz val="11"/>
        <rFont val="Yu Gothic"/>
        <family val="3"/>
        <charset val="128"/>
        <scheme val="minor"/>
      </rPr>
      <t>）</t>
    </r>
    <phoneticPr fontId="31"/>
  </si>
  <si>
    <t>レスポンスの設定値（払戻し）</t>
    <rPh sb="6" eb="8">
      <t>セッテイ</t>
    </rPh>
    <rPh sb="8" eb="9">
      <t>アタイ</t>
    </rPh>
    <rPh sb="10" eb="12">
      <t>ハライモド</t>
    </rPh>
    <phoneticPr fontId="28"/>
  </si>
  <si>
    <t>払込票番号</t>
    <phoneticPr fontId="27"/>
  </si>
  <si>
    <t>" "（半角空白） 固定</t>
    <phoneticPr fontId="27"/>
  </si>
  <si>
    <t>"                                    "固定</t>
    <phoneticPr fontId="28"/>
  </si>
  <si>
    <t>"                                                "固定</t>
    <phoneticPr fontId="28"/>
  </si>
  <si>
    <t>バーコードNo.</t>
    <phoneticPr fontId="27"/>
  </si>
  <si>
    <t>リクエスト「バーコード」2～12バイト"の値を設定</t>
    <phoneticPr fontId="27"/>
  </si>
  <si>
    <t>"6" + リクエスト「バーコード」2～12バイト"の値を設定</t>
    <phoneticPr fontId="28"/>
  </si>
  <si>
    <t>ショップ連絡先</t>
    <phoneticPr fontId="27"/>
  </si>
  <si>
    <t>開始日</t>
    <phoneticPr fontId="27"/>
  </si>
  <si>
    <t>終了日</t>
    <phoneticPr fontId="27"/>
  </si>
  <si>
    <t>開始時刻</t>
    <phoneticPr fontId="27"/>
  </si>
  <si>
    <t>終了時刻</t>
    <phoneticPr fontId="27"/>
  </si>
  <si>
    <t>興行名称</t>
    <phoneticPr fontId="27"/>
  </si>
  <si>
    <t>公演日</t>
    <phoneticPr fontId="27"/>
  </si>
  <si>
    <t>半券確認要否</t>
    <phoneticPr fontId="27"/>
  </si>
  <si>
    <t>払戻し不可理由</t>
    <phoneticPr fontId="27"/>
  </si>
  <si>
    <t>チケット手数料払戻金額</t>
    <phoneticPr fontId="27"/>
  </si>
  <si>
    <r>
      <t>"ハライモドシテスト                                                                                                                                                                                      "</t>
    </r>
    <r>
      <rPr>
        <sz val="11"/>
        <color theme="1"/>
        <rFont val="Meiryo UI"/>
        <family val="2"/>
        <charset val="128"/>
      </rPr>
      <t>固定</t>
    </r>
    <rPh sb="193" eb="195">
      <t>コテイ</t>
    </rPh>
    <phoneticPr fontId="27"/>
  </si>
  <si>
    <t>”  ”固定</t>
    <rPh sb="4" eb="6">
      <t>コテイ</t>
    </rPh>
    <phoneticPr fontId="27"/>
  </si>
  <si>
    <t>"20250228" 固定</t>
    <phoneticPr fontId="28"/>
  </si>
  <si>
    <t>「No.1_EC関連問合せ応答_マッピング」シート参照</t>
    <rPh sb="25" eb="27">
      <t>サンショウ</t>
    </rPh>
    <phoneticPr fontId="28"/>
  </si>
  <si>
    <t>「No.2_EC関連払戻し応答_マッピング」シート参照</t>
    <rPh sb="25" eb="27">
      <t>サンショウ</t>
    </rPh>
    <phoneticPr fontId="28"/>
  </si>
  <si>
    <t>"05"：決済中止</t>
    <phoneticPr fontId="27"/>
  </si>
  <si>
    <t>"11"：店舗指定ｴﾗｰ</t>
    <phoneticPr fontId="27"/>
  </si>
  <si>
    <t>"51"：払戻済み</t>
    <phoneticPr fontId="27"/>
  </si>
  <si>
    <t>"57"：払戻期間終了後エラー</t>
    <phoneticPr fontId="27"/>
  </si>
  <si>
    <t>"56"：初日時間前エラー</t>
    <phoneticPr fontId="27"/>
  </si>
  <si>
    <t>"55"：払戻ｻｰﾋﾞｽ時間帯ｴﾗｰ</t>
    <phoneticPr fontId="27"/>
  </si>
  <si>
    <t>"53"：払戻不可エラー</t>
    <phoneticPr fontId="27"/>
  </si>
  <si>
    <t>"52"：払戻期間前エラー</t>
    <phoneticPr fontId="27"/>
  </si>
  <si>
    <t>SHOP-CD</t>
    <phoneticPr fontId="27"/>
  </si>
  <si>
    <t>払戻金額</t>
    <phoneticPr fontId="27"/>
  </si>
  <si>
    <t>収納金額</t>
    <phoneticPr fontId="28"/>
  </si>
  <si>
    <t>"0"：不要</t>
    <phoneticPr fontId="27"/>
  </si>
  <si>
    <t>"1"：要</t>
    <phoneticPr fontId="27"/>
  </si>
  <si>
    <t>"20250101"、"20250131"</t>
    <phoneticPr fontId="27"/>
  </si>
  <si>
    <t>"20250201"、"99999999"</t>
    <phoneticPr fontId="27"/>
  </si>
  <si>
    <t>"99999999"、"20250131"</t>
    <phoneticPr fontId="27"/>
  </si>
  <si>
    <t>"20000101"、"99999999"</t>
    <phoneticPr fontId="27"/>
  </si>
  <si>
    <t>"0000"、"2359"</t>
    <phoneticPr fontId="27"/>
  </si>
  <si>
    <t>"0000"、"9999"</t>
    <phoneticPr fontId="27"/>
  </si>
  <si>
    <t>"0930"、"1259"</t>
    <phoneticPr fontId="27"/>
  </si>
  <si>
    <t>"1830"、"2200"</t>
    <phoneticPr fontId="27"/>
  </si>
  <si>
    <t>レスポンスの設定値</t>
    <rPh sb="6" eb="8">
      <t>セッテイ</t>
    </rPh>
    <rPh sb="8" eb="9">
      <t>アタイ</t>
    </rPh>
    <phoneticPr fontId="28"/>
  </si>
  <si>
    <t>店　番</t>
  </si>
  <si>
    <t>レジNo.</t>
  </si>
  <si>
    <t>チケット発券操作レジNo.</t>
  </si>
  <si>
    <t>完了通知区分</t>
  </si>
  <si>
    <t>支払方法区分</t>
  </si>
  <si>
    <t>注文情報</t>
  </si>
  <si>
    <t>決済ＩＤ（検索キー）</t>
  </si>
  <si>
    <t>CVSコード</t>
  </si>
  <si>
    <t>機能区分</t>
  </si>
  <si>
    <t>収納金額</t>
  </si>
  <si>
    <t>応答結果区分</t>
  </si>
  <si>
    <t>'"22" 固定</t>
  </si>
  <si>
    <t>"1" 固定</t>
    <phoneticPr fontId="28"/>
  </si>
  <si>
    <t>"0"：通常</t>
    <rPh sb="4" eb="6">
      <t>ツウジョウ</t>
    </rPh>
    <phoneticPr fontId="28"/>
  </si>
  <si>
    <t>"8037110000004" 固定</t>
    <phoneticPr fontId="28"/>
  </si>
  <si>
    <t>"3"：チケット発券</t>
    <phoneticPr fontId="27"/>
  </si>
  <si>
    <t>99 固定　　：完了通知</t>
    <phoneticPr fontId="27"/>
  </si>
  <si>
    <t>シナリオ番号</t>
    <rPh sb="4" eb="6">
      <t>バンゴウ</t>
    </rPh>
    <phoneticPr fontId="28"/>
  </si>
  <si>
    <t>シナリオ</t>
    <phoneticPr fontId="27"/>
  </si>
  <si>
    <t>MS呼び出しAPI</t>
    <phoneticPr fontId="27"/>
  </si>
  <si>
    <t>期待されるレスポンス</t>
    <rPh sb="0" eb="2">
      <t>キタイ</t>
    </rPh>
    <phoneticPr fontId="27"/>
  </si>
  <si>
    <t>要求区分</t>
    <rPh sb="0" eb="2">
      <t>ヨウキュウ</t>
    </rPh>
    <rPh sb="2" eb="4">
      <t>クブン</t>
    </rPh>
    <phoneticPr fontId="27"/>
  </si>
  <si>
    <t>HTTPステータスコード</t>
    <phoneticPr fontId="27"/>
  </si>
  <si>
    <t>処理結果</t>
    <phoneticPr fontId="27"/>
  </si>
  <si>
    <t>応答結果</t>
    <rPh sb="0" eb="2">
      <t>オウトウ</t>
    </rPh>
    <rPh sb="2" eb="4">
      <t>ケッカ</t>
    </rPh>
    <phoneticPr fontId="27"/>
  </si>
  <si>
    <t>200：正常</t>
  </si>
  <si>
    <t>"00"：正常応答</t>
  </si>
  <si>
    <t>"00"：正常応答</t>
    <phoneticPr fontId="27"/>
  </si>
  <si>
    <t>"00"以外：取引エラー</t>
    <rPh sb="4" eb="6">
      <t>イガイ</t>
    </rPh>
    <rPh sb="7" eb="9">
      <t>トリヒキ</t>
    </rPh>
    <phoneticPr fontId="27"/>
  </si>
  <si>
    <t>"00"以外：処理結果エラー</t>
    <rPh sb="4" eb="6">
      <t>イガイ</t>
    </rPh>
    <rPh sb="7" eb="11">
      <t>ショリケッカ</t>
    </rPh>
    <phoneticPr fontId="27"/>
  </si>
  <si>
    <t>ー</t>
    <phoneticPr fontId="27"/>
  </si>
  <si>
    <t>200または500</t>
    <phoneticPr fontId="27"/>
  </si>
  <si>
    <t>"00" ：正常</t>
    <phoneticPr fontId="27"/>
  </si>
  <si>
    <t>完了通知正常</t>
    <phoneticPr fontId="27"/>
  </si>
  <si>
    <t>完了通知実施API</t>
    <rPh sb="0" eb="6">
      <t>カンリョウツウチジッシ</t>
    </rPh>
    <phoneticPr fontId="27"/>
  </si>
  <si>
    <t>完了通知異常(取引エラー)</t>
    <rPh sb="0" eb="4">
      <t>カンリョウツウチ</t>
    </rPh>
    <rPh sb="4" eb="6">
      <t>イジョウ</t>
    </rPh>
    <phoneticPr fontId="27"/>
  </si>
  <si>
    <t>完了通知異常(処理結果エラー )</t>
    <phoneticPr fontId="27"/>
  </si>
  <si>
    <t>完了通知異常(タイムアウト)</t>
    <rPh sb="4" eb="6">
      <t>イジョウ</t>
    </rPh>
    <phoneticPr fontId="27"/>
  </si>
  <si>
    <t>"00"：正常</t>
    <phoneticPr fontId="27"/>
  </si>
  <si>
    <t xml:space="preserve">"11"：業務区分エラー </t>
    <phoneticPr fontId="27"/>
  </si>
  <si>
    <t>"01"：検索キーエラー</t>
  </si>
  <si>
    <t>"14"：サービス時間帯エラー</t>
    <phoneticPr fontId="27"/>
  </si>
  <si>
    <t>"99"：その他エラー</t>
  </si>
  <si>
    <t>”1”：クレジット支払</t>
    <phoneticPr fontId="27"/>
  </si>
  <si>
    <t>”2”：クレジット支払以外</t>
    <phoneticPr fontId="27"/>
  </si>
  <si>
    <t>” ”スペース：ネット商品返品の場合</t>
    <phoneticPr fontId="27"/>
  </si>
  <si>
    <t>"10"：電文区分エラー</t>
    <phoneticPr fontId="27"/>
  </si>
  <si>
    <t>再送区分</t>
    <phoneticPr fontId="28"/>
  </si>
  <si>
    <t xml:space="preserve">"0"：通常 </t>
    <phoneticPr fontId="27"/>
  </si>
  <si>
    <t>1：再送</t>
  </si>
  <si>
    <t>再送区分</t>
    <rPh sb="0" eb="2">
      <t>サイソウ</t>
    </rPh>
    <rPh sb="2" eb="4">
      <t>クブン</t>
    </rPh>
    <phoneticPr fontId="27"/>
  </si>
  <si>
    <t>オンライン・プリペイドチケット情報取得API</t>
    <phoneticPr fontId="27"/>
  </si>
  <si>
    <t>EC関連問合せAPI(リクエストパラメータ)</t>
    <phoneticPr fontId="27"/>
  </si>
  <si>
    <t>「No.1_EC関連問合せ応答_マッピング」シート参照</t>
    <phoneticPr fontId="27"/>
  </si>
  <si>
    <t>「No.2_EC関連払戻し応答_マッピング」シート参照</t>
    <phoneticPr fontId="27"/>
  </si>
  <si>
    <t>"A"：チケット発券依頼（代引）</t>
    <phoneticPr fontId="27"/>
  </si>
  <si>
    <t>チケット払戻情報取得API</t>
    <phoneticPr fontId="27"/>
  </si>
  <si>
    <t>"E"：チケット払戻</t>
    <phoneticPr fontId="27"/>
  </si>
  <si>
    <t>"L"：チケット払戻取消</t>
    <phoneticPr fontId="27"/>
  </si>
  <si>
    <r>
      <t>"</t>
    </r>
    <r>
      <rPr>
        <sz val="11"/>
        <color theme="1"/>
        <rFont val="Microsoft YaHei"/>
        <family val="2"/>
        <charset val="134"/>
      </rPr>
      <t>000</t>
    </r>
    <r>
      <rPr>
        <sz val="11"/>
        <color theme="1"/>
        <rFont val="Yu Gothic"/>
        <family val="2"/>
        <charset val="128"/>
      </rPr>
      <t>3</t>
    </r>
    <r>
      <rPr>
        <sz val="11"/>
        <color theme="1"/>
        <rFont val="Microsoft YaHei"/>
        <family val="2"/>
        <charset val="134"/>
      </rPr>
      <t>00</t>
    </r>
    <r>
      <rPr>
        <sz val="11"/>
        <color theme="1"/>
        <rFont val="Yu Gothic"/>
        <family val="2"/>
        <charset val="128"/>
        <scheme val="minor"/>
      </rPr>
      <t>"：一般値</t>
    </r>
    <rPh sb="9" eb="11">
      <t>イッパン</t>
    </rPh>
    <rPh sb="11" eb="12">
      <t>チ</t>
    </rPh>
    <phoneticPr fontId="28"/>
  </si>
  <si>
    <t>ID</t>
    <phoneticPr fontId="28"/>
  </si>
  <si>
    <t>tuban</t>
  </si>
  <si>
    <t>denbun_kubun</t>
    <phoneticPr fontId="31"/>
  </si>
  <si>
    <t>syori_kekka</t>
  </si>
  <si>
    <t>gyomu_kubun</t>
    <phoneticPr fontId="31"/>
  </si>
  <si>
    <t>kigyo_id</t>
    <phoneticPr fontId="31"/>
  </si>
  <si>
    <t>mise_no</t>
  </si>
  <si>
    <t>tuban</t>
    <phoneticPr fontId="31"/>
  </si>
  <si>
    <t>regi_no</t>
  </si>
  <si>
    <t>ticket_regi_no</t>
  </si>
  <si>
    <t>order_type</t>
    <phoneticPr fontId="31"/>
  </si>
  <si>
    <t>syohin_info_kbn</t>
    <phoneticPr fontId="31"/>
  </si>
  <si>
    <t>riyo_time_ymdhms</t>
    <phoneticPr fontId="31"/>
  </si>
  <si>
    <t>syori_tuban</t>
    <phoneticPr fontId="31"/>
  </si>
  <si>
    <t>retry_flg</t>
    <phoneticPr fontId="31"/>
  </si>
  <si>
    <t>yokyu_kubun</t>
    <phoneticPr fontId="31"/>
  </si>
  <si>
    <t>toiawase_kanryo_kubun</t>
    <phoneticPr fontId="31"/>
  </si>
  <si>
    <t>order_info</t>
  </si>
  <si>
    <t>order_info</t>
    <phoneticPr fontId="28"/>
  </si>
  <si>
    <t>kensaku_key</t>
    <phoneticPr fontId="31"/>
  </si>
  <si>
    <t>bar_code_no</t>
    <phoneticPr fontId="31"/>
  </si>
  <si>
    <t>oto_kekka</t>
  </si>
  <si>
    <t>dlv_type</t>
    <phoneticPr fontId="31"/>
  </si>
  <si>
    <t>tenpo_bango</t>
    <phoneticPr fontId="31"/>
  </si>
  <si>
    <t>mise_namek</t>
    <phoneticPr fontId="31"/>
  </si>
  <si>
    <t>mise_address</t>
    <phoneticPr fontId="31"/>
  </si>
  <si>
    <t>tenpo_tel_no</t>
    <phoneticPr fontId="31"/>
  </si>
  <si>
    <t>keijyo_type</t>
    <phoneticPr fontId="31"/>
  </si>
  <si>
    <t>inshi_kijun</t>
    <phoneticPr fontId="31"/>
  </si>
  <si>
    <t>kingaku_henko_flg</t>
    <phoneticPr fontId="31"/>
  </si>
  <si>
    <t>kino_kbn</t>
    <phoneticPr fontId="31"/>
  </si>
  <si>
    <t>haraikomi_no</t>
    <phoneticPr fontId="31"/>
  </si>
  <si>
    <t>shop_id</t>
    <phoneticPr fontId="31"/>
  </si>
  <si>
    <t>shuno_kingaku</t>
    <phoneticPr fontId="31"/>
  </si>
  <si>
    <t>shohin_daikin</t>
    <phoneticPr fontId="31"/>
  </si>
  <si>
    <t>shop_namek</t>
    <phoneticPr fontId="31"/>
  </si>
  <si>
    <t>user_namek</t>
  </si>
  <si>
    <t>renraku_saki</t>
    <phoneticPr fontId="31"/>
  </si>
  <si>
    <t>html_nameN</t>
  </si>
  <si>
    <t>barcodeN</t>
  </si>
  <si>
    <t>ticket_dataN</t>
  </si>
  <si>
    <t>ID</t>
    <phoneticPr fontId="27"/>
  </si>
  <si>
    <t>interface_info</t>
  </si>
  <si>
    <t>denbun_kubun</t>
  </si>
  <si>
    <t>gyomu_kubun</t>
  </si>
  <si>
    <t>kigyo_id</t>
  </si>
  <si>
    <t>riyo_time_ymdhms</t>
    <phoneticPr fontId="28"/>
  </si>
  <si>
    <t>syori_tuban</t>
  </si>
  <si>
    <t>retry_flg</t>
    <phoneticPr fontId="28"/>
  </si>
  <si>
    <t>yokyu_kubun</t>
  </si>
  <si>
    <t>payback_info</t>
    <phoneticPr fontId="31"/>
  </si>
  <si>
    <t>kessai_id</t>
    <phoneticPr fontId="31"/>
  </si>
  <si>
    <t>payback_kingaku</t>
    <phoneticPr fontId="31"/>
  </si>
  <si>
    <t>shop_namek</t>
  </si>
  <si>
    <t>payback_start_ymd</t>
    <phoneticPr fontId="31"/>
  </si>
  <si>
    <t>payback_end_ymd</t>
    <phoneticPr fontId="31"/>
  </si>
  <si>
    <t>svc_time_start_hm</t>
    <phoneticPr fontId="31"/>
  </si>
  <si>
    <t>svc_time_end_hm</t>
    <phoneticPr fontId="31"/>
  </si>
  <si>
    <t>kogyo_name</t>
    <phoneticPr fontId="31"/>
  </si>
  <si>
    <t>koen_date_ymd</t>
    <phoneticPr fontId="31"/>
  </si>
  <si>
    <t>hanken_yohi</t>
    <phoneticPr fontId="31"/>
  </si>
  <si>
    <t>payback_tesuryo</t>
    <phoneticPr fontId="31"/>
  </si>
  <si>
    <t>syori_kekka</t>
    <phoneticPr fontId="31"/>
  </si>
  <si>
    <t>kanryo_tuchi_kubun</t>
  </si>
  <si>
    <t>shiharai_hoho_kbn</t>
  </si>
  <si>
    <t>riyo_time_ymdhms</t>
  </si>
  <si>
    <t>retry_flg</t>
  </si>
  <si>
    <t>toiawase_kanryo_kubun</t>
  </si>
  <si>
    <t>kensaku_key</t>
  </si>
  <si>
    <t>bar_code_no</t>
  </si>
  <si>
    <t>cvs_code</t>
  </si>
  <si>
    <t>kino_kbn</t>
  </si>
  <si>
    <t>shop_id</t>
  </si>
  <si>
    <t>shuno_kingaku</t>
  </si>
  <si>
    <t>otoKekka_kubun</t>
    <phoneticPr fontId="31"/>
  </si>
  <si>
    <t>"11"：店舗指定エラー</t>
    <phoneticPr fontId="27"/>
  </si>
  <si>
    <t>"12"：店舗引渡中止</t>
    <phoneticPr fontId="27"/>
  </si>
  <si>
    <t>"16"：受付中</t>
    <phoneticPr fontId="27"/>
  </si>
  <si>
    <t>発券正常</t>
    <rPh sb="0" eb="2">
      <t>ハッケン</t>
    </rPh>
    <rPh sb="2" eb="4">
      <t>セイジョウ</t>
    </rPh>
    <phoneticPr fontId="27"/>
  </si>
  <si>
    <t>発券異常(取引エラー)</t>
    <phoneticPr fontId="27"/>
  </si>
  <si>
    <t>発券異常(処理結果エラー )</t>
    <phoneticPr fontId="27"/>
  </si>
  <si>
    <t>発券異常(タイムアウト)</t>
    <rPh sb="2" eb="4">
      <t>イジョウ</t>
    </rPh>
    <phoneticPr fontId="27"/>
  </si>
  <si>
    <t>発券異常→再送正常</t>
    <rPh sb="5" eb="7">
      <t>サイソウ</t>
    </rPh>
    <rPh sb="7" eb="9">
      <t>セイジョウ</t>
    </rPh>
    <phoneticPr fontId="27"/>
  </si>
  <si>
    <t>発券正常→取消正常</t>
    <rPh sb="5" eb="7">
      <t>トリケシ</t>
    </rPh>
    <rPh sb="7" eb="9">
      <t>セイジョウ</t>
    </rPh>
    <phoneticPr fontId="27"/>
  </si>
  <si>
    <t>払戻正常</t>
    <rPh sb="0" eb="2">
      <t>ハライモドシ</t>
    </rPh>
    <rPh sb="2" eb="4">
      <t>セイジョウ</t>
    </rPh>
    <phoneticPr fontId="27"/>
  </si>
  <si>
    <t>払戻異常(取引エラー)</t>
    <phoneticPr fontId="27"/>
  </si>
  <si>
    <t>払戻異常(処理結果エラー )</t>
    <phoneticPr fontId="27"/>
  </si>
  <si>
    <t>払戻異常(タイムアウト)</t>
    <rPh sb="2" eb="4">
      <t>イジョウ</t>
    </rPh>
    <phoneticPr fontId="27"/>
  </si>
  <si>
    <t>発券正常→取消異常(取引エラー)</t>
    <phoneticPr fontId="27"/>
  </si>
  <si>
    <t>発券正常→取消異常(処理結果エラー )</t>
    <phoneticPr fontId="27"/>
  </si>
  <si>
    <t>発券正常→取消異常(タイムアウト)</t>
    <phoneticPr fontId="27"/>
  </si>
  <si>
    <t>発券正常→取消異常→再送正常</t>
    <rPh sb="5" eb="7">
      <t>トリケシ</t>
    </rPh>
    <rPh sb="10" eb="12">
      <t>サイソウ</t>
    </rPh>
    <rPh sb="12" eb="14">
      <t>セイジョウ</t>
    </rPh>
    <phoneticPr fontId="27"/>
  </si>
  <si>
    <t>払戻正常→取消正常</t>
    <rPh sb="5" eb="7">
      <t>トリケシ</t>
    </rPh>
    <rPh sb="7" eb="9">
      <t>セイジョウ</t>
    </rPh>
    <phoneticPr fontId="27"/>
  </si>
  <si>
    <t>払戻正常→取消異常(取引エラー)</t>
    <phoneticPr fontId="27"/>
  </si>
  <si>
    <t>払戻正常→取消異常(処理結果エラー )</t>
    <phoneticPr fontId="27"/>
  </si>
  <si>
    <t>払戻正常→取消異常(タイムアウト)</t>
    <phoneticPr fontId="27"/>
  </si>
  <si>
    <t>払戻正常→取消異常→再送正常</t>
    <rPh sb="5" eb="7">
      <t>トリケシ</t>
    </rPh>
    <rPh sb="10" eb="12">
      <t>サイソウ</t>
    </rPh>
    <rPh sb="12" eb="14">
      <t>セイジョウ</t>
    </rPh>
    <phoneticPr fontId="27"/>
  </si>
  <si>
    <t>"A"：チケット発券依頼（代引）</t>
    <phoneticPr fontId="27"/>
  </si>
  <si>
    <t>外部呼び出しAPI</t>
    <rPh sb="0" eb="2">
      <t>ガイブ</t>
    </rPh>
    <rPh sb="2" eb="3">
      <t>ヨ</t>
    </rPh>
    <rPh sb="4" eb="5">
      <t>ダ</t>
    </rPh>
    <phoneticPr fontId="27"/>
  </si>
  <si>
    <t>ＥＣ関連問合わせ</t>
    <phoneticPr fontId="27"/>
  </si>
  <si>
    <t>EC関連問合せ(払戻し)</t>
    <phoneticPr fontId="27"/>
  </si>
  <si>
    <t>ＥＣ関連完了</t>
    <phoneticPr fontId="27"/>
  </si>
  <si>
    <t>１．オンライン・プリペイドチケット情報取得API
２．オンライン・プリペイドチケット情報取消API</t>
    <phoneticPr fontId="27"/>
  </si>
  <si>
    <t>払戻正常→取消異常→再送異常</t>
    <rPh sb="5" eb="7">
      <t>トリケシ</t>
    </rPh>
    <rPh sb="10" eb="12">
      <t>サイソウ</t>
    </rPh>
    <rPh sb="12" eb="14">
      <t>イジョウ</t>
    </rPh>
    <phoneticPr fontId="27"/>
  </si>
  <si>
    <t>"0"：再送正常</t>
  </si>
  <si>
    <r>
      <t>"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Yu Gothic"/>
        <family val="2"/>
        <charset val="128"/>
        <scheme val="minor"/>
      </rPr>
      <t>"：再送異常</t>
    </r>
  </si>
  <si>
    <t>発券異常→再送異常</t>
    <rPh sb="5" eb="7">
      <t>サイソウ</t>
    </rPh>
    <rPh sb="7" eb="9">
      <t>イジョウ</t>
    </rPh>
    <phoneticPr fontId="27"/>
  </si>
  <si>
    <t>"00"：取消正常</t>
    <rPh sb="5" eb="7">
      <t>トリケシ</t>
    </rPh>
    <phoneticPr fontId="27"/>
  </si>
  <si>
    <t>"01"：取消異常(検索キーエラー)</t>
    <rPh sb="5" eb="7">
      <t>トリケシ</t>
    </rPh>
    <phoneticPr fontId="27"/>
  </si>
  <si>
    <t>400または500</t>
    <phoneticPr fontId="27"/>
  </si>
  <si>
    <t>正常以外</t>
  </si>
  <si>
    <t>正常以外</t>
    <rPh sb="0" eb="2">
      <t>セイジョウ</t>
    </rPh>
    <rPh sb="2" eb="4">
      <t>イガイ</t>
    </rPh>
    <phoneticPr fontId="27"/>
  </si>
  <si>
    <t>"04"：取消異常(取消済み)</t>
    <rPh sb="5" eb="7">
      <t>トリケシ</t>
    </rPh>
    <phoneticPr fontId="27"/>
  </si>
  <si>
    <t>"99"：取消異常(その他エラー)</t>
    <rPh sb="5" eb="7">
      <t>トリケシ</t>
    </rPh>
    <phoneticPr fontId="27"/>
  </si>
  <si>
    <t>チケット発券依頼（代引）問合せ</t>
    <rPh sb="12" eb="14">
      <t>トイアワ</t>
    </rPh>
    <phoneticPr fontId="27"/>
  </si>
  <si>
    <t>チケット発券取消（代引)問合せ</t>
    <phoneticPr fontId="27"/>
  </si>
  <si>
    <t>"54"：取消異常(払戻未済み)</t>
    <rPh sb="5" eb="7">
      <t>トリケシ</t>
    </rPh>
    <phoneticPr fontId="27"/>
  </si>
  <si>
    <t>チケット払戻取消問合せ</t>
    <phoneticPr fontId="27"/>
  </si>
  <si>
    <t>チケット払戻問合せ</t>
    <phoneticPr fontId="27"/>
  </si>
  <si>
    <t>「No.3_EC関連完了応答_マッピング」シートを参照</t>
    <phoneticPr fontId="27"/>
  </si>
  <si>
    <t>「No.2_EC関連払戻し応答」シート参照</t>
    <phoneticPr fontId="27"/>
  </si>
  <si>
    <t>「No.1_EC関連問合せ応答」シート参照</t>
    <rPh sb="13" eb="15">
      <t>オウトウ</t>
    </rPh>
    <phoneticPr fontId="27"/>
  </si>
  <si>
    <t>「No.3_EC関連完了応答」シートを参照</t>
    <phoneticPr fontId="27"/>
  </si>
  <si>
    <t>その他の項目</t>
    <rPh sb="2" eb="3">
      <t>タ</t>
    </rPh>
    <rPh sb="4" eb="6">
      <t>コウモク</t>
    </rPh>
    <phoneticPr fontId="27"/>
  </si>
  <si>
    <t>１．チケット払戻情報取得API
２．チケット払戻取消API</t>
    <phoneticPr fontId="27"/>
  </si>
  <si>
    <t>バーコード情報</t>
    <rPh sb="5" eb="7">
      <t>ジョウホウ</t>
    </rPh>
    <phoneticPr fontId="27"/>
  </si>
  <si>
    <t>決済ID(検索キー)</t>
    <rPh sb="0" eb="2">
      <t>ケッサイ</t>
    </rPh>
    <rPh sb="5" eb="7">
      <t>ケンサク</t>
    </rPh>
    <phoneticPr fontId="27"/>
  </si>
  <si>
    <t>ALL半角空白</t>
  </si>
  <si>
    <t>ALL半角空白</t>
    <rPh sb="3" eb="5">
      <t>ハンカク</t>
    </rPh>
    <rPh sb="5" eb="7">
      <t>クウハク</t>
    </rPh>
    <phoneticPr fontId="27"/>
  </si>
  <si>
    <t>ー</t>
    <phoneticPr fontId="27"/>
  </si>
  <si>
    <r>
      <rPr>
        <sz val="11"/>
        <color theme="1"/>
        <rFont val="Microsoft YaHei"/>
        <family val="2"/>
        <charset val="134"/>
      </rPr>
      <t>2</t>
    </r>
    <r>
      <rPr>
        <sz val="11"/>
        <color theme="1"/>
        <rFont val="Yu Gothic"/>
        <family val="2"/>
        <charset val="128"/>
        <scheme val="minor"/>
      </rPr>
      <t>件</t>
    </r>
    <rPh sb="1" eb="2">
      <t>ケン</t>
    </rPh>
    <phoneticPr fontId="28"/>
  </si>
  <si>
    <t>interface_info</t>
    <phoneticPr fontId="28"/>
  </si>
  <si>
    <t>ticket_info</t>
    <phoneticPr fontId="28"/>
  </si>
  <si>
    <t>pay_type</t>
    <phoneticPr fontId="28"/>
  </si>
  <si>
    <t xml:space="preserve">"B"：チケット発券取消（代引)
</t>
    <phoneticPr fontId="27"/>
  </si>
  <si>
    <t>oto_kekka</t>
    <phoneticPr fontId="28"/>
  </si>
  <si>
    <r>
      <rPr>
        <sz val="11"/>
        <color theme="1"/>
        <rFont val="Yu Gothic"/>
        <family val="2"/>
        <charset val="128"/>
      </rPr>
      <t>2</t>
    </r>
    <r>
      <rPr>
        <sz val="11"/>
        <color theme="1"/>
        <rFont val="Yu Gothic"/>
        <family val="2"/>
        <charset val="128"/>
        <scheme val="minor"/>
      </rPr>
      <t>件</t>
    </r>
    <rPh sb="1" eb="2">
      <t>ケン</t>
    </rPh>
    <phoneticPr fontId="28"/>
  </si>
  <si>
    <t>01</t>
    <phoneticPr fontId="27"/>
  </si>
  <si>
    <t>"2"：宅配</t>
    <phoneticPr fontId="27"/>
  </si>
  <si>
    <t>"1"：店渡し</t>
    <phoneticPr fontId="27"/>
  </si>
  <si>
    <t>決済ＩＤ</t>
    <phoneticPr fontId="27"/>
  </si>
  <si>
    <t>"00767"固定</t>
    <phoneticPr fontId="28"/>
  </si>
  <si>
    <t>"00"：正常（決済可能）</t>
    <phoneticPr fontId="27"/>
  </si>
  <si>
    <t>"01"：検索キーエラー</t>
    <phoneticPr fontId="27"/>
  </si>
  <si>
    <t>下記のどちら一つ方法で期待している項目を選択してください。</t>
    <rPh sb="0" eb="2">
      <t>カキ</t>
    </rPh>
    <rPh sb="6" eb="7">
      <t>ヒト</t>
    </rPh>
    <rPh sb="8" eb="10">
      <t>ホウホウ</t>
    </rPh>
    <rPh sb="11" eb="13">
      <t>キタイ</t>
    </rPh>
    <rPh sb="17" eb="19">
      <t>コウモク</t>
    </rPh>
    <rPh sb="20" eb="22">
      <t>センタク</t>
    </rPh>
    <phoneticPr fontId="27"/>
  </si>
  <si>
    <t>期待結果の項目を選択：</t>
    <rPh sb="0" eb="2">
      <t>キタイ</t>
    </rPh>
    <rPh sb="2" eb="4">
      <t>ケッカ</t>
    </rPh>
    <rPh sb="5" eb="7">
      <t>コウモク</t>
    </rPh>
    <rPh sb="8" eb="10">
      <t>センタク</t>
    </rPh>
    <phoneticPr fontId="27"/>
  </si>
  <si>
    <t>2進数ビット値で期待結果の項目を選択：</t>
    <rPh sb="1" eb="3">
      <t>シンスウ</t>
    </rPh>
    <rPh sb="8" eb="10">
      <t>キタイ</t>
    </rPh>
    <rPh sb="10" eb="12">
      <t>ケッカ</t>
    </rPh>
    <rPh sb="13" eb="15">
      <t>コウモク</t>
    </rPh>
    <rPh sb="16" eb="18">
      <t>センタク</t>
    </rPh>
    <phoneticPr fontId="27"/>
  </si>
  <si>
    <t>バリデーション：</t>
    <phoneticPr fontId="27"/>
  </si>
  <si>
    <t>計算用中間値：</t>
    <rPh sb="0" eb="2">
      <t>ケイサン</t>
    </rPh>
    <rPh sb="2" eb="3">
      <t>ヨウ</t>
    </rPh>
    <rPh sb="3" eb="6">
      <t>チュウカンチ</t>
    </rPh>
    <phoneticPr fontId="27"/>
  </si>
  <si>
    <t>選択された項目の番号：</t>
    <rPh sb="0" eb="2">
      <t>センタク</t>
    </rPh>
    <rPh sb="5" eb="7">
      <t>コウモク</t>
    </rPh>
    <rPh sb="8" eb="10">
      <t>バンゴウ</t>
    </rPh>
    <phoneticPr fontId="27"/>
  </si>
  <si>
    <t>ビットのサイズ：</t>
    <phoneticPr fontId="27"/>
  </si>
  <si>
    <t>内部計算用１：</t>
    <rPh sb="0" eb="2">
      <t>ナイブ</t>
    </rPh>
    <rPh sb="2" eb="4">
      <t>ケイサン</t>
    </rPh>
    <rPh sb="4" eb="5">
      <t>ヨウ</t>
    </rPh>
    <phoneticPr fontId="27"/>
  </si>
  <si>
    <t>内部計算用２：</t>
    <rPh sb="0" eb="2">
      <t>ナイブ</t>
    </rPh>
    <rPh sb="2" eb="4">
      <t>ケイサン</t>
    </rPh>
    <rPh sb="4" eb="5">
      <t>ヨウ</t>
    </rPh>
    <phoneticPr fontId="27"/>
  </si>
  <si>
    <t>計算結果：</t>
    <rPh sb="0" eb="2">
      <t>ケイサン</t>
    </rPh>
    <rPh sb="2" eb="4">
      <t>ケッカ</t>
    </rPh>
    <phoneticPr fontId="27"/>
  </si>
  <si>
    <r>
      <rPr>
        <b/>
        <sz val="12"/>
        <color theme="1"/>
        <rFont val="Yu Gothic"/>
        <family val="3"/>
      </rPr>
      <t>12</t>
    </r>
    <r>
      <rPr>
        <b/>
        <sz val="12"/>
        <color theme="1"/>
        <rFont val="Yu Gothic"/>
        <family val="3"/>
        <charset val="128"/>
        <scheme val="minor"/>
      </rPr>
      <t>桁数字：</t>
    </r>
    <rPh sb="2" eb="3">
      <t>ケタ</t>
    </rPh>
    <rPh sb="3" eb="5">
      <t>スウジ</t>
    </rPh>
    <phoneticPr fontId="27"/>
  </si>
  <si>
    <t>C/D：</t>
    <phoneticPr fontId="27"/>
  </si>
  <si>
    <t>払込票番号：</t>
    <phoneticPr fontId="27"/>
  </si>
  <si>
    <t>マッピング番号（2ビット）</t>
    <phoneticPr fontId="28"/>
  </si>
  <si>
    <r>
      <rPr>
        <b/>
        <sz val="12"/>
        <rFont val="Microsoft YaHei"/>
        <family val="3"/>
        <charset val="134"/>
      </rPr>
      <t>00</t>
    </r>
    <phoneticPr fontId="28"/>
  </si>
  <si>
    <t>決済ID(検索キー)：</t>
    <phoneticPr fontId="27"/>
  </si>
  <si>
    <t>払戻バーコード：</t>
    <phoneticPr fontId="27"/>
  </si>
  <si>
    <t>発券正常→取消異常→再送異常</t>
    <rPh sb="5" eb="7">
      <t>トリケシ</t>
    </rPh>
    <rPh sb="10" eb="12">
      <t>サイソウ</t>
    </rPh>
    <rPh sb="12" eb="14">
      <t>イジョウ</t>
    </rPh>
    <phoneticPr fontId="27"/>
  </si>
  <si>
    <t>"99"：その他エラー(400)</t>
    <phoneticPr fontId="27"/>
  </si>
  <si>
    <t>"99"：その他エラー(500)</t>
    <phoneticPr fontId="27"/>
  </si>
  <si>
    <r>
      <t>"</t>
    </r>
    <r>
      <rPr>
        <sz val="11"/>
        <color theme="1"/>
        <rFont val="Microsoft YaHei"/>
        <family val="2"/>
        <charset val="134"/>
      </rPr>
      <t>00</t>
    </r>
    <r>
      <rPr>
        <sz val="11"/>
        <color theme="1"/>
        <rFont val="Yu Gothic"/>
        <family val="2"/>
        <charset val="128"/>
        <scheme val="minor"/>
      </rPr>
      <t>"：タイムアウト(正常)</t>
    </r>
    <rPh sb="12" eb="14">
      <t>セイジョウ</t>
    </rPh>
    <phoneticPr fontId="27"/>
  </si>
  <si>
    <t>"99"：タイムアウト(その他エラー500)</t>
    <rPh sb="14" eb="15">
      <t>タ</t>
    </rPh>
    <phoneticPr fontId="27"/>
  </si>
  <si>
    <t>200：正常，400または500</t>
    <phoneticPr fontId="27"/>
  </si>
  <si>
    <t>"00"：正常</t>
  </si>
  <si>
    <t>"11"：業務区分エラー</t>
    <phoneticPr fontId="27"/>
  </si>
  <si>
    <t>"00"：正常</t>
    <phoneticPr fontId="28"/>
  </si>
  <si>
    <t>"10"：電文区分エラー</t>
    <phoneticPr fontId="28"/>
  </si>
  <si>
    <t>"11"：業務区分エラー</t>
    <phoneticPr fontId="28"/>
  </si>
  <si>
    <t>"14"：サービス時間帯エラー</t>
    <phoneticPr fontId="28"/>
  </si>
  <si>
    <t>"2"：売上計上/未収入金計上</t>
  </si>
  <si>
    <t>"1"：合計金額の変更がある場合</t>
  </si>
  <si>
    <t>「No.3_EC関連問合せ応答_マッピング」シートを参照</t>
    <rPh sb="26" eb="28">
      <t>サンショウ</t>
    </rPh>
    <phoneticPr fontId="28"/>
  </si>
  <si>
    <t>"00245"：一般値</t>
    <rPh sb="8" eb="11">
      <t>イッパンチ</t>
    </rPh>
    <phoneticPr fontId="28"/>
  </si>
  <si>
    <t>"00745"：一般値</t>
    <rPh sb="8" eb="11">
      <t>イッパンチ</t>
    </rPh>
    <phoneticPr fontId="28"/>
  </si>
  <si>
    <t>"00"(正常)固定</t>
    <rPh sb="5" eb="7">
      <t>セイジョウ</t>
    </rPh>
    <phoneticPr fontId="28"/>
  </si>
  <si>
    <t>「No.4_EC関連問合せ応答_マッピング」シート参照</t>
    <rPh sb="25" eb="27">
      <t>サンショウ</t>
    </rPh>
    <phoneticPr fontId="28"/>
  </si>
  <si>
    <t>B</t>
  </si>
  <si>
    <t>C</t>
  </si>
  <si>
    <t>D</t>
  </si>
  <si>
    <t>E</t>
  </si>
  <si>
    <t>F</t>
  </si>
  <si>
    <t>G</t>
  </si>
  <si>
    <t>券面情報サンプルデータの定義：</t>
    <rPh sb="12" eb="14">
      <t>テイギ</t>
    </rPh>
    <phoneticPr fontId="27"/>
  </si>
  <si>
    <t>テンプレート名称</t>
  </si>
  <si>
    <t>テンプレートコード</t>
  </si>
  <si>
    <t>備考</t>
    <rPh sb="0" eb="2">
      <t>ビコウ</t>
    </rPh>
    <phoneticPr fontId="27"/>
  </si>
  <si>
    <t>A</t>
    <phoneticPr fontId="27"/>
  </si>
  <si>
    <t>B</t>
    <phoneticPr fontId="27"/>
  </si>
  <si>
    <t>C</t>
    <phoneticPr fontId="27"/>
  </si>
  <si>
    <t>D</t>
    <phoneticPr fontId="27"/>
  </si>
  <si>
    <t>E</t>
    <phoneticPr fontId="27"/>
  </si>
  <si>
    <t>F</t>
    <phoneticPr fontId="27"/>
  </si>
  <si>
    <t>NTPM000001</t>
    <phoneticPr fontId="28"/>
  </si>
  <si>
    <t>ぴあMコピー用テンプレート</t>
  </si>
  <si>
    <t>受験料支払</t>
  </si>
  <si>
    <t>ＮＴＪＷ０１００１Ｔ</t>
  </si>
  <si>
    <t>ＮＴＪＷ０１００２Ｔ</t>
  </si>
  <si>
    <t>ＮＴＪＤ０３０２０Ｔ</t>
  </si>
  <si>
    <t>NTPI001102</t>
    <phoneticPr fontId="28"/>
  </si>
  <si>
    <t>ビットキャッシュ_通常</t>
  </si>
  <si>
    <t>NTJW01001T_通常.xml</t>
  </si>
  <si>
    <t>NTJW01002T.xml</t>
  </si>
  <si>
    <t>NTJD03020T_通常_ディズニーシー確認.xml</t>
  </si>
  <si>
    <t>NTPI001102.xml</t>
  </si>
  <si>
    <t>TTDJUP0001_通常.xml</t>
    <phoneticPr fontId="28"/>
  </si>
  <si>
    <t>TTDJUP0001_最大.xml</t>
    <phoneticPr fontId="27"/>
  </si>
  <si>
    <t>TTDJUP0001</t>
    <phoneticPr fontId="27"/>
  </si>
  <si>
    <t>NTJW01001T</t>
    <phoneticPr fontId="27"/>
  </si>
  <si>
    <t>NTJW01002T</t>
    <phoneticPr fontId="27"/>
  </si>
  <si>
    <t>NTJD03020T</t>
    <phoneticPr fontId="27"/>
  </si>
  <si>
    <t>G</t>
    <phoneticPr fontId="27"/>
  </si>
  <si>
    <t>11</t>
    <phoneticPr fontId="28"/>
  </si>
  <si>
    <t>各種チケットテンプレート発券正常</t>
    <rPh sb="0" eb="2">
      <t>カクシュ</t>
    </rPh>
    <rPh sb="12" eb="14">
      <t>ハッケン</t>
    </rPh>
    <rPh sb="14" eb="16">
      <t>セイジョウ</t>
    </rPh>
    <phoneticPr fontId="27"/>
  </si>
  <si>
    <t>各種チケットテンプレート対応</t>
    <rPh sb="0" eb="2">
      <t>カクシュ</t>
    </rPh>
    <rPh sb="12" eb="14">
      <t>タイオウ</t>
    </rPh>
    <phoneticPr fontId="27"/>
  </si>
  <si>
    <t>オンライン・プリペイドチケット情報取得API</t>
    <phoneticPr fontId="27"/>
  </si>
  <si>
    <t xml:space="preserve">"0"：通常 </t>
    <phoneticPr fontId="27"/>
  </si>
  <si>
    <t>A：チケット発券依頼（代引）</t>
  </si>
  <si>
    <t>「No.4_EC関連問合せ応答_マッピング」シート参照</t>
    <phoneticPr fontId="27"/>
  </si>
  <si>
    <t>ALL半角空白</t>
    <phoneticPr fontId="27"/>
  </si>
  <si>
    <t>「No.4_EC関連問合せ応答 」シート参照</t>
    <phoneticPr fontId="27"/>
  </si>
  <si>
    <t>備考欄</t>
    <rPh sb="0" eb="3">
      <t>ビコウラン</t>
    </rPh>
    <phoneticPr fontId="27"/>
  </si>
  <si>
    <t>チケットテンプレート固定</t>
    <phoneticPr fontId="27"/>
  </si>
  <si>
    <t>"000000" 固定</t>
    <phoneticPr fontId="28"/>
  </si>
  <si>
    <r>
      <t xml:space="preserve">「No.4_EC関連問合せ応答_マッピング」シート参照
</t>
    </r>
    <r>
      <rPr>
        <sz val="11"/>
        <color theme="1"/>
        <rFont val="Yu Gothic"/>
        <family val="3"/>
        <charset val="128"/>
        <scheme val="minor"/>
      </rPr>
      <t>ぴあチケット印刷用バーコード（左詰，余りは半角空白）
※バーコード印刷無し時はALL半角空白
※１枚目～20枚目の順番でセット</t>
    </r>
    <rPh sb="25" eb="27">
      <t>サンショウ</t>
    </rPh>
    <phoneticPr fontId="28"/>
  </si>
  <si>
    <t>ショップID</t>
  </si>
  <si>
    <t>ぴあ</t>
    <phoneticPr fontId="28"/>
  </si>
  <si>
    <t>ディスコ</t>
    <phoneticPr fontId="28"/>
  </si>
  <si>
    <t>JTB（レジャー）</t>
    <phoneticPr fontId="28"/>
  </si>
  <si>
    <t>JTB（ＴＤＲ）</t>
    <phoneticPr fontId="28"/>
  </si>
  <si>
    <t>ティーガイア（PIN）</t>
    <phoneticPr fontId="28"/>
  </si>
  <si>
    <t>対象ショップ</t>
    <phoneticPr fontId="27"/>
  </si>
  <si>
    <t>"00781"：ティーガイア（PIN）</t>
    <phoneticPr fontId="28"/>
  </si>
  <si>
    <t>"30731"：ぴあ</t>
    <phoneticPr fontId="28"/>
  </si>
  <si>
    <t>"30771"：ディスコ</t>
    <phoneticPr fontId="28"/>
  </si>
  <si>
    <t>"30773"：JTB（レジャー）</t>
    <phoneticPr fontId="28"/>
  </si>
  <si>
    <t>"30775"：JTB（ＴＤＲ）</t>
    <phoneticPr fontId="28"/>
  </si>
  <si>
    <t>XMLファイル名</t>
    <rPh sb="7" eb="8">
      <t>メイ</t>
    </rPh>
    <phoneticPr fontId="27"/>
  </si>
  <si>
    <t>ETDJUP0001</t>
    <phoneticPr fontId="27"/>
  </si>
  <si>
    <t>ETJW01001T</t>
    <phoneticPr fontId="27"/>
  </si>
  <si>
    <t>ETJW01002T</t>
    <phoneticPr fontId="27"/>
  </si>
  <si>
    <t>ETJD03020T</t>
    <phoneticPr fontId="27"/>
  </si>
  <si>
    <t>ETPI001102</t>
    <phoneticPr fontId="27"/>
  </si>
  <si>
    <t>ETPM000001</t>
    <phoneticPr fontId="27"/>
  </si>
  <si>
    <t>TTDJUP0001_Normal.xml</t>
    <phoneticPr fontId="28"/>
  </si>
  <si>
    <t>NTJW01001T_Normal.xml</t>
    <phoneticPr fontId="27"/>
  </si>
  <si>
    <t>NTJW01002T.xml</t>
    <phoneticPr fontId="27"/>
  </si>
  <si>
    <t>NTJD03020T_Normal.xml</t>
    <phoneticPr fontId="27"/>
  </si>
  <si>
    <t>NTPI001102.xml</t>
    <phoneticPr fontId="27"/>
  </si>
  <si>
    <t>ぴあ以外の場合：
"             " 固定
ぴあの場合：
ランダムで生成する12桁数+C/D</t>
    <rPh sb="2" eb="4">
      <t>イガイ</t>
    </rPh>
    <rPh sb="5" eb="7">
      <t>バアイ</t>
    </rPh>
    <rPh sb="31" eb="33">
      <t>バアイ</t>
    </rPh>
    <rPh sb="40" eb="42">
      <t>セイセイ</t>
    </rPh>
    <rPh sb="46" eb="47">
      <t>ケタ</t>
    </rPh>
    <rPh sb="47" eb="48">
      <t>スウ</t>
    </rPh>
    <phoneticPr fontId="28"/>
  </si>
  <si>
    <t>ぴあ以外の場合：
"ETPI001102" 固定
ぴあの場合：
"NTPM000001"固定</t>
    <rPh sb="44" eb="46">
      <t>コテイ</t>
    </rPh>
    <phoneticPr fontId="28"/>
  </si>
  <si>
    <t>TTDJUP0001_Max.xml</t>
    <phoneticPr fontId="27"/>
  </si>
  <si>
    <t>"30731"：ぴあ</t>
  </si>
  <si>
    <r>
      <t>テンプレートコード</t>
    </r>
    <r>
      <rPr>
        <b/>
        <sz val="11"/>
        <color rgb="FF0F06BA"/>
        <rFont val="Microsoft YaHei"/>
        <family val="3"/>
        <charset val="134"/>
      </rPr>
      <t>/</t>
    </r>
    <r>
      <rPr>
        <b/>
        <sz val="11"/>
        <color rgb="FF0F06BA"/>
        <rFont val="Yu Gothic"/>
        <family val="3"/>
        <charset val="128"/>
        <scheme val="minor"/>
      </rPr>
      <t>HTMLﾌｧｲﾙ名</t>
    </r>
    <phoneticPr fontId="27"/>
  </si>
  <si>
    <t>"00"：正常（決済可能）</t>
  </si>
  <si>
    <t>fuka_riyu</t>
    <phoneticPr fontId="27"/>
  </si>
  <si>
    <t>EC関連問合せ応答内容</t>
    <rPh sb="2" eb="4">
      <t>カンレン</t>
    </rPh>
    <rPh sb="4" eb="6">
      <t>トイアワ</t>
    </rPh>
    <rPh sb="7" eb="9">
      <t>オウトウ</t>
    </rPh>
    <rPh sb="9" eb="11">
      <t>ナイヨウ</t>
    </rPh>
    <phoneticPr fontId="28"/>
  </si>
  <si>
    <r>
      <t>"</t>
    </r>
    <r>
      <rPr>
        <sz val="11"/>
        <color theme="1"/>
        <rFont val="Microsoft YaHei"/>
        <family val="2"/>
        <charset val="134"/>
      </rPr>
      <t>00</t>
    </r>
    <r>
      <rPr>
        <sz val="11"/>
        <color theme="1"/>
        <rFont val="Yu Gothic"/>
        <family val="2"/>
        <scheme val="minor"/>
      </rPr>
      <t>"</t>
    </r>
    <r>
      <rPr>
        <sz val="11"/>
        <color theme="1"/>
        <rFont val="Microsoft YaHei"/>
        <family val="2"/>
        <charset val="134"/>
      </rPr>
      <t xml:space="preserve"> 成功</t>
    </r>
    <r>
      <rPr>
        <sz val="11"/>
        <color theme="1"/>
        <rFont val="Yu Gothic"/>
        <family val="2"/>
        <scheme val="minor"/>
      </rPr>
      <t xml:space="preserve"> 固定</t>
    </r>
    <rPh sb="5" eb="7">
      <t>セイコウ</t>
    </rPh>
    <phoneticPr fontId="28"/>
  </si>
  <si>
    <t>"1"：店渡し</t>
  </si>
  <si>
    <t>"3"：チケット発券</t>
  </si>
  <si>
    <t>"      "（ALL半角空白）</t>
    <rPh sb="12" eb="14">
      <t>ハンカク</t>
    </rPh>
    <rPh sb="14" eb="16">
      <t>クウハク</t>
    </rPh>
    <phoneticPr fontId="28"/>
  </si>
  <si>
    <t>備考</t>
    <rPh sb="0" eb="2">
      <t>ビコウ</t>
    </rPh>
    <phoneticPr fontId="28"/>
  </si>
  <si>
    <t>注文明細</t>
    <phoneticPr fontId="28"/>
  </si>
  <si>
    <t>応答結果</t>
    <phoneticPr fontId="28"/>
  </si>
  <si>
    <t>order_details</t>
    <phoneticPr fontId="28"/>
  </si>
  <si>
    <t>要求区分</t>
    <phoneticPr fontId="28"/>
  </si>
  <si>
    <t>応答結果が正常以外の場合、タグもない</t>
    <phoneticPr fontId="28"/>
  </si>
  <si>
    <t>応答結果が正常以外の場合、ALL半角空白</t>
    <rPh sb="5" eb="7">
      <t>セイジョウ</t>
    </rPh>
    <rPh sb="7" eb="9">
      <t>イガイ</t>
    </rPh>
    <rPh sb="10" eb="12">
      <t>バアイ</t>
    </rPh>
    <rPh sb="16" eb="18">
      <t>ハンカク</t>
    </rPh>
    <rPh sb="18" eb="19">
      <t>カラ</t>
    </rPh>
    <phoneticPr fontId="28"/>
  </si>
  <si>
    <t>　　。。。略</t>
    <rPh sb="5" eb="6">
      <t>リャク</t>
    </rPh>
    <phoneticPr fontId="28"/>
  </si>
  <si>
    <t>　　各項目。。略</t>
    <rPh sb="2" eb="3">
      <t>カク</t>
    </rPh>
    <rPh sb="3" eb="5">
      <t>コウモク</t>
    </rPh>
    <phoneticPr fontId="31"/>
  </si>
  <si>
    <t>&lt;regi_msg_code&gt;     &lt;/regi_msg_code&gt;
&lt;dlv_mise_date_yotei_ymd&gt;        &lt;/dlv_mise_date_yotei_ymd&gt;
&lt;dlv_mise_time_yotei_hm&gt;    &lt;/dlv_mise_time_yotei_hm&gt;
&lt;nohin_setumei_kbn&gt;  &lt;/nohin_setumei_kbn&gt;
&lt;dlv_ymd&gt;        &lt;/dlv_ymd&gt;
&lt;sej_shohin_code&gt;000000&lt;/sej_shohin_code&gt;
&lt;site_nai_shiharai_kingaku&gt;007920&lt;/site_nai_shiharai_kingaku&gt;
&lt;oisogi_flg&gt; &lt;/oisogi_flg&gt;
&lt;oisogi_fee&gt;000000&lt;/oisogi_fee&gt;
&lt;other_fee&gt;000000&lt;/other_fee&gt;
&lt;tax_kbn&gt; &lt;/tax_kbn&gt;
&lt;tax_ritsu&gt;000&lt;/tax_ritsu&gt;
&lt;oisogi_delay_flg&gt; &lt;/oisogi_delay_flg&gt;
&lt;tyumon_no&gt;23080000006822&lt;/tyumon_no&gt;
&lt;site_kensu&gt;1&lt;/site_kensu&gt;
&lt;site_utiwake1&gt;1002&lt;/site_utiwake1&gt;
&lt;site_name1&gt;ｷﾞﾌﾄｻｲﾄ内ｸﾚｼﾞｯﾄ支払   &lt;/site_name1&gt;
&lt;site_price1&gt;007920&lt;/site_price1&gt;
&lt;site_crekbn1&gt;1&lt;/site_crekbn1&gt;
&lt;site_utiwake2&gt;    &lt;/site_utiwake2&gt;
&lt;site_name2&gt;                      &lt;/site_name2&gt;
&lt;site_price2&gt;000000&lt;/site_price2&gt;
&lt;site_crekbn2&gt; &lt;/site_crekbn2&gt;
&lt;site_utiwake3&gt;    &lt;/site_utiwake3&gt;
&lt;site_name3&gt;                      &lt;/site_name3&gt;
&lt;site_price3&gt;000000&lt;/site_price3&gt;
&lt;site_crekbn3&gt; &lt;/site_crekbn3&gt;
&lt;site_utiwake4&gt;    &lt;/site_utiwake4&gt;
&lt;site_name4&gt;                      &lt;/site_name4&gt;
&lt;site_price4&gt;000000&lt;/site_price4&gt;
&lt;site_crekbn4&gt; &lt;/site_crekbn4&gt;
&lt;shohin_daikin_hyojun&gt;008800&lt;/shohin_daikin_hyojun&gt;
&lt;shohin_daikin_keigen&gt;      &lt;/shohin_daikin_keigen&gt;
&lt;sej_shohin_code_hyojun&gt;032545&lt;/sej_shohin_code_hyojun&gt;
&lt;sej_shohin_code_keigen&gt;      &lt;/sej_shohin_code_keigen&gt;
&lt;tax_kbn_hyojun&gt;2&lt;/tax_kbn_hyojun&gt;
&lt;tax_kbn_keigen&gt; &lt;/tax_kbn_keigen&gt;
&lt;tax_ritsu_hyojun&gt;100&lt;/tax_ritsu_hyojun&gt;
&lt;tax_ritsu_keigen&gt;   &lt;/tax_ritsu_keigen&gt;
&lt;category_name_hyojun&gt;カテゴリから探す      &lt;/category_name_hyojun&gt;
&lt;category_name_keigen&gt;                      &lt;/category_name_keigen&gt;
&lt;kana_simei&gt;                                                  &lt;/kana_simei&gt;
&lt;shouken_num&gt;          &lt;/shouken_num&gt;
&lt;kanyu_type&gt;                        &lt;/kanyu_type&gt;
&lt;hoken_siki&gt;          &lt;/hoken_siki&gt;
&lt;hoken_shuki&gt;          &lt;/hoken_shuki&gt;
&lt;hoken_shuryou_bi&gt;                &lt;/hoken_shuryou_bi&gt;
&lt;hoken_nissu&gt;00&lt;/hoken_nissu&gt;
&lt;shohin_daikin_hikazei&gt;      &lt;/shohin_daikin_hikazei&gt;
&lt;sej_shohin_code_hikazei&gt;      &lt;/sej_shohin_code_hikazei&gt;
&lt;tax_kbn_hikazei&gt; &lt;/tax_kbn_hikazei&gt;
&lt;category_name_hikazei&gt;                      &lt;/category_name_hikazei&gt;
&lt;shohin_nebiki_kingaku_hyojun&gt;000880&lt;/shohin_nebiki_kingaku_hyojun&gt;
&lt;shohin_nebiki_kingaku_keigen&gt;      &lt;/shohin_nebiki_kingaku_keigen&gt;
&lt;shohin_nebiki_kingaku_hikazei&gt;      &lt;/shohin_nebiki_kingaku_hikazei&gt;
&lt;tax_kbn_hosoryo_takuhairyo&gt; &lt;/tax_kbn_hosoryo_takuhairyo&gt;
&lt;shohin_daikin_hosoryo&gt;      &lt;/shohin_daikin_hosoryo&gt;
&lt;sej_shohin_code_hosoryo&gt;      &lt;/sej_shohin_code_hosoryo&gt;
&lt;nebiki_kingaku_hosoryo&gt;      &lt;/nebiki_kingaku_hosoryo&gt;
&lt;shohin_daikin_takuhairyo&gt;      &lt;/shohin_daikin_takuhairyo&gt;
&lt;sej_shohin_code_takuhairyo&gt;      &lt;/sej_shohin_code_takuhairyo&gt;
&lt;nebiki_kingaku_takuhairyo&gt;      &lt;/nebiki_kingaku_takuhairyo&gt;
&lt;sake_kbn&gt;1&lt;/sake_kbn&gt;
&lt;ondotai_kbn&gt;0&lt;/ondotai_kbn&gt;
&lt;tento_mae_kingaku&gt;      &lt;/tento_mae_kingaku&gt;
&lt;zan_item_umu&gt; &lt;/zan_item_umu&gt;</t>
    <phoneticPr fontId="28"/>
  </si>
  <si>
    <r>
      <t>NTPM000001_N</t>
    </r>
    <r>
      <rPr>
        <sz val="11"/>
        <color theme="1"/>
        <rFont val="Microsoft YaHei"/>
        <family val="2"/>
        <charset val="134"/>
      </rPr>
      <t>ormal</t>
    </r>
    <r>
      <rPr>
        <sz val="11"/>
        <color theme="1"/>
        <rFont val="Yu Gothic"/>
        <family val="2"/>
        <charset val="128"/>
      </rPr>
      <t>.xml</t>
    </r>
    <phoneticPr fontId="27"/>
  </si>
  <si>
    <t>存在しないファイル</t>
    <phoneticPr fontId="27"/>
  </si>
  <si>
    <t>"00" 固定</t>
    <phoneticPr fontId="27"/>
  </si>
  <si>
    <r>
      <t>EC関連完了API</t>
    </r>
    <r>
      <rPr>
        <b/>
        <sz val="11"/>
        <color theme="1"/>
        <rFont val="Microsoft YaHei"/>
        <family val="2"/>
        <charset val="134"/>
      </rPr>
      <t xml:space="preserve"> </t>
    </r>
    <r>
      <rPr>
        <b/>
        <sz val="11"/>
        <color theme="1"/>
        <rFont val="Yu Gothic"/>
        <family val="2"/>
        <charset val="128"/>
        <scheme val="minor"/>
      </rPr>
      <t>応答</t>
    </r>
    <rPh sb="4" eb="6">
      <t>カンリョウ</t>
    </rPh>
    <rPh sb="10" eb="12">
      <t>オウトウ</t>
    </rPh>
    <phoneticPr fontId="28"/>
  </si>
  <si>
    <t>処理結果</t>
    <phoneticPr fontId="28"/>
  </si>
  <si>
    <t>処理結果正常以外の場合、出力しない</t>
    <rPh sb="4" eb="6">
      <t>セイジョウ</t>
    </rPh>
    <rPh sb="6" eb="8">
      <t>イガイ</t>
    </rPh>
    <rPh sb="9" eb="11">
      <t>バアイ</t>
    </rPh>
    <rPh sb="12" eb="14">
      <t>シュツリョク</t>
    </rPh>
    <phoneticPr fontId="28"/>
  </si>
  <si>
    <t>処理結果正常以外の場合、出力しない
要求区分がA発券の場合、出力する
　応答結果が正常の場合、チケット毎エレメントを設定
　応答結果が正常以外の場合、半角空白
要求区分がＢ／Ｈ／Ｊの場合、出力しない</t>
    <rPh sb="51" eb="52">
      <t>ゴト</t>
    </rPh>
    <rPh sb="58" eb="60">
      <t>セッテイ</t>
    </rPh>
    <phoneticPr fontId="28"/>
  </si>
  <si>
    <t>ぴあ以外の場合："ETPI001102" 固定
ぴあの場合："NTPM000001"固定</t>
    <rPh sb="42" eb="44">
      <t>コテイ</t>
    </rPh>
    <phoneticPr fontId="28"/>
  </si>
  <si>
    <t>ぴあ以外の場合："             " 固定
ぴあの場合：ランダムで生成する12桁数+C/D</t>
    <rPh sb="2" eb="4">
      <t>イガイ</t>
    </rPh>
    <rPh sb="5" eb="7">
      <t>バアイ</t>
    </rPh>
    <rPh sb="30" eb="32">
      <t>バアイ</t>
    </rPh>
    <rPh sb="38" eb="40">
      <t>セイセイ</t>
    </rPh>
    <rPh sb="44" eb="45">
      <t>ケタ</t>
    </rPh>
    <rPh sb="45" eb="46">
      <t>スウ</t>
    </rPh>
    <phoneticPr fontId="28"/>
  </si>
  <si>
    <t>00781</t>
    <phoneticPr fontId="27"/>
  </si>
  <si>
    <t>"1"：前払い</t>
  </si>
  <si>
    <t>応答結果が正常以外の場合、ALL0</t>
    <rPh sb="5" eb="7">
      <t>セイジョウ</t>
    </rPh>
    <rPh sb="7" eb="9">
      <t>イガイ</t>
    </rPh>
    <rPh sb="10" eb="12">
      <t>バアイ</t>
    </rPh>
    <phoneticPr fontId="28"/>
  </si>
  <si>
    <t>EC関連払戻し応答</t>
    <rPh sb="2" eb="4">
      <t>カンレン</t>
    </rPh>
    <rPh sb="4" eb="6">
      <t>ハライモド</t>
    </rPh>
    <rPh sb="7" eb="9">
      <t>オウトウ</t>
    </rPh>
    <phoneticPr fontId="28"/>
  </si>
  <si>
    <t>チケット業務未使用のため、内容は左記固定</t>
    <rPh sb="4" eb="6">
      <t>ギョウム</t>
    </rPh>
    <rPh sb="6" eb="7">
      <t>ミ</t>
    </rPh>
    <rPh sb="7" eb="9">
      <t>シヨウ</t>
    </rPh>
    <rPh sb="13" eb="15">
      <t>ナイヨウ</t>
    </rPh>
    <rPh sb="16" eb="18">
      <t>サキ</t>
    </rPh>
    <rPh sb="18" eb="20">
      <t>コテイ</t>
    </rPh>
    <phoneticPr fontId="28"/>
  </si>
  <si>
    <t>バーコード表示：</t>
    <rPh sb="5" eb="7">
      <t>ヒョウジ</t>
    </rPh>
    <phoneticPr fontId="27"/>
  </si>
  <si>
    <t>↓↓↓↓バーコード表示できない？↓↓</t>
    <rPh sb="9" eb="11">
      <t>ヒョウジ</t>
    </rPh>
    <phoneticPr fontId="27"/>
  </si>
  <si>
    <t>NW-7バーコードフォントインストール方法：</t>
    <rPh sb="19" eb="21">
      <t>ホウホウ</t>
    </rPh>
    <phoneticPr fontId="27"/>
  </si>
  <si>
    <t>https://mam-mam.net/download/nw-7.html#google_vignette</t>
    <phoneticPr fontId="27"/>
  </si>
  <si>
    <t>Ｍコピーチケット(チケットぴあ)</t>
  </si>
  <si>
    <t>チケット種別選択：</t>
    <rPh sb="4" eb="6">
      <t>シュベツ</t>
    </rPh>
    <rPh sb="6" eb="8">
      <t>センタク</t>
    </rPh>
    <phoneticPr fontId="27"/>
  </si>
  <si>
    <r>
      <t>処理結果正常以外の場合、出力しない
要求区分がA発券の場合、出力しない
要求区分がＢ／Ｈ／Ｊの場合、出力</t>
    </r>
    <r>
      <rPr>
        <strike/>
        <sz val="11"/>
        <rFont val="Yu Gothic"/>
        <family val="3"/>
        <charset val="128"/>
        <scheme val="minor"/>
      </rPr>
      <t>する</t>
    </r>
    <r>
      <rPr>
        <sz val="11"/>
        <rFont val="Yu Gothic"/>
        <family val="3"/>
        <charset val="128"/>
        <scheme val="minor"/>
      </rPr>
      <t>しない</t>
    </r>
    <phoneticPr fontId="28"/>
  </si>
  <si>
    <t>チケット発券個別情報</t>
    <phoneticPr fontId="27"/>
  </si>
  <si>
    <t>ぴあ以外の場合："NTPI001102" 固定
ぴあの場合："NTPM000001" 固定</t>
    <phoneticPr fontId="28"/>
  </si>
  <si>
    <t>ぴあ以外の場合：
"NTPI001102" 固定
ぴあの場合：
"NTPM000001" 固定</t>
    <phoneticPr fontId="28"/>
  </si>
  <si>
    <t>"1"：売上計上</t>
  </si>
  <si>
    <t>&lt;バーコードから設定を逆引&gt;</t>
    <phoneticPr fontId="27"/>
  </si>
  <si>
    <t>下記にバーコードを入力してください。</t>
    <rPh sb="0" eb="2">
      <t>カキ</t>
    </rPh>
    <rPh sb="9" eb="11">
      <t>ニュウリョク</t>
    </rPh>
    <phoneticPr fontId="27"/>
  </si>
  <si>
    <t>バーコード(13桁)：</t>
    <phoneticPr fontId="27"/>
  </si>
  <si>
    <t>項目</t>
    <rPh sb="0" eb="2">
      <t>コウモク</t>
    </rPh>
    <phoneticPr fontId="27"/>
  </si>
  <si>
    <t>設定値</t>
    <rPh sb="0" eb="2">
      <t>セッテイ</t>
    </rPh>
    <rPh sb="2" eb="3">
      <t>チ</t>
    </rPh>
    <phoneticPr fontId="27"/>
  </si>
  <si>
    <t>計算用中間値</t>
    <rPh sb="0" eb="2">
      <t>ケイサン</t>
    </rPh>
    <rPh sb="2" eb="3">
      <t>ヨウ</t>
    </rPh>
    <rPh sb="3" eb="5">
      <t>チュウカン</t>
    </rPh>
    <rPh sb="5" eb="6">
      <t>チ</t>
    </rPh>
    <phoneticPr fontId="27"/>
  </si>
  <si>
    <t>全体のサイズ</t>
    <rPh sb="0" eb="2">
      <t>ゼンタイ</t>
    </rPh>
    <phoneticPr fontId="27"/>
  </si>
  <si>
    <t>中間結果</t>
    <rPh sb="0" eb="2">
      <t>チュウカン</t>
    </rPh>
    <rPh sb="2" eb="4">
      <t>ケッカ</t>
    </rPh>
    <phoneticPr fontId="27"/>
  </si>
  <si>
    <t>変換後２進数</t>
    <rPh sb="0" eb="2">
      <t>ヘンカン</t>
    </rPh>
    <rPh sb="2" eb="3">
      <t>ゴ</t>
    </rPh>
    <rPh sb="4" eb="5">
      <t>シン</t>
    </rPh>
    <rPh sb="5" eb="6">
      <t>スウ</t>
    </rPh>
    <phoneticPr fontId="27"/>
  </si>
  <si>
    <t>項目に分割した結果</t>
    <rPh sb="0" eb="2">
      <t>コウモク</t>
    </rPh>
    <rPh sb="3" eb="5">
      <t>ブンカツ</t>
    </rPh>
    <rPh sb="7" eb="9">
      <t>ケッカ</t>
    </rPh>
    <phoneticPr fontId="27"/>
  </si>
  <si>
    <t>逆引されたビット値文字列変換</t>
    <rPh sb="8" eb="9">
      <t>チ</t>
    </rPh>
    <rPh sb="9" eb="12">
      <t>モジレツ</t>
    </rPh>
    <rPh sb="12" eb="14">
      <t>ヘンカン</t>
    </rPh>
    <phoneticPr fontId="27"/>
  </si>
  <si>
    <t>0件</t>
    <rPh sb="1" eb="2">
      <t>ケン</t>
    </rPh>
    <phoneticPr fontId="28"/>
  </si>
  <si>
    <t>項目</t>
    <phoneticPr fontId="27"/>
  </si>
  <si>
    <t>A</t>
  </si>
  <si>
    <t>"20250201"、"99999999"</t>
  </si>
  <si>
    <t>"0"：不要</t>
  </si>
  <si>
    <t>"0000"、"2359"</t>
  </si>
  <si>
    <t>支払方法区分</t>
    <phoneticPr fontId="27"/>
  </si>
  <si>
    <t>"00" 固定</t>
    <phoneticPr fontId="28"/>
  </si>
  <si>
    <t>” ”スペース：ネット商品返品の場合</t>
  </si>
  <si>
    <t>チェックエラー：</t>
    <phoneticPr fontId="27"/>
  </si>
  <si>
    <t>`</t>
    <phoneticPr fontId="27"/>
  </si>
  <si>
    <t>H</t>
    <phoneticPr fontId="27"/>
  </si>
  <si>
    <t>I</t>
    <phoneticPr fontId="27"/>
  </si>
  <si>
    <t>TTOT000017</t>
  </si>
  <si>
    <t>TTOT000178</t>
  </si>
  <si>
    <t>TI03190100.xml</t>
    <phoneticPr fontId="27"/>
  </si>
  <si>
    <t>TI03190101.xml</t>
    <phoneticPr fontId="27"/>
  </si>
  <si>
    <t>00745</t>
  </si>
  <si>
    <t>ｾﾌﾞﾝﾄﾞﾘｰﾑ（ﾁｹｯﾄ）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</si>
</sst>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6"/>
      <name val="ＭＳ ゴシック"/>
      <family val="3"/>
      <charset val="128"/>
    </font>
    <font>
      <b/>
      <sz val="11"/>
      <color rgb="FFFF0000"/>
      <name val="Yu Gothic"/>
      <family val="3"/>
      <charset val="128"/>
      <scheme val="minor"/>
    </font>
    <font>
      <b/>
      <i/>
      <sz val="1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eiryo UI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  <scheme val="minor"/>
    </font>
    <font>
      <b/>
      <u/>
      <sz val="12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Yu Gothic"/>
      <family val="3"/>
      <charset val="128"/>
      <scheme val="minor"/>
    </font>
    <font>
      <b/>
      <sz val="12"/>
      <name val="Yu Gothic"/>
      <family val="3"/>
      <charset val="134"/>
      <scheme val="minor"/>
    </font>
    <font>
      <b/>
      <sz val="12"/>
      <name val="Microsoft YaHei"/>
      <family val="3"/>
      <charset val="134"/>
    </font>
    <font>
      <b/>
      <sz val="11"/>
      <name val="Yu Gothic"/>
      <family val="3"/>
      <charset val="128"/>
      <scheme val="minor"/>
    </font>
    <font>
      <sz val="12"/>
      <color rgb="FFFF0000"/>
      <name val="MS UI Gothic"/>
      <family val="3"/>
      <charset val="128"/>
    </font>
    <font>
      <sz val="11"/>
      <color rgb="FFFF0000"/>
      <name val="MS UI Gothic"/>
      <family val="3"/>
      <charset val="128"/>
    </font>
    <font>
      <sz val="11"/>
      <color theme="1"/>
      <name val="ＭＳ Ｐゴシック"/>
      <family val="2"/>
      <charset val="128"/>
    </font>
    <font>
      <b/>
      <sz val="12"/>
      <color theme="1"/>
      <name val="Yu Gothic"/>
      <family val="3"/>
      <scheme val="minor"/>
    </font>
    <font>
      <b/>
      <sz val="12"/>
      <color theme="1"/>
      <name val="Yu Gothic"/>
      <family val="3"/>
    </font>
    <font>
      <b/>
      <sz val="18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1"/>
      <name val="Microsoft YaHei"/>
      <family val="2"/>
      <charset val="134"/>
    </font>
    <font>
      <b/>
      <sz val="11"/>
      <color rgb="FF0F06BA"/>
      <name val="Yu Gothic"/>
      <family val="3"/>
      <charset val="128"/>
      <scheme val="minor"/>
    </font>
    <font>
      <b/>
      <sz val="11"/>
      <color rgb="FF0F06BA"/>
      <name val="Microsoft YaHei"/>
      <family val="3"/>
      <charset val="134"/>
    </font>
    <font>
      <b/>
      <u/>
      <sz val="1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48"/>
      <color theme="1"/>
      <name val="NW-7"/>
      <charset val="1"/>
    </font>
    <font>
      <b/>
      <sz val="12"/>
      <color rgb="FF0070C0"/>
      <name val="Yu Gothic"/>
      <family val="3"/>
      <charset val="128"/>
      <scheme val="minor"/>
    </font>
    <font>
      <strike/>
      <sz val="11"/>
      <name val="Yu Gothic"/>
      <family val="3"/>
      <charset val="128"/>
      <scheme val="minor"/>
    </font>
    <font>
      <b/>
      <sz val="14"/>
      <color rgb="FFFF0000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1"/>
      <color rgb="FF0070C0"/>
      <name val="Yu Gothic"/>
      <family val="3"/>
      <charset val="128"/>
      <scheme val="minor"/>
    </font>
    <font>
      <b/>
      <sz val="18"/>
      <color theme="1"/>
      <name val="Microsoft YaHei"/>
      <family val="3"/>
      <charset val="134"/>
    </font>
    <font>
      <sz val="11"/>
      <color theme="1"/>
      <name val="Yu Gothic"/>
      <family val="2"/>
    </font>
    <font>
      <b/>
      <sz val="11"/>
      <color theme="1"/>
      <name val="Yu Gothic"/>
      <family val="2"/>
      <charset val="134"/>
      <scheme val="minor"/>
    </font>
    <font>
      <sz val="11"/>
      <color rgb="FF0070C0"/>
      <name val="Yu Gothic"/>
      <family val="3"/>
      <charset val="128"/>
      <scheme val="minor"/>
    </font>
    <font>
      <b/>
      <u/>
      <sz val="14"/>
      <color rgb="FF0070C0"/>
      <name val="ＭＳ Ｐゴシック"/>
      <family val="3"/>
      <charset val="128"/>
    </font>
    <font>
      <sz val="11"/>
      <color rgb="FFFF0000"/>
      <name val="Yu Gothic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5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62" fillId="0" borderId="0" applyNumberFormat="0" applyFill="0" applyBorder="0" applyAlignment="0" applyProtection="0"/>
  </cellStyleXfs>
  <cellXfs count="214">
    <xf numFmtId="0" fontId="0" fillId="0" borderId="0" xfId="0"/>
    <xf numFmtId="0" fontId="29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2" fillId="3" borderId="1" xfId="0" applyFont="1" applyFill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29" fillId="3" borderId="1" xfId="0" applyFont="1" applyFill="1" applyBorder="1" applyAlignment="1">
      <alignment vertical="center"/>
    </xf>
    <xf numFmtId="0" fontId="25" fillId="0" borderId="0" xfId="1">
      <alignment vertical="center"/>
    </xf>
    <xf numFmtId="0" fontId="25" fillId="4" borderId="1" xfId="1" applyFill="1" applyBorder="1">
      <alignment vertical="center"/>
    </xf>
    <xf numFmtId="0" fontId="25" fillId="0" borderId="1" xfId="1" applyBorder="1">
      <alignment vertical="center"/>
    </xf>
    <xf numFmtId="0" fontId="26" fillId="2" borderId="1" xfId="1" applyFont="1" applyFill="1" applyBorder="1" applyAlignment="1">
      <alignment horizontal="center" vertical="center" wrapText="1"/>
    </xf>
    <xf numFmtId="0" fontId="24" fillId="0" borderId="1" xfId="1" quotePrefix="1" applyFont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24" fillId="0" borderId="1" xfId="1" applyFont="1" applyBorder="1">
      <alignment vertical="center"/>
    </xf>
    <xf numFmtId="0" fontId="35" fillId="0" borderId="1" xfId="1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0" fillId="3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3" fillId="2" borderId="1" xfId="4" applyFill="1" applyBorder="1" applyAlignment="1">
      <alignment horizontal="left" vertical="center"/>
    </xf>
    <xf numFmtId="0" fontId="23" fillId="0" borderId="0" xfId="4">
      <alignment vertical="center"/>
    </xf>
    <xf numFmtId="0" fontId="23" fillId="3" borderId="1" xfId="4" applyFill="1" applyBorder="1">
      <alignment vertical="center"/>
    </xf>
    <xf numFmtId="0" fontId="23" fillId="0" borderId="1" xfId="4" applyBorder="1">
      <alignment vertical="center"/>
    </xf>
    <xf numFmtId="0" fontId="29" fillId="3" borderId="1" xfId="4" applyFont="1" applyFill="1" applyBorder="1">
      <alignment vertical="center"/>
    </xf>
    <xf numFmtId="0" fontId="29" fillId="0" borderId="1" xfId="4" applyFont="1" applyBorder="1">
      <alignment vertical="center"/>
    </xf>
    <xf numFmtId="0" fontId="23" fillId="0" borderId="1" xfId="4" quotePrefix="1" applyBorder="1">
      <alignment vertical="center"/>
    </xf>
    <xf numFmtId="0" fontId="29" fillId="0" borderId="0" xfId="0" applyFont="1"/>
    <xf numFmtId="0" fontId="26" fillId="2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 wrapText="1"/>
    </xf>
    <xf numFmtId="0" fontId="26" fillId="2" borderId="1" xfId="3" applyFont="1" applyFill="1" applyBorder="1" applyAlignment="1">
      <alignment horizontal="center" vertical="center" wrapText="1"/>
    </xf>
    <xf numFmtId="0" fontId="24" fillId="0" borderId="1" xfId="3" applyBorder="1">
      <alignment vertical="center"/>
    </xf>
    <xf numFmtId="0" fontId="24" fillId="4" borderId="1" xfId="3" applyFill="1" applyBorder="1">
      <alignment vertical="center"/>
    </xf>
    <xf numFmtId="0" fontId="24" fillId="0" borderId="0" xfId="3">
      <alignment vertical="center"/>
    </xf>
    <xf numFmtId="0" fontId="23" fillId="0" borderId="1" xfId="3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3" fillId="2" borderId="1" xfId="4" applyFill="1" applyBorder="1">
      <alignment vertical="center"/>
    </xf>
    <xf numFmtId="0" fontId="38" fillId="0" borderId="1" xfId="1" quotePrefix="1" applyFont="1" applyBorder="1">
      <alignment vertical="center"/>
    </xf>
    <xf numFmtId="0" fontId="22" fillId="0" borderId="1" xfId="1" applyFont="1" applyBorder="1">
      <alignment vertical="center"/>
    </xf>
    <xf numFmtId="0" fontId="21" fillId="2" borderId="1" xfId="3" applyFont="1" applyFill="1" applyBorder="1" applyAlignment="1">
      <alignment horizontal="center" vertical="center"/>
    </xf>
    <xf numFmtId="0" fontId="32" fillId="3" borderId="1" xfId="3" applyFont="1" applyFill="1" applyBorder="1">
      <alignment vertical="center"/>
    </xf>
    <xf numFmtId="0" fontId="24" fillId="3" borderId="1" xfId="3" applyFill="1" applyBorder="1">
      <alignment vertical="center"/>
    </xf>
    <xf numFmtId="0" fontId="20" fillId="0" borderId="1" xfId="6" applyBorder="1">
      <alignment vertical="center"/>
    </xf>
    <xf numFmtId="0" fontId="29" fillId="0" borderId="0" xfId="0" applyFont="1" applyAlignment="1">
      <alignment horizontal="left"/>
    </xf>
    <xf numFmtId="0" fontId="19" fillId="3" borderId="1" xfId="3" applyFont="1" applyFill="1" applyBorder="1">
      <alignment vertical="center"/>
    </xf>
    <xf numFmtId="0" fontId="18" fillId="3" borderId="1" xfId="3" applyFont="1" applyFill="1" applyBorder="1">
      <alignment vertical="center"/>
    </xf>
    <xf numFmtId="0" fontId="25" fillId="0" borderId="0" xfId="1" applyAlignment="1">
      <alignment horizontal="left" vertical="center"/>
    </xf>
    <xf numFmtId="0" fontId="24" fillId="0" borderId="0" xfId="3" applyAlignment="1">
      <alignment horizontal="left" vertical="center"/>
    </xf>
    <xf numFmtId="0" fontId="17" fillId="0" borderId="1" xfId="1" applyFont="1" applyBorder="1">
      <alignment vertical="center"/>
    </xf>
    <xf numFmtId="0" fontId="17" fillId="0" borderId="1" xfId="1" quotePrefix="1" applyFont="1" applyBorder="1">
      <alignment vertical="center"/>
    </xf>
    <xf numFmtId="0" fontId="29" fillId="0" borderId="0" xfId="3" applyFont="1">
      <alignment vertical="center"/>
    </xf>
    <xf numFmtId="0" fontId="39" fillId="7" borderId="1" xfId="3" applyFont="1" applyFill="1" applyBorder="1" applyAlignment="1">
      <alignment horizontal="right" vertical="center" wrapText="1"/>
    </xf>
    <xf numFmtId="0" fontId="40" fillId="0" borderId="1" xfId="3" applyFont="1" applyBorder="1" applyAlignment="1">
      <alignment horizontal="left" vertical="center"/>
    </xf>
    <xf numFmtId="0" fontId="41" fillId="8" borderId="1" xfId="0" quotePrefix="1" applyFont="1" applyFill="1" applyBorder="1" applyAlignment="1">
      <alignment horizontal="center" vertical="center"/>
    </xf>
    <xf numFmtId="0" fontId="41" fillId="0" borderId="1" xfId="0" quotePrefix="1" applyFont="1" applyBorder="1" applyAlignment="1">
      <alignment vertical="center"/>
    </xf>
    <xf numFmtId="0" fontId="42" fillId="8" borderId="1" xfId="0" quotePrefix="1" applyFont="1" applyFill="1" applyBorder="1" applyAlignment="1">
      <alignment horizontal="center" vertical="center"/>
    </xf>
    <xf numFmtId="0" fontId="44" fillId="0" borderId="0" xfId="3" applyFont="1" applyAlignment="1">
      <alignment horizontal="right" vertical="center"/>
    </xf>
    <xf numFmtId="0" fontId="45" fillId="6" borderId="0" xfId="3" applyFont="1" applyFill="1">
      <alignment vertical="center"/>
    </xf>
    <xf numFmtId="0" fontId="46" fillId="6" borderId="0" xfId="3" applyFont="1" applyFill="1">
      <alignment vertical="center"/>
    </xf>
    <xf numFmtId="0" fontId="47" fillId="0" borderId="0" xfId="3" applyFont="1">
      <alignment vertical="center"/>
    </xf>
    <xf numFmtId="0" fontId="29" fillId="0" borderId="0" xfId="3" applyFont="1" applyAlignment="1">
      <alignment horizontal="right" vertical="center"/>
    </xf>
    <xf numFmtId="0" fontId="16" fillId="0" borderId="0" xfId="3" applyFont="1" applyAlignment="1">
      <alignment horizontal="right" vertical="center"/>
    </xf>
    <xf numFmtId="176" fontId="24" fillId="0" borderId="0" xfId="3" applyNumberFormat="1">
      <alignment vertical="center"/>
    </xf>
    <xf numFmtId="0" fontId="48" fillId="9" borderId="0" xfId="3" applyFont="1" applyFill="1" applyAlignment="1">
      <alignment horizontal="right" vertical="center"/>
    </xf>
    <xf numFmtId="0" fontId="50" fillId="10" borderId="0" xfId="3" applyFont="1" applyFill="1" applyAlignment="1">
      <alignment horizontal="center" vertical="center"/>
    </xf>
    <xf numFmtId="0" fontId="26" fillId="9" borderId="0" xfId="3" applyFont="1" applyFill="1" applyAlignment="1">
      <alignment horizontal="right" vertical="center"/>
    </xf>
    <xf numFmtId="0" fontId="40" fillId="10" borderId="0" xfId="3" applyFont="1" applyFill="1">
      <alignment vertical="center"/>
    </xf>
    <xf numFmtId="0" fontId="51" fillId="9" borderId="0" xfId="3" applyFont="1" applyFill="1" applyAlignment="1">
      <alignment horizontal="right" vertical="center"/>
    </xf>
    <xf numFmtId="0" fontId="52" fillId="10" borderId="0" xfId="3" applyFont="1" applyFill="1">
      <alignment vertical="center"/>
    </xf>
    <xf numFmtId="0" fontId="29" fillId="11" borderId="1" xfId="3" applyFont="1" applyFill="1" applyBorder="1">
      <alignment vertical="center"/>
    </xf>
    <xf numFmtId="0" fontId="29" fillId="7" borderId="1" xfId="3" applyFont="1" applyFill="1" applyBorder="1">
      <alignment vertical="center"/>
    </xf>
    <xf numFmtId="0" fontId="43" fillId="8" borderId="1" xfId="0" quotePrefix="1" applyFont="1" applyFill="1" applyBorder="1" applyAlignment="1">
      <alignment horizontal="center" vertical="center"/>
    </xf>
    <xf numFmtId="0" fontId="52" fillId="10" borderId="0" xfId="3" applyFont="1" applyFill="1" applyAlignment="1">
      <alignment horizontal="center" vertical="center"/>
    </xf>
    <xf numFmtId="0" fontId="15" fillId="0" borderId="1" xfId="6" applyFont="1" applyBorder="1">
      <alignment vertical="center"/>
    </xf>
    <xf numFmtId="0" fontId="14" fillId="0" borderId="1" xfId="1" applyFont="1" applyBorder="1">
      <alignment vertical="center"/>
    </xf>
    <xf numFmtId="0" fontId="32" fillId="6" borderId="1" xfId="3" applyFont="1" applyFill="1" applyBorder="1">
      <alignment vertical="center"/>
    </xf>
    <xf numFmtId="0" fontId="57" fillId="0" borderId="0" xfId="3" applyFont="1">
      <alignment vertical="center"/>
    </xf>
    <xf numFmtId="0" fontId="57" fillId="2" borderId="1" xfId="3" applyFont="1" applyFill="1" applyBorder="1" applyAlignment="1">
      <alignment horizontal="center" vertical="center"/>
    </xf>
    <xf numFmtId="0" fontId="57" fillId="0" borderId="1" xfId="3" quotePrefix="1" applyFont="1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5" fillId="0" borderId="1" xfId="1" applyBorder="1" applyAlignment="1">
      <alignment horizontal="left" vertical="center"/>
    </xf>
    <xf numFmtId="0" fontId="35" fillId="0" borderId="1" xfId="1" applyFont="1" applyBorder="1" applyAlignment="1">
      <alignment horizontal="left" vertical="center"/>
    </xf>
    <xf numFmtId="0" fontId="13" fillId="0" borderId="1" xfId="6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25" fillId="4" borderId="1" xfId="1" applyFill="1" applyBorder="1" applyAlignment="1">
      <alignment horizontal="left" vertical="center"/>
    </xf>
    <xf numFmtId="0" fontId="24" fillId="0" borderId="1" xfId="1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9" fillId="0" borderId="0" xfId="0" applyFont="1" applyAlignment="1">
      <alignment horizontal="left" vertical="top"/>
    </xf>
    <xf numFmtId="0" fontId="29" fillId="0" borderId="1" xfId="0" applyFont="1" applyBorder="1" applyAlignment="1">
      <alignment horizontal="center" vertical="top" wrapText="1"/>
    </xf>
    <xf numFmtId="0" fontId="29" fillId="6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0" fillId="0" borderId="0" xfId="1" quotePrefix="1" applyFont="1">
      <alignment vertical="center"/>
    </xf>
    <xf numFmtId="49" fontId="10" fillId="0" borderId="0" xfId="3" applyNumberFormat="1" applyFont="1">
      <alignment vertical="center"/>
    </xf>
    <xf numFmtId="49" fontId="9" fillId="0" borderId="0" xfId="3" applyNumberFormat="1" applyFont="1">
      <alignment vertical="center"/>
    </xf>
    <xf numFmtId="0" fontId="0" fillId="3" borderId="4" xfId="0" applyFill="1" applyBorder="1" applyAlignment="1">
      <alignment vertical="top"/>
    </xf>
    <xf numFmtId="0" fontId="59" fillId="7" borderId="1" xfId="3" applyFont="1" applyFill="1" applyBorder="1" applyAlignment="1">
      <alignment horizontal="right" vertical="center" wrapText="1"/>
    </xf>
    <xf numFmtId="0" fontId="60" fillId="3" borderId="1" xfId="0" applyFont="1" applyFill="1" applyBorder="1" applyAlignment="1">
      <alignment vertical="center"/>
    </xf>
    <xf numFmtId="0" fontId="8" fillId="3" borderId="1" xfId="3" applyFont="1" applyFill="1" applyBorder="1">
      <alignment vertical="center"/>
    </xf>
    <xf numFmtId="0" fontId="8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6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7" fillId="3" borderId="1" xfId="3" applyFont="1" applyFill="1" applyBorder="1">
      <alignment vertical="center"/>
    </xf>
    <xf numFmtId="0" fontId="30" fillId="0" borderId="1" xfId="0" applyFont="1" applyBorder="1" applyAlignment="1">
      <alignment vertical="center" wrapText="1"/>
    </xf>
    <xf numFmtId="49" fontId="41" fillId="0" borderId="1" xfId="0" quotePrefix="1" applyNumberFormat="1" applyFont="1" applyBorder="1" applyAlignment="1">
      <alignment vertical="center"/>
    </xf>
    <xf numFmtId="0" fontId="7" fillId="3" borderId="1" xfId="4" applyFont="1" applyFill="1" applyBorder="1">
      <alignment vertical="center"/>
    </xf>
    <xf numFmtId="0" fontId="61" fillId="6" borderId="1" xfId="0" applyFont="1" applyFill="1" applyBorder="1" applyAlignment="1">
      <alignment vertical="center" wrapText="1"/>
    </xf>
    <xf numFmtId="0" fontId="7" fillId="0" borderId="1" xfId="4" quotePrefix="1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51" fillId="2" borderId="0" xfId="3" applyFont="1" applyFill="1" applyAlignment="1">
      <alignment horizontal="right" vertical="center"/>
    </xf>
    <xf numFmtId="0" fontId="51" fillId="0" borderId="0" xfId="3" applyFont="1">
      <alignment vertical="center"/>
    </xf>
    <xf numFmtId="0" fontId="6" fillId="0" borderId="0" xfId="3" applyFont="1" applyAlignment="1">
      <alignment horizontal="right" vertical="center"/>
    </xf>
    <xf numFmtId="0" fontId="6" fillId="0" borderId="0" xfId="3" applyFont="1" applyAlignment="1">
      <alignment horizontal="center" vertical="center"/>
    </xf>
    <xf numFmtId="0" fontId="62" fillId="0" borderId="0" xfId="8" applyAlignment="1">
      <alignment vertical="center"/>
    </xf>
    <xf numFmtId="0" fontId="6" fillId="0" borderId="0" xfId="3" applyFont="1">
      <alignment vertical="center"/>
    </xf>
    <xf numFmtId="0" fontId="64" fillId="0" borderId="1" xfId="3" applyFont="1" applyBorder="1">
      <alignment vertical="center"/>
    </xf>
    <xf numFmtId="0" fontId="44" fillId="0" borderId="0" xfId="3" applyFont="1" applyAlignment="1">
      <alignment horizontal="right" vertical="top"/>
    </xf>
    <xf numFmtId="0" fontId="45" fillId="6" borderId="0" xfId="3" applyFont="1" applyFill="1" applyAlignment="1">
      <alignment vertical="top"/>
    </xf>
    <xf numFmtId="0" fontId="46" fillId="6" borderId="0" xfId="3" applyFont="1" applyFill="1" applyAlignment="1">
      <alignment vertical="top"/>
    </xf>
    <xf numFmtId="0" fontId="24" fillId="0" borderId="0" xfId="3" applyAlignment="1">
      <alignment vertical="top"/>
    </xf>
    <xf numFmtId="0" fontId="0" fillId="0" borderId="1" xfId="0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63" fillId="0" borderId="0" xfId="3" applyFont="1" applyAlignment="1">
      <alignment horizontal="left"/>
    </xf>
    <xf numFmtId="0" fontId="66" fillId="0" borderId="0" xfId="3" applyFont="1">
      <alignment vertical="center"/>
    </xf>
    <xf numFmtId="0" fontId="5" fillId="0" borderId="0" xfId="3" applyFont="1">
      <alignment vertical="center"/>
    </xf>
    <xf numFmtId="0" fontId="67" fillId="0" borderId="0" xfId="3" applyFont="1">
      <alignment vertical="center"/>
    </xf>
    <xf numFmtId="0" fontId="68" fillId="0" borderId="0" xfId="3" applyFont="1">
      <alignment vertical="center"/>
    </xf>
    <xf numFmtId="176" fontId="69" fillId="13" borderId="11" xfId="3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right" vertical="center"/>
    </xf>
    <xf numFmtId="0" fontId="51" fillId="14" borderId="1" xfId="3" applyFont="1" applyFill="1" applyBorder="1" applyAlignment="1">
      <alignment horizontal="center" vertical="center"/>
    </xf>
    <xf numFmtId="0" fontId="68" fillId="0" borderId="1" xfId="3" applyFont="1" applyBorder="1">
      <alignment vertical="center"/>
    </xf>
    <xf numFmtId="0" fontId="68" fillId="0" borderId="1" xfId="3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15" borderId="0" xfId="0" applyFill="1"/>
    <xf numFmtId="0" fontId="5" fillId="14" borderId="0" xfId="3" applyFont="1" applyFill="1" applyAlignment="1">
      <alignment horizontal="right" vertical="center"/>
    </xf>
    <xf numFmtId="0" fontId="26" fillId="0" borderId="0" xfId="3" applyFont="1">
      <alignment vertical="center"/>
    </xf>
    <xf numFmtId="0" fontId="5" fillId="7" borderId="0" xfId="3" applyFont="1" applyFill="1" applyAlignment="1">
      <alignment horizontal="right" vertical="center"/>
    </xf>
    <xf numFmtId="0" fontId="70" fillId="0" borderId="1" xfId="1" applyFont="1" applyBorder="1">
      <alignment vertical="center"/>
    </xf>
    <xf numFmtId="0" fontId="71" fillId="0" borderId="1" xfId="3" applyFont="1" applyBorder="1" applyAlignment="1">
      <alignment horizontal="left" vertical="center"/>
    </xf>
    <xf numFmtId="0" fontId="4" fillId="3" borderId="1" xfId="4" applyFont="1" applyFill="1" applyBorder="1">
      <alignment vertical="center"/>
    </xf>
    <xf numFmtId="0" fontId="72" fillId="6" borderId="1" xfId="0" applyFont="1" applyFill="1" applyBorder="1" applyAlignment="1">
      <alignment vertical="center"/>
    </xf>
    <xf numFmtId="0" fontId="4" fillId="0" borderId="1" xfId="4" quotePrefix="1" applyFont="1" applyBorder="1">
      <alignment vertical="center"/>
    </xf>
    <xf numFmtId="0" fontId="73" fillId="12" borderId="0" xfId="3" applyFont="1" applyFill="1" applyAlignment="1">
      <alignment horizontal="right" vertical="center"/>
    </xf>
    <xf numFmtId="0" fontId="3" fillId="0" borderId="0" xfId="3" applyFont="1" applyAlignment="1">
      <alignment horizontal="right" vertical="center"/>
    </xf>
    <xf numFmtId="49" fontId="2" fillId="0" borderId="0" xfId="1" applyNumberFormat="1" applyFont="1">
      <alignment vertical="center"/>
    </xf>
    <xf numFmtId="0" fontId="2" fillId="3" borderId="1" xfId="3" applyFont="1" applyFill="1" applyBorder="1">
      <alignment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/>
    </xf>
    <xf numFmtId="0" fontId="53" fillId="2" borderId="1" xfId="4" applyFont="1" applyFill="1" applyBorder="1">
      <alignment vertical="center"/>
    </xf>
    <xf numFmtId="0" fontId="23" fillId="3" borderId="1" xfId="4" applyFill="1" applyBorder="1" applyAlignment="1">
      <alignment vertical="top"/>
    </xf>
    <xf numFmtId="0" fontId="26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32" fillId="3" borderId="2" xfId="0" applyFont="1" applyFill="1" applyBorder="1" applyAlignment="1">
      <alignment vertical="top" wrapText="1"/>
    </xf>
    <xf numFmtId="0" fontId="32" fillId="3" borderId="4" xfId="0" applyFont="1" applyFill="1" applyBorder="1" applyAlignment="1">
      <alignment vertical="top" wrapText="1"/>
    </xf>
    <xf numFmtId="0" fontId="32" fillId="3" borderId="3" xfId="0" applyFont="1" applyFill="1" applyBorder="1" applyAlignment="1">
      <alignment vertical="top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5" xfId="1" applyFont="1" applyFill="1" applyBorder="1" applyAlignment="1">
      <alignment horizontal="center" vertical="center" wrapText="1"/>
    </xf>
    <xf numFmtId="0" fontId="26" fillId="2" borderId="9" xfId="1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51" fillId="14" borderId="1" xfId="3" applyFont="1" applyFill="1" applyBorder="1" applyAlignment="1">
      <alignment horizontal="center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 wrapText="1"/>
    </xf>
    <xf numFmtId="0" fontId="26" fillId="2" borderId="10" xfId="1" applyFont="1" applyFill="1" applyBorder="1" applyAlignment="1">
      <alignment horizontal="center" vertical="center" wrapText="1"/>
    </xf>
    <xf numFmtId="0" fontId="26" fillId="2" borderId="7" xfId="3" applyFont="1" applyFill="1" applyBorder="1" applyAlignment="1">
      <alignment horizontal="center" vertical="center" wrapText="1"/>
    </xf>
    <xf numFmtId="0" fontId="26" fillId="2" borderId="8" xfId="3" applyFont="1" applyFill="1" applyBorder="1" applyAlignment="1">
      <alignment horizontal="center" vertical="center" wrapText="1"/>
    </xf>
    <xf numFmtId="0" fontId="26" fillId="2" borderId="7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26" fillId="2" borderId="10" xfId="1" applyFont="1" applyFill="1" applyBorder="1" applyAlignment="1">
      <alignment horizontal="center" vertical="center"/>
    </xf>
    <xf numFmtId="0" fontId="51" fillId="14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74" fillId="0" borderId="1" xfId="6" applyFont="1" applyBorder="1" applyAlignment="1">
      <alignment horizontal="left" vertical="center"/>
    </xf>
    <xf numFmtId="0" fontId="60" fillId="0" borderId="1" xfId="6" applyFont="1" applyBorder="1" applyAlignment="1">
      <alignment horizontal="left" vertical="center"/>
    </xf>
    <xf numFmtId="0" fontId="60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 wrapText="1"/>
    </xf>
    <xf numFmtId="49" fontId="60" fillId="0" borderId="1" xfId="0" applyNumberFormat="1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left" vertical="center"/>
    </xf>
  </cellXfs>
  <cellStyles count="9">
    <cellStyle name="ハイパーリンク" xfId="8" builtinId="8"/>
    <cellStyle name="標準" xfId="0" builtinId="0"/>
    <cellStyle name="標準 2" xfId="1" xr:uid="{E5B0014B-0C5F-472C-96A3-889E749F8E4E}"/>
    <cellStyle name="標準 2 2" xfId="5" xr:uid="{A40BA405-C2A0-4415-BE3B-D6E90FCE5F72}"/>
    <cellStyle name="標準 3" xfId="3" xr:uid="{2E885039-8A5F-464C-B5D6-561E27F20588}"/>
    <cellStyle name="標準 3 2" xfId="6" xr:uid="{32BD4BD9-4BA1-4F72-B767-A245B2010E1B}"/>
    <cellStyle name="標準 4" xfId="4" xr:uid="{0ECA604A-C526-4007-BA52-720D5EDC5C52}"/>
    <cellStyle name="標準 5" xfId="7" xr:uid="{00000000-0005-0000-0000-000037000000}"/>
    <cellStyle name="標準 7" xfId="2" xr:uid="{6D0FC808-2F8F-402E-95AD-BC177D0FEFEB}"/>
  </cellStyles>
  <dxfs count="28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126377</xdr:colOff>
      <xdr:row>29</xdr:row>
      <xdr:rowOff>100544</xdr:rowOff>
    </xdr:from>
    <xdr:to>
      <xdr:col>7</xdr:col>
      <xdr:colOff>1427996</xdr:colOff>
      <xdr:row>38</xdr:row>
      <xdr:rowOff>93275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E77141-0182-4021-83A0-5E95F25AF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12" y="8045515"/>
          <a:ext cx="5679533" cy="242251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DAE5-F8F0-492A-BF3C-78FB58031D7F}">
  <sheetPr>
    <pageSetUpPr fitToPage="1"/>
  </sheetPr>
  <dimension ref="A1:M29"/>
  <sheetViews>
    <sheetView topLeftCell="B1" zoomScale="70" zoomScaleNormal="70" zoomScaleSheetLayoutView="70" workbookViewId="0">
      <pane ySplit="2" topLeftCell="A3" activePane="bottomLeft" state="frozen"/>
      <selection pane="bottomLeft" activeCell="B1" sqref="B1:B2"/>
    </sheetView>
  </sheetViews>
  <sheetFormatPr defaultColWidth="8.69921875" defaultRowHeight="18"/>
  <cols>
    <col min="1" max="1" width="13.19921875" style="29" bestFit="1" customWidth="1"/>
    <col min="2" max="2" width="32.69921875" style="29" customWidth="1"/>
    <col min="3" max="3" width="43.19921875" style="50" bestFit="1" customWidth="1"/>
    <col min="4" max="4" width="21.5" style="29" bestFit="1" customWidth="1"/>
    <col min="5" max="5" width="13.5" style="41" bestFit="1" customWidth="1"/>
    <col min="6" max="6" width="30.59765625" style="29" bestFit="1" customWidth="1"/>
    <col min="7" max="7" width="31.5" style="29" customWidth="1"/>
    <col min="8" max="8" width="27" style="29" customWidth="1"/>
    <col min="9" max="9" width="27.19921875" style="29" bestFit="1" customWidth="1"/>
    <col min="10" max="10" width="21.69921875" style="29" customWidth="1"/>
    <col min="11" max="11" width="38.19921875" style="29" bestFit="1" customWidth="1"/>
    <col min="12" max="12" width="23.8984375" style="29" customWidth="1"/>
    <col min="13" max="13" width="8.69921875" style="29" customWidth="1"/>
    <col min="14" max="16384" width="8.69921875" style="29"/>
  </cols>
  <sheetData>
    <row r="1" spans="1:13" ht="27" customHeight="1">
      <c r="A1" s="168" t="s">
        <v>147</v>
      </c>
      <c r="B1" s="169" t="s">
        <v>148</v>
      </c>
      <c r="C1" s="169" t="s">
        <v>149</v>
      </c>
      <c r="D1" s="169" t="s">
        <v>288</v>
      </c>
      <c r="E1" s="171" t="s">
        <v>182</v>
      </c>
      <c r="F1" s="172"/>
      <c r="G1" s="172"/>
      <c r="H1" s="173"/>
      <c r="I1" s="178" t="s">
        <v>150</v>
      </c>
      <c r="J1" s="178"/>
      <c r="K1" s="178"/>
      <c r="L1" s="178"/>
      <c r="M1" s="169" t="s">
        <v>414</v>
      </c>
    </row>
    <row r="2" spans="1:13" ht="27" customHeight="1">
      <c r="A2" s="168"/>
      <c r="B2" s="170"/>
      <c r="C2" s="170"/>
      <c r="D2" s="170"/>
      <c r="E2" s="30" t="s">
        <v>180</v>
      </c>
      <c r="F2" s="30" t="s">
        <v>151</v>
      </c>
      <c r="G2" s="30" t="s">
        <v>316</v>
      </c>
      <c r="H2" s="30" t="s">
        <v>315</v>
      </c>
      <c r="I2" s="31" t="s">
        <v>152</v>
      </c>
      <c r="J2" s="31" t="s">
        <v>153</v>
      </c>
      <c r="K2" s="31" t="s">
        <v>154</v>
      </c>
      <c r="L2" s="31" t="s">
        <v>313</v>
      </c>
      <c r="M2" s="170"/>
    </row>
    <row r="3" spans="1:13" ht="27" customHeight="1">
      <c r="A3" s="32">
        <v>1</v>
      </c>
      <c r="B3" s="33" t="s">
        <v>268</v>
      </c>
      <c r="C3" s="164" t="s">
        <v>181</v>
      </c>
      <c r="D3" s="161" t="s">
        <v>289</v>
      </c>
      <c r="E3" s="177" t="s">
        <v>178</v>
      </c>
      <c r="F3" s="164" t="s">
        <v>185</v>
      </c>
      <c r="G3" s="164" t="s">
        <v>183</v>
      </c>
      <c r="H3" s="164" t="s">
        <v>318</v>
      </c>
      <c r="I3" s="33" t="s">
        <v>155</v>
      </c>
      <c r="J3" s="33" t="s">
        <v>156</v>
      </c>
      <c r="K3" s="33" t="s">
        <v>157</v>
      </c>
      <c r="L3" s="164" t="s">
        <v>311</v>
      </c>
      <c r="M3" s="177" t="s">
        <v>415</v>
      </c>
    </row>
    <row r="4" spans="1:13" ht="27" customHeight="1">
      <c r="A4" s="32">
        <v>2</v>
      </c>
      <c r="B4" s="33" t="s">
        <v>269</v>
      </c>
      <c r="C4" s="165"/>
      <c r="D4" s="162"/>
      <c r="E4" s="177"/>
      <c r="F4" s="165"/>
      <c r="G4" s="165"/>
      <c r="H4" s="165"/>
      <c r="I4" s="33" t="s">
        <v>155</v>
      </c>
      <c r="J4" s="33" t="s">
        <v>156</v>
      </c>
      <c r="K4" s="33" t="s">
        <v>158</v>
      </c>
      <c r="L4" s="165"/>
      <c r="M4" s="177"/>
    </row>
    <row r="5" spans="1:13" ht="27" customHeight="1">
      <c r="A5" s="32">
        <v>3</v>
      </c>
      <c r="B5" s="33" t="s">
        <v>270</v>
      </c>
      <c r="C5" s="165"/>
      <c r="D5" s="162"/>
      <c r="E5" s="177"/>
      <c r="F5" s="165"/>
      <c r="G5" s="165"/>
      <c r="H5" s="165"/>
      <c r="I5" s="33" t="s">
        <v>356</v>
      </c>
      <c r="J5" s="33" t="s">
        <v>159</v>
      </c>
      <c r="K5" s="33" t="s">
        <v>160</v>
      </c>
      <c r="L5" s="165"/>
      <c r="M5" s="177"/>
    </row>
    <row r="6" spans="1:13" ht="27" customHeight="1">
      <c r="A6" s="32">
        <v>4</v>
      </c>
      <c r="B6" s="34" t="s">
        <v>271</v>
      </c>
      <c r="C6" s="165"/>
      <c r="D6" s="162"/>
      <c r="E6" s="177"/>
      <c r="F6" s="165"/>
      <c r="G6" s="165"/>
      <c r="H6" s="165"/>
      <c r="I6" s="33" t="s">
        <v>161</v>
      </c>
      <c r="J6" s="33" t="s">
        <v>162</v>
      </c>
      <c r="K6" s="33" t="s">
        <v>156</v>
      </c>
      <c r="L6" s="165"/>
      <c r="M6" s="177"/>
    </row>
    <row r="7" spans="1:13" ht="27" customHeight="1">
      <c r="A7" s="32">
        <v>5</v>
      </c>
      <c r="B7" s="34" t="s">
        <v>272</v>
      </c>
      <c r="C7" s="165"/>
      <c r="D7" s="162"/>
      <c r="E7" s="161" t="s">
        <v>179</v>
      </c>
      <c r="F7" s="165"/>
      <c r="G7" s="165"/>
      <c r="H7" s="165"/>
      <c r="I7" s="33" t="s">
        <v>155</v>
      </c>
      <c r="J7" s="33" t="s">
        <v>156</v>
      </c>
      <c r="K7" s="33" t="s">
        <v>157</v>
      </c>
      <c r="L7" s="165"/>
      <c r="M7" s="177"/>
    </row>
    <row r="8" spans="1:13" ht="27" customHeight="1">
      <c r="A8" s="32">
        <v>6</v>
      </c>
      <c r="B8" s="34" t="s">
        <v>296</v>
      </c>
      <c r="C8" s="166"/>
      <c r="D8" s="162"/>
      <c r="E8" s="163"/>
      <c r="F8" s="166"/>
      <c r="G8" s="165"/>
      <c r="H8" s="165"/>
      <c r="I8" s="33" t="s">
        <v>299</v>
      </c>
      <c r="J8" s="33" t="s">
        <v>301</v>
      </c>
      <c r="K8" s="33" t="s">
        <v>300</v>
      </c>
      <c r="L8" s="165"/>
      <c r="M8" s="177"/>
    </row>
    <row r="9" spans="1:13" ht="27" customHeight="1">
      <c r="A9" s="32">
        <v>7</v>
      </c>
      <c r="B9" s="33" t="s">
        <v>273</v>
      </c>
      <c r="C9" s="164" t="s">
        <v>292</v>
      </c>
      <c r="D9" s="162"/>
      <c r="E9" s="161" t="s">
        <v>178</v>
      </c>
      <c r="F9" s="164" t="s">
        <v>324</v>
      </c>
      <c r="G9" s="165"/>
      <c r="H9" s="165"/>
      <c r="I9" s="33" t="s">
        <v>155</v>
      </c>
      <c r="J9" s="33" t="s">
        <v>156</v>
      </c>
      <c r="K9" s="33" t="s">
        <v>157</v>
      </c>
      <c r="L9" s="165"/>
      <c r="M9" s="177"/>
    </row>
    <row r="10" spans="1:13" ht="27" customHeight="1">
      <c r="A10" s="32">
        <v>8</v>
      </c>
      <c r="B10" s="33" t="s">
        <v>278</v>
      </c>
      <c r="C10" s="165"/>
      <c r="D10" s="162"/>
      <c r="E10" s="162"/>
      <c r="F10" s="175"/>
      <c r="G10" s="165"/>
      <c r="H10" s="165"/>
      <c r="I10" s="33" t="s">
        <v>155</v>
      </c>
      <c r="J10" s="33" t="s">
        <v>156</v>
      </c>
      <c r="K10" s="33" t="s">
        <v>158</v>
      </c>
      <c r="L10" s="165"/>
      <c r="M10" s="177"/>
    </row>
    <row r="11" spans="1:13" ht="27" customHeight="1">
      <c r="A11" s="32">
        <v>9</v>
      </c>
      <c r="B11" s="33" t="s">
        <v>279</v>
      </c>
      <c r="C11" s="165"/>
      <c r="D11" s="162"/>
      <c r="E11" s="162"/>
      <c r="F11" s="175"/>
      <c r="G11" s="165"/>
      <c r="H11" s="165"/>
      <c r="I11" s="33" t="s">
        <v>356</v>
      </c>
      <c r="J11" s="33" t="s">
        <v>159</v>
      </c>
      <c r="K11" s="33" t="s">
        <v>160</v>
      </c>
      <c r="L11" s="165"/>
      <c r="M11" s="177"/>
    </row>
    <row r="12" spans="1:13" ht="27" customHeight="1">
      <c r="A12" s="32">
        <v>10</v>
      </c>
      <c r="B12" s="33" t="s">
        <v>280</v>
      </c>
      <c r="C12" s="165"/>
      <c r="D12" s="162"/>
      <c r="E12" s="163"/>
      <c r="F12" s="175"/>
      <c r="G12" s="165"/>
      <c r="H12" s="165"/>
      <c r="I12" s="33" t="s">
        <v>161</v>
      </c>
      <c r="J12" s="33" t="s">
        <v>156</v>
      </c>
      <c r="K12" s="33" t="s">
        <v>157</v>
      </c>
      <c r="L12" s="165"/>
      <c r="M12" s="177"/>
    </row>
    <row r="13" spans="1:13" ht="27" customHeight="1">
      <c r="A13" s="32">
        <v>11</v>
      </c>
      <c r="B13" s="34" t="s">
        <v>281</v>
      </c>
      <c r="C13" s="165"/>
      <c r="D13" s="162"/>
      <c r="E13" s="161" t="s">
        <v>179</v>
      </c>
      <c r="F13" s="175"/>
      <c r="G13" s="165"/>
      <c r="H13" s="165"/>
      <c r="I13" s="33" t="s">
        <v>155</v>
      </c>
      <c r="J13" s="33" t="s">
        <v>156</v>
      </c>
      <c r="K13" s="33" t="s">
        <v>157</v>
      </c>
      <c r="L13" s="165"/>
      <c r="M13" s="177"/>
    </row>
    <row r="14" spans="1:13" ht="27" customHeight="1">
      <c r="A14" s="32">
        <v>12</v>
      </c>
      <c r="B14" s="34" t="s">
        <v>351</v>
      </c>
      <c r="C14" s="166"/>
      <c r="D14" s="163"/>
      <c r="E14" s="163"/>
      <c r="F14" s="176"/>
      <c r="G14" s="166"/>
      <c r="H14" s="166"/>
      <c r="I14" s="33" t="s">
        <v>299</v>
      </c>
      <c r="J14" s="33" t="s">
        <v>301</v>
      </c>
      <c r="K14" s="33" t="s">
        <v>300</v>
      </c>
      <c r="L14" s="166"/>
      <c r="M14" s="177"/>
    </row>
    <row r="15" spans="1:13" ht="27" customHeight="1">
      <c r="A15" s="32">
        <v>13</v>
      </c>
      <c r="B15" s="33" t="s">
        <v>274</v>
      </c>
      <c r="C15" s="164" t="s">
        <v>186</v>
      </c>
      <c r="D15" s="161" t="s">
        <v>290</v>
      </c>
      <c r="E15" s="177" t="s">
        <v>178</v>
      </c>
      <c r="F15" s="164" t="s">
        <v>187</v>
      </c>
      <c r="G15" s="164" t="s">
        <v>319</v>
      </c>
      <c r="H15" s="164" t="s">
        <v>184</v>
      </c>
      <c r="I15" s="33" t="s">
        <v>155</v>
      </c>
      <c r="J15" s="33" t="s">
        <v>156</v>
      </c>
      <c r="K15" s="33" t="s">
        <v>157</v>
      </c>
      <c r="L15" s="164" t="s">
        <v>310</v>
      </c>
      <c r="M15" s="177"/>
    </row>
    <row r="16" spans="1:13" ht="27" customHeight="1">
      <c r="A16" s="32">
        <v>14</v>
      </c>
      <c r="B16" s="33" t="s">
        <v>275</v>
      </c>
      <c r="C16" s="165"/>
      <c r="D16" s="162"/>
      <c r="E16" s="177"/>
      <c r="F16" s="165"/>
      <c r="G16" s="165"/>
      <c r="H16" s="165"/>
      <c r="I16" s="33" t="s">
        <v>155</v>
      </c>
      <c r="J16" s="33" t="s">
        <v>156</v>
      </c>
      <c r="K16" s="33" t="s">
        <v>158</v>
      </c>
      <c r="L16" s="165"/>
      <c r="M16" s="177"/>
    </row>
    <row r="17" spans="1:13" ht="27" customHeight="1">
      <c r="A17" s="32">
        <v>15</v>
      </c>
      <c r="B17" s="33" t="s">
        <v>276</v>
      </c>
      <c r="C17" s="165"/>
      <c r="D17" s="162"/>
      <c r="E17" s="177"/>
      <c r="F17" s="165"/>
      <c r="G17" s="165"/>
      <c r="H17" s="165"/>
      <c r="I17" s="33" t="s">
        <v>356</v>
      </c>
      <c r="J17" s="33" t="s">
        <v>159</v>
      </c>
      <c r="K17" s="33" t="s">
        <v>160</v>
      </c>
      <c r="L17" s="165"/>
      <c r="M17" s="177"/>
    </row>
    <row r="18" spans="1:13" ht="27" customHeight="1">
      <c r="A18" s="32">
        <v>16</v>
      </c>
      <c r="B18" s="34" t="s">
        <v>277</v>
      </c>
      <c r="C18" s="165"/>
      <c r="D18" s="162"/>
      <c r="E18" s="177"/>
      <c r="F18" s="165"/>
      <c r="G18" s="165"/>
      <c r="H18" s="165"/>
      <c r="I18" s="33" t="s">
        <v>161</v>
      </c>
      <c r="J18" s="33" t="s">
        <v>162</v>
      </c>
      <c r="K18" s="33" t="s">
        <v>156</v>
      </c>
      <c r="L18" s="165"/>
      <c r="M18" s="177"/>
    </row>
    <row r="19" spans="1:13" ht="27" customHeight="1">
      <c r="A19" s="32">
        <v>17</v>
      </c>
      <c r="B19" s="33" t="s">
        <v>282</v>
      </c>
      <c r="C19" s="164" t="s">
        <v>314</v>
      </c>
      <c r="D19" s="162"/>
      <c r="E19" s="161" t="s">
        <v>178</v>
      </c>
      <c r="F19" s="174" t="s">
        <v>188</v>
      </c>
      <c r="G19" s="165"/>
      <c r="H19" s="165"/>
      <c r="I19" s="33" t="s">
        <v>155</v>
      </c>
      <c r="J19" s="33" t="s">
        <v>156</v>
      </c>
      <c r="K19" s="33" t="s">
        <v>157</v>
      </c>
      <c r="L19" s="165"/>
      <c r="M19" s="177"/>
    </row>
    <row r="20" spans="1:13" ht="27" customHeight="1">
      <c r="A20" s="32">
        <v>18</v>
      </c>
      <c r="B20" s="33" t="s">
        <v>283</v>
      </c>
      <c r="C20" s="165"/>
      <c r="D20" s="162"/>
      <c r="E20" s="162"/>
      <c r="F20" s="175"/>
      <c r="G20" s="165"/>
      <c r="H20" s="165"/>
      <c r="I20" s="33" t="s">
        <v>155</v>
      </c>
      <c r="J20" s="33" t="s">
        <v>156</v>
      </c>
      <c r="K20" s="33" t="s">
        <v>158</v>
      </c>
      <c r="L20" s="165"/>
      <c r="M20" s="177"/>
    </row>
    <row r="21" spans="1:13" ht="27" customHeight="1">
      <c r="A21" s="32">
        <v>19</v>
      </c>
      <c r="B21" s="33" t="s">
        <v>284</v>
      </c>
      <c r="C21" s="165"/>
      <c r="D21" s="162"/>
      <c r="E21" s="162"/>
      <c r="F21" s="175"/>
      <c r="G21" s="165"/>
      <c r="H21" s="165"/>
      <c r="I21" s="33" t="s">
        <v>356</v>
      </c>
      <c r="J21" s="33" t="s">
        <v>159</v>
      </c>
      <c r="K21" s="33" t="s">
        <v>160</v>
      </c>
      <c r="L21" s="165"/>
      <c r="M21" s="177"/>
    </row>
    <row r="22" spans="1:13" ht="27" customHeight="1">
      <c r="A22" s="32">
        <v>20</v>
      </c>
      <c r="B22" s="33" t="s">
        <v>285</v>
      </c>
      <c r="C22" s="165"/>
      <c r="D22" s="162"/>
      <c r="E22" s="163"/>
      <c r="F22" s="175"/>
      <c r="G22" s="165"/>
      <c r="H22" s="165"/>
      <c r="I22" s="33" t="s">
        <v>161</v>
      </c>
      <c r="J22" s="33" t="s">
        <v>156</v>
      </c>
      <c r="K22" s="33" t="s">
        <v>157</v>
      </c>
      <c r="L22" s="165"/>
      <c r="M22" s="177"/>
    </row>
    <row r="23" spans="1:13" ht="27" customHeight="1">
      <c r="A23" s="32">
        <v>21</v>
      </c>
      <c r="B23" s="34" t="s">
        <v>286</v>
      </c>
      <c r="C23" s="165"/>
      <c r="D23" s="162"/>
      <c r="E23" s="161" t="s">
        <v>179</v>
      </c>
      <c r="F23" s="175"/>
      <c r="G23" s="165"/>
      <c r="H23" s="165"/>
      <c r="I23" s="33" t="s">
        <v>155</v>
      </c>
      <c r="J23" s="33" t="s">
        <v>156</v>
      </c>
      <c r="K23" s="33" t="s">
        <v>157</v>
      </c>
      <c r="L23" s="165"/>
      <c r="M23" s="177"/>
    </row>
    <row r="24" spans="1:13" ht="27" customHeight="1">
      <c r="A24" s="32">
        <v>22</v>
      </c>
      <c r="B24" s="34" t="s">
        <v>293</v>
      </c>
      <c r="C24" s="166"/>
      <c r="D24" s="163"/>
      <c r="E24" s="163"/>
      <c r="F24" s="176"/>
      <c r="G24" s="166"/>
      <c r="H24" s="166"/>
      <c r="I24" s="33" t="s">
        <v>299</v>
      </c>
      <c r="J24" s="33" t="s">
        <v>301</v>
      </c>
      <c r="K24" s="33" t="s">
        <v>300</v>
      </c>
      <c r="L24" s="166"/>
      <c r="M24" s="177"/>
    </row>
    <row r="25" spans="1:13" ht="27" customHeight="1">
      <c r="A25" s="32">
        <v>23</v>
      </c>
      <c r="B25" s="33" t="s">
        <v>163</v>
      </c>
      <c r="C25" s="164" t="s">
        <v>164</v>
      </c>
      <c r="D25" s="161" t="s">
        <v>291</v>
      </c>
      <c r="E25" s="161" t="s">
        <v>178</v>
      </c>
      <c r="F25" s="164" t="s">
        <v>287</v>
      </c>
      <c r="G25" s="167" t="s">
        <v>309</v>
      </c>
      <c r="H25" s="167" t="s">
        <v>317</v>
      </c>
      <c r="I25" s="42" t="s">
        <v>155</v>
      </c>
      <c r="J25" s="42" t="s">
        <v>156</v>
      </c>
      <c r="K25" s="42" t="s">
        <v>157</v>
      </c>
      <c r="L25" s="167" t="s">
        <v>312</v>
      </c>
      <c r="M25" s="177"/>
    </row>
    <row r="26" spans="1:13" ht="27" customHeight="1">
      <c r="A26" s="32">
        <v>24</v>
      </c>
      <c r="B26" s="33" t="s">
        <v>165</v>
      </c>
      <c r="C26" s="165"/>
      <c r="D26" s="162"/>
      <c r="E26" s="162"/>
      <c r="F26" s="165"/>
      <c r="G26" s="167"/>
      <c r="H26" s="167"/>
      <c r="I26" s="42" t="s">
        <v>155</v>
      </c>
      <c r="J26" s="42" t="s">
        <v>156</v>
      </c>
      <c r="K26" s="42" t="s">
        <v>158</v>
      </c>
      <c r="L26" s="167"/>
      <c r="M26" s="177"/>
    </row>
    <row r="27" spans="1:13" ht="27" customHeight="1">
      <c r="A27" s="32">
        <v>25</v>
      </c>
      <c r="B27" s="33" t="s">
        <v>166</v>
      </c>
      <c r="C27" s="165"/>
      <c r="D27" s="162"/>
      <c r="E27" s="162"/>
      <c r="F27" s="165"/>
      <c r="G27" s="167"/>
      <c r="H27" s="167"/>
      <c r="I27" s="33" t="s">
        <v>356</v>
      </c>
      <c r="J27" s="42" t="s">
        <v>159</v>
      </c>
      <c r="K27" s="42" t="s">
        <v>160</v>
      </c>
      <c r="L27" s="167"/>
      <c r="M27" s="177"/>
    </row>
    <row r="28" spans="1:13" ht="27" customHeight="1">
      <c r="A28" s="32">
        <v>26</v>
      </c>
      <c r="B28" s="34" t="s">
        <v>167</v>
      </c>
      <c r="C28" s="166"/>
      <c r="D28" s="163"/>
      <c r="E28" s="163"/>
      <c r="F28" s="166"/>
      <c r="G28" s="167"/>
      <c r="H28" s="167"/>
      <c r="I28" s="33" t="s">
        <v>161</v>
      </c>
      <c r="J28" s="33" t="s">
        <v>156</v>
      </c>
      <c r="K28" s="33" t="s">
        <v>157</v>
      </c>
      <c r="L28" s="167"/>
      <c r="M28" s="177"/>
    </row>
    <row r="29" spans="1:13" s="95" customFormat="1" ht="80.25" customHeight="1">
      <c r="A29" s="97">
        <v>27</v>
      </c>
      <c r="B29" s="123" t="s">
        <v>406</v>
      </c>
      <c r="C29" s="33" t="s">
        <v>408</v>
      </c>
      <c r="D29" s="32" t="s">
        <v>289</v>
      </c>
      <c r="E29" s="32" t="s">
        <v>409</v>
      </c>
      <c r="F29" s="33" t="s">
        <v>410</v>
      </c>
      <c r="G29" s="34" t="s">
        <v>411</v>
      </c>
      <c r="H29" s="33" t="s">
        <v>412</v>
      </c>
      <c r="I29" s="33" t="s">
        <v>156</v>
      </c>
      <c r="J29" s="33" t="s">
        <v>157</v>
      </c>
      <c r="K29" s="33" t="s">
        <v>157</v>
      </c>
      <c r="L29" s="33" t="s">
        <v>413</v>
      </c>
      <c r="M29" s="96" t="s">
        <v>407</v>
      </c>
    </row>
  </sheetData>
  <autoFilter ref="A2:L2" xr:uid="{00000000-0001-0000-0000-000000000000}"/>
  <mergeCells count="38">
    <mergeCell ref="M1:M2"/>
    <mergeCell ref="M3:M28"/>
    <mergeCell ref="L3:L14"/>
    <mergeCell ref="L15:L24"/>
    <mergeCell ref="L25:L28"/>
    <mergeCell ref="I1:L1"/>
    <mergeCell ref="G3:G14"/>
    <mergeCell ref="G15:G24"/>
    <mergeCell ref="G25:G28"/>
    <mergeCell ref="H15:H24"/>
    <mergeCell ref="F9:F14"/>
    <mergeCell ref="H3:H14"/>
    <mergeCell ref="F25:F28"/>
    <mergeCell ref="F15:F18"/>
    <mergeCell ref="C3:C8"/>
    <mergeCell ref="E7:E8"/>
    <mergeCell ref="F3:F8"/>
    <mergeCell ref="E3:E6"/>
    <mergeCell ref="E9:E12"/>
    <mergeCell ref="C9:C14"/>
    <mergeCell ref="D3:D14"/>
    <mergeCell ref="E13:E14"/>
    <mergeCell ref="E25:E28"/>
    <mergeCell ref="C25:C28"/>
    <mergeCell ref="H25:H28"/>
    <mergeCell ref="D25:D28"/>
    <mergeCell ref="A1:A2"/>
    <mergeCell ref="B1:B2"/>
    <mergeCell ref="C1:C2"/>
    <mergeCell ref="E1:H1"/>
    <mergeCell ref="D1:D2"/>
    <mergeCell ref="E19:E22"/>
    <mergeCell ref="C19:C24"/>
    <mergeCell ref="D15:D24"/>
    <mergeCell ref="E23:E24"/>
    <mergeCell ref="F19:F24"/>
    <mergeCell ref="C15:C18"/>
    <mergeCell ref="E15:E18"/>
  </mergeCells>
  <phoneticPr fontId="27"/>
  <pageMargins left="0.70866141732283472" right="0.70866141732283472" top="0.74803149606299213" bottom="0.74803149606299213" header="0.31496062992125984" footer="0.31496062992125984"/>
  <pageSetup paperSize="8" scale="53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6B43-3DE3-44FD-9936-A876AC4EE492}">
  <sheetPr>
    <pageSetUpPr fitToPage="1"/>
  </sheetPr>
  <dimension ref="A1:F72"/>
  <sheetViews>
    <sheetView view="pageBreakPreview" topLeftCell="A13" zoomScale="85" zoomScaleNormal="85" zoomScaleSheetLayoutView="85" workbookViewId="0">
      <selection activeCell="C30" sqref="C30"/>
    </sheetView>
  </sheetViews>
  <sheetFormatPr defaultColWidth="8.69921875" defaultRowHeight="18"/>
  <cols>
    <col min="1" max="1" width="11" style="3" bestFit="1" customWidth="1"/>
    <col min="2" max="2" width="8.69921875" style="3"/>
    <col min="3" max="3" width="30.296875" style="3" customWidth="1"/>
    <col min="4" max="4" width="21.19921875" style="38" customWidth="1"/>
    <col min="5" max="5" width="55.09765625" style="3" customWidth="1"/>
    <col min="6" max="6" width="49.59765625" style="3" customWidth="1"/>
    <col min="7" max="16384" width="8.69921875" style="3"/>
  </cols>
  <sheetData>
    <row r="1" spans="1:6">
      <c r="A1" s="181" t="s">
        <v>449</v>
      </c>
      <c r="B1" s="181"/>
      <c r="C1" s="181"/>
      <c r="D1" s="46" t="s">
        <v>190</v>
      </c>
      <c r="E1" s="2" t="s">
        <v>74</v>
      </c>
      <c r="F1" s="2" t="s">
        <v>454</v>
      </c>
    </row>
    <row r="2" spans="1:6">
      <c r="A2" s="182" t="s">
        <v>2</v>
      </c>
      <c r="B2" s="4"/>
      <c r="C2" s="4"/>
      <c r="D2" s="47"/>
      <c r="E2" s="4"/>
      <c r="F2" s="4"/>
    </row>
    <row r="3" spans="1:6">
      <c r="A3" s="183"/>
      <c r="B3" s="182" t="s">
        <v>3</v>
      </c>
      <c r="C3" s="4"/>
      <c r="D3" s="51" t="s">
        <v>321</v>
      </c>
      <c r="E3" s="4"/>
      <c r="F3" s="4"/>
    </row>
    <row r="4" spans="1:6" ht="18.75" customHeight="1">
      <c r="A4" s="183"/>
      <c r="B4" s="183"/>
      <c r="C4" s="4" t="s">
        <v>4</v>
      </c>
      <c r="D4" s="48" t="s">
        <v>192</v>
      </c>
      <c r="E4" s="15" t="s">
        <v>61</v>
      </c>
      <c r="F4" s="5" t="s">
        <v>469</v>
      </c>
    </row>
    <row r="5" spans="1:6" ht="18.75" customHeight="1">
      <c r="A5" s="183"/>
      <c r="B5" s="183"/>
      <c r="C5" s="6" t="s">
        <v>468</v>
      </c>
      <c r="D5" s="48" t="s">
        <v>193</v>
      </c>
      <c r="E5" s="7" t="s">
        <v>106</v>
      </c>
      <c r="F5" s="7"/>
    </row>
    <row r="6" spans="1:6">
      <c r="A6" s="183"/>
      <c r="B6" s="183"/>
      <c r="C6" s="4" t="s">
        <v>6</v>
      </c>
      <c r="D6" s="48" t="s">
        <v>194</v>
      </c>
      <c r="E6" s="15" t="s">
        <v>59</v>
      </c>
      <c r="F6" s="5" t="s">
        <v>469</v>
      </c>
    </row>
    <row r="7" spans="1:6">
      <c r="A7" s="183"/>
      <c r="B7" s="183"/>
      <c r="C7" s="4" t="s">
        <v>7</v>
      </c>
      <c r="D7" s="48" t="s">
        <v>195</v>
      </c>
      <c r="E7" s="5" t="s">
        <v>60</v>
      </c>
      <c r="F7" s="5" t="s">
        <v>469</v>
      </c>
    </row>
    <row r="8" spans="1:6">
      <c r="A8" s="183"/>
      <c r="B8" s="183"/>
      <c r="C8" s="8" t="s">
        <v>69</v>
      </c>
      <c r="D8" s="48" t="s">
        <v>196</v>
      </c>
      <c r="E8" s="1" t="str">
        <f>"リクエスト「" &amp; C8  &amp; "」の値を設定"</f>
        <v>リクエスト「店　番」の値を設定</v>
      </c>
      <c r="F8" s="5" t="s">
        <v>469</v>
      </c>
    </row>
    <row r="9" spans="1:6">
      <c r="A9" s="183"/>
      <c r="B9" s="183"/>
      <c r="C9" s="8" t="s">
        <v>8</v>
      </c>
      <c r="D9" s="48" t="s">
        <v>197</v>
      </c>
      <c r="E9" s="1" t="s">
        <v>62</v>
      </c>
      <c r="F9" s="5" t="s">
        <v>469</v>
      </c>
    </row>
    <row r="10" spans="1:6">
      <c r="A10" s="183"/>
      <c r="B10" s="183"/>
      <c r="C10" s="8" t="s">
        <v>9</v>
      </c>
      <c r="D10" s="48" t="s">
        <v>198</v>
      </c>
      <c r="E10" s="1" t="str">
        <f t="shared" ref="E10:E11" si="0">"リクエスト「" &amp; C10  &amp; "」の値を設定"</f>
        <v>リクエスト「レジ　No.」の値を設定</v>
      </c>
      <c r="F10" s="5" t="s">
        <v>469</v>
      </c>
    </row>
    <row r="11" spans="1:6">
      <c r="A11" s="183"/>
      <c r="B11" s="183"/>
      <c r="C11" s="4" t="s">
        <v>10</v>
      </c>
      <c r="D11" s="48" t="s">
        <v>199</v>
      </c>
      <c r="E11" s="1" t="str">
        <f t="shared" si="0"/>
        <v>リクエスト「チケット発券操作レジＮｏ．」の値を設定</v>
      </c>
      <c r="F11" s="5" t="s">
        <v>469</v>
      </c>
    </row>
    <row r="12" spans="1:6">
      <c r="A12" s="183"/>
      <c r="B12" s="183"/>
      <c r="C12" s="4" t="s">
        <v>11</v>
      </c>
      <c r="D12" s="48" t="s">
        <v>200</v>
      </c>
      <c r="E12" s="15" t="s">
        <v>58</v>
      </c>
      <c r="F12" s="5" t="s">
        <v>469</v>
      </c>
    </row>
    <row r="13" spans="1:6">
      <c r="A13" s="183"/>
      <c r="B13" s="183"/>
      <c r="C13" s="8" t="s">
        <v>12</v>
      </c>
      <c r="D13" s="48" t="s">
        <v>201</v>
      </c>
      <c r="E13" s="15" t="s">
        <v>58</v>
      </c>
      <c r="F13" s="5" t="s">
        <v>469</v>
      </c>
    </row>
    <row r="14" spans="1:6">
      <c r="A14" s="183"/>
      <c r="B14" s="183"/>
      <c r="C14" s="8" t="s">
        <v>13</v>
      </c>
      <c r="D14" s="48" t="s">
        <v>202</v>
      </c>
      <c r="E14" s="1" t="str">
        <f t="shared" ref="E14:E17" si="1">"リクエスト「" &amp; C14  &amp; "」の値を設定"</f>
        <v>リクエスト「利用年月日時分秒」の値を設定</v>
      </c>
      <c r="F14" s="5" t="s">
        <v>469</v>
      </c>
    </row>
    <row r="15" spans="1:6" ht="18.75" customHeight="1">
      <c r="A15" s="183"/>
      <c r="B15" s="183"/>
      <c r="C15" s="8" t="s">
        <v>14</v>
      </c>
      <c r="D15" s="48" t="s">
        <v>203</v>
      </c>
      <c r="E15" s="1" t="str">
        <f t="shared" si="1"/>
        <v>リクエスト「処理通番」の値を設定</v>
      </c>
      <c r="F15" s="5" t="s">
        <v>469</v>
      </c>
    </row>
    <row r="16" spans="1:6">
      <c r="A16" s="183"/>
      <c r="B16" s="183"/>
      <c r="C16" s="8" t="s">
        <v>177</v>
      </c>
      <c r="D16" s="48" t="s">
        <v>204</v>
      </c>
      <c r="E16" s="1" t="str">
        <f t="shared" si="1"/>
        <v>リクエスト「再送区分」の値を設定</v>
      </c>
      <c r="F16" s="5" t="s">
        <v>469</v>
      </c>
    </row>
    <row r="17" spans="1:6" ht="18.75" customHeight="1">
      <c r="A17" s="183"/>
      <c r="B17" s="183"/>
      <c r="C17" s="8" t="s">
        <v>458</v>
      </c>
      <c r="D17" s="48" t="s">
        <v>205</v>
      </c>
      <c r="E17" s="1" t="str">
        <f t="shared" si="1"/>
        <v>リクエスト「要求区分」の値を設定</v>
      </c>
      <c r="F17" s="5" t="s">
        <v>469</v>
      </c>
    </row>
    <row r="18" spans="1:6" ht="18.75" customHeight="1">
      <c r="A18" s="183"/>
      <c r="B18" s="184"/>
      <c r="C18" s="8" t="s">
        <v>17</v>
      </c>
      <c r="D18" s="48" t="s">
        <v>206</v>
      </c>
      <c r="E18" s="1" t="str">
        <f>"リクエスト「" &amp; C18  &amp; "」の値を設定"</f>
        <v>リクエスト「問合せ・完了区分」の値を設定</v>
      </c>
      <c r="F18" s="5" t="s">
        <v>469</v>
      </c>
    </row>
    <row r="19" spans="1:6" ht="18.75" customHeight="1">
      <c r="A19" s="183"/>
      <c r="B19" s="182" t="s">
        <v>18</v>
      </c>
      <c r="C19" s="8"/>
      <c r="D19" s="48" t="s">
        <v>208</v>
      </c>
      <c r="E19" s="1"/>
      <c r="F19" s="5" t="s">
        <v>469</v>
      </c>
    </row>
    <row r="20" spans="1:6">
      <c r="A20" s="183"/>
      <c r="B20" s="183"/>
      <c r="C20" s="8" t="s">
        <v>19</v>
      </c>
      <c r="D20" s="48" t="s">
        <v>209</v>
      </c>
      <c r="E20" s="1" t="str">
        <f>"リクエスト「" &amp; C20  &amp; "」の値を設定"</f>
        <v>リクエスト「決済ＩＤ(検索キー）」の値を設定</v>
      </c>
      <c r="F20" s="1"/>
    </row>
    <row r="21" spans="1:6" ht="18.75" customHeight="1">
      <c r="A21" s="183"/>
      <c r="B21" s="183"/>
      <c r="C21" s="8" t="s">
        <v>20</v>
      </c>
      <c r="D21" s="48" t="s">
        <v>210</v>
      </c>
      <c r="E21" s="5" t="s">
        <v>81</v>
      </c>
      <c r="F21" s="5" t="s">
        <v>460</v>
      </c>
    </row>
    <row r="22" spans="1:6" ht="18.75" customHeight="1">
      <c r="A22" s="183"/>
      <c r="B22" s="183"/>
      <c r="C22" s="6" t="s">
        <v>456</v>
      </c>
      <c r="D22" s="52" t="s">
        <v>325</v>
      </c>
      <c r="E22" s="7" t="s">
        <v>106</v>
      </c>
      <c r="F22" s="7"/>
    </row>
    <row r="23" spans="1:6" ht="18.75" customHeight="1">
      <c r="A23" s="183"/>
      <c r="B23" s="183"/>
      <c r="C23" s="6" t="s">
        <v>21</v>
      </c>
      <c r="D23" s="52" t="s">
        <v>323</v>
      </c>
      <c r="E23" s="7" t="s">
        <v>106</v>
      </c>
      <c r="F23" s="5" t="s">
        <v>460</v>
      </c>
    </row>
    <row r="24" spans="1:6" ht="18.75" customHeight="1">
      <c r="A24" s="183"/>
      <c r="B24" s="183"/>
      <c r="C24" s="6" t="s">
        <v>22</v>
      </c>
      <c r="D24" s="52" t="s">
        <v>212</v>
      </c>
      <c r="E24" s="7" t="s">
        <v>106</v>
      </c>
      <c r="F24" s="5" t="s">
        <v>460</v>
      </c>
    </row>
    <row r="25" spans="1:6" ht="18.75" customHeight="1">
      <c r="A25" s="183"/>
      <c r="B25" s="183"/>
      <c r="C25" s="4" t="s">
        <v>23</v>
      </c>
      <c r="D25" s="113" t="s">
        <v>213</v>
      </c>
      <c r="E25" s="5" t="s">
        <v>70</v>
      </c>
      <c r="F25" s="5" t="s">
        <v>460</v>
      </c>
    </row>
    <row r="26" spans="1:6">
      <c r="A26" s="183"/>
      <c r="B26" s="183"/>
      <c r="C26" s="4" t="s">
        <v>24</v>
      </c>
      <c r="D26" s="48" t="s">
        <v>214</v>
      </c>
      <c r="E26" s="5" t="s">
        <v>78</v>
      </c>
      <c r="F26" s="5" t="s">
        <v>460</v>
      </c>
    </row>
    <row r="27" spans="1:6">
      <c r="A27" s="183"/>
      <c r="B27" s="183"/>
      <c r="C27" s="4" t="s">
        <v>25</v>
      </c>
      <c r="D27" s="48" t="s">
        <v>215</v>
      </c>
      <c r="E27" s="5" t="s">
        <v>79</v>
      </c>
      <c r="F27" s="5" t="s">
        <v>460</v>
      </c>
    </row>
    <row r="28" spans="1:6">
      <c r="A28" s="183"/>
      <c r="B28" s="183"/>
      <c r="C28" s="4" t="s">
        <v>26</v>
      </c>
      <c r="D28" s="48" t="s">
        <v>216</v>
      </c>
      <c r="E28" s="5" t="s">
        <v>80</v>
      </c>
      <c r="F28" s="5" t="s">
        <v>460</v>
      </c>
    </row>
    <row r="29" spans="1:6">
      <c r="A29" s="183"/>
      <c r="B29" s="183"/>
      <c r="C29" s="6" t="s">
        <v>27</v>
      </c>
      <c r="D29" s="52" t="s">
        <v>217</v>
      </c>
      <c r="E29" s="7" t="s">
        <v>106</v>
      </c>
      <c r="F29" s="5" t="s">
        <v>460</v>
      </c>
    </row>
    <row r="30" spans="1:6">
      <c r="A30" s="183"/>
      <c r="B30" s="183"/>
      <c r="C30" s="6" t="s">
        <v>28</v>
      </c>
      <c r="D30" s="52" t="s">
        <v>218</v>
      </c>
      <c r="E30" s="7" t="s">
        <v>106</v>
      </c>
      <c r="F30" s="5" t="s">
        <v>460</v>
      </c>
    </row>
    <row r="31" spans="1:6">
      <c r="A31" s="183"/>
      <c r="B31" s="183"/>
      <c r="C31" s="6" t="s">
        <v>29</v>
      </c>
      <c r="D31" s="52" t="s">
        <v>219</v>
      </c>
      <c r="E31" s="7" t="s">
        <v>106</v>
      </c>
      <c r="F31" s="5" t="s">
        <v>460</v>
      </c>
    </row>
    <row r="32" spans="1:6">
      <c r="A32" s="183"/>
      <c r="B32" s="183"/>
      <c r="C32" s="6" t="s">
        <v>71</v>
      </c>
      <c r="D32" s="52" t="s">
        <v>220</v>
      </c>
      <c r="E32" s="7" t="s">
        <v>106</v>
      </c>
      <c r="F32" s="5" t="s">
        <v>460</v>
      </c>
    </row>
    <row r="33" spans="1:6">
      <c r="A33" s="183"/>
      <c r="B33" s="183"/>
      <c r="C33" s="4" t="s">
        <v>30</v>
      </c>
      <c r="D33" s="48" t="s">
        <v>221</v>
      </c>
      <c r="E33" s="5" t="s">
        <v>64</v>
      </c>
      <c r="F33" s="5" t="s">
        <v>460</v>
      </c>
    </row>
    <row r="34" spans="1:6">
      <c r="A34" s="183"/>
      <c r="B34" s="183"/>
      <c r="C34" s="6" t="s">
        <v>31</v>
      </c>
      <c r="D34" s="52" t="s">
        <v>222</v>
      </c>
      <c r="E34" s="7" t="s">
        <v>106</v>
      </c>
      <c r="F34" s="5" t="s">
        <v>460</v>
      </c>
    </row>
    <row r="35" spans="1:6">
      <c r="A35" s="183"/>
      <c r="B35" s="183"/>
      <c r="C35" s="6" t="s">
        <v>118</v>
      </c>
      <c r="D35" s="52" t="s">
        <v>223</v>
      </c>
      <c r="E35" s="7" t="s">
        <v>106</v>
      </c>
      <c r="F35" s="5" t="s">
        <v>460</v>
      </c>
    </row>
    <row r="36" spans="1:6">
      <c r="A36" s="183"/>
      <c r="B36" s="183"/>
      <c r="C36" s="20" t="s">
        <v>32</v>
      </c>
      <c r="D36" s="48" t="s">
        <v>224</v>
      </c>
      <c r="E36" s="5" t="s">
        <v>416</v>
      </c>
      <c r="F36" s="5" t="s">
        <v>460</v>
      </c>
    </row>
    <row r="37" spans="1:6">
      <c r="A37" s="183"/>
      <c r="B37" s="183"/>
      <c r="C37" s="4" t="s">
        <v>33</v>
      </c>
      <c r="D37" s="48" t="s">
        <v>225</v>
      </c>
      <c r="E37" s="5" t="s">
        <v>75</v>
      </c>
      <c r="F37" s="5" t="s">
        <v>460</v>
      </c>
    </row>
    <row r="38" spans="1:6">
      <c r="A38" s="183"/>
      <c r="B38" s="183"/>
      <c r="C38" s="4" t="s">
        <v>34</v>
      </c>
      <c r="D38" s="48" t="s">
        <v>226</v>
      </c>
      <c r="E38" s="5" t="s">
        <v>76</v>
      </c>
      <c r="F38" s="5" t="s">
        <v>460</v>
      </c>
    </row>
    <row r="39" spans="1:6">
      <c r="A39" s="183"/>
      <c r="B39" s="184"/>
      <c r="C39" s="4" t="s">
        <v>35</v>
      </c>
      <c r="D39" s="48" t="s">
        <v>227</v>
      </c>
      <c r="E39" s="5" t="s">
        <v>77</v>
      </c>
      <c r="F39" s="5" t="s">
        <v>460</v>
      </c>
    </row>
    <row r="40" spans="1:6" ht="55.2" customHeight="1">
      <c r="A40" s="104"/>
      <c r="B40" s="104" t="s">
        <v>455</v>
      </c>
      <c r="C40" s="4" t="s">
        <v>455</v>
      </c>
      <c r="D40" s="113" t="s">
        <v>457</v>
      </c>
      <c r="E40" s="40"/>
      <c r="F40" s="114" t="s">
        <v>484</v>
      </c>
    </row>
    <row r="41" spans="1:6" ht="172.8" customHeight="1">
      <c r="A41" s="104"/>
      <c r="B41" s="104"/>
      <c r="C41" s="18" t="s">
        <v>462</v>
      </c>
      <c r="D41" s="113" t="s">
        <v>461</v>
      </c>
      <c r="E41" s="86" t="s">
        <v>463</v>
      </c>
      <c r="F41" s="114" t="s">
        <v>477</v>
      </c>
    </row>
    <row r="42" spans="1:6" ht="85.8" customHeight="1">
      <c r="A42" s="183"/>
      <c r="B42" s="185" t="s">
        <v>72</v>
      </c>
      <c r="C42" s="4"/>
      <c r="D42" s="51" t="s">
        <v>322</v>
      </c>
      <c r="E42" s="7" t="s">
        <v>106</v>
      </c>
      <c r="F42" s="114" t="s">
        <v>470</v>
      </c>
    </row>
    <row r="43" spans="1:6" ht="36">
      <c r="A43" s="183"/>
      <c r="B43" s="186"/>
      <c r="C43" s="18" t="s">
        <v>84</v>
      </c>
      <c r="D43" s="48" t="s">
        <v>228</v>
      </c>
      <c r="E43" s="86" t="s">
        <v>471</v>
      </c>
      <c r="F43" s="86" t="s">
        <v>459</v>
      </c>
    </row>
    <row r="44" spans="1:6" ht="36">
      <c r="A44" s="183"/>
      <c r="B44" s="186"/>
      <c r="C44" s="18" t="s">
        <v>83</v>
      </c>
      <c r="D44" s="48" t="s">
        <v>229</v>
      </c>
      <c r="E44" s="86" t="s">
        <v>472</v>
      </c>
      <c r="F44" s="86" t="s">
        <v>459</v>
      </c>
    </row>
    <row r="45" spans="1:6" ht="36">
      <c r="A45" s="184"/>
      <c r="B45" s="187"/>
      <c r="C45" s="18" t="s">
        <v>82</v>
      </c>
      <c r="D45" s="48" t="s">
        <v>230</v>
      </c>
      <c r="E45" s="86" t="s">
        <v>486</v>
      </c>
      <c r="F45" s="86" t="s">
        <v>459</v>
      </c>
    </row>
    <row r="46" spans="1:6" s="23" customFormat="1">
      <c r="A46" s="179" t="s">
        <v>467</v>
      </c>
      <c r="B46" s="179"/>
      <c r="C46" s="179"/>
      <c r="D46" s="43"/>
      <c r="E46" s="22" t="s">
        <v>129</v>
      </c>
      <c r="F46" s="2" t="s">
        <v>454</v>
      </c>
    </row>
    <row r="47" spans="1:6" s="23" customFormat="1">
      <c r="A47" s="180" t="s">
        <v>2</v>
      </c>
      <c r="B47" s="24"/>
      <c r="C47" s="24"/>
      <c r="D47" s="24"/>
      <c r="E47" s="24"/>
      <c r="F47" s="24"/>
    </row>
    <row r="48" spans="1:6" s="23" customFormat="1">
      <c r="A48" s="180"/>
      <c r="B48" s="180" t="s">
        <v>3</v>
      </c>
      <c r="C48" s="24"/>
      <c r="D48" s="24" t="s">
        <v>232</v>
      </c>
      <c r="E48" s="24"/>
      <c r="F48" s="24"/>
    </row>
    <row r="49" spans="1:6" s="23" customFormat="1">
      <c r="A49" s="180"/>
      <c r="B49" s="180"/>
      <c r="C49" s="24" t="s">
        <v>4</v>
      </c>
      <c r="D49" s="24" t="s">
        <v>233</v>
      </c>
      <c r="E49" s="25" t="s">
        <v>141</v>
      </c>
      <c r="F49" s="25"/>
    </row>
    <row r="50" spans="1:6" s="23" customFormat="1">
      <c r="A50" s="180"/>
      <c r="B50" s="180"/>
      <c r="C50" s="26" t="s">
        <v>5</v>
      </c>
      <c r="D50" s="24" t="s">
        <v>252</v>
      </c>
      <c r="E50" s="156" t="s">
        <v>507</v>
      </c>
      <c r="F50" s="40"/>
    </row>
    <row r="51" spans="1:6" s="23" customFormat="1">
      <c r="A51" s="180"/>
      <c r="B51" s="180"/>
      <c r="C51" s="24" t="s">
        <v>6</v>
      </c>
      <c r="D51" s="24" t="s">
        <v>234</v>
      </c>
      <c r="E51" s="28" t="s">
        <v>59</v>
      </c>
      <c r="F51" s="28"/>
    </row>
    <row r="52" spans="1:6" s="23" customFormat="1">
      <c r="A52" s="180"/>
      <c r="B52" s="180"/>
      <c r="C52" s="24" t="s">
        <v>7</v>
      </c>
      <c r="D52" s="24" t="s">
        <v>235</v>
      </c>
      <c r="E52" s="25" t="s">
        <v>60</v>
      </c>
      <c r="F52" s="25"/>
    </row>
    <row r="53" spans="1:6" s="23" customFormat="1">
      <c r="A53" s="180"/>
      <c r="B53" s="180"/>
      <c r="C53" s="24" t="s">
        <v>130</v>
      </c>
      <c r="D53" s="24" t="s">
        <v>196</v>
      </c>
      <c r="E53" s="1" t="str">
        <f>"リクエスト「" &amp; C53  &amp; "」の値を設定"</f>
        <v>リクエスト「店　番」の値を設定</v>
      </c>
      <c r="F53" s="1"/>
    </row>
    <row r="54" spans="1:6" s="23" customFormat="1">
      <c r="A54" s="180"/>
      <c r="B54" s="180"/>
      <c r="C54" s="24" t="s">
        <v>8</v>
      </c>
      <c r="D54" s="24" t="s">
        <v>191</v>
      </c>
      <c r="E54" s="27" t="s">
        <v>62</v>
      </c>
      <c r="F54" s="27"/>
    </row>
    <row r="55" spans="1:6" s="23" customFormat="1">
      <c r="A55" s="180"/>
      <c r="B55" s="180"/>
      <c r="C55" s="24" t="s">
        <v>131</v>
      </c>
      <c r="D55" s="24" t="s">
        <v>198</v>
      </c>
      <c r="E55" s="1" t="str">
        <f t="shared" ref="E55:E56" si="2">"リクエスト「" &amp; C55  &amp; "」の値を設定"</f>
        <v>リクエスト「レジNo.」の値を設定</v>
      </c>
      <c r="F55" s="1"/>
    </row>
    <row r="56" spans="1:6" s="23" customFormat="1">
      <c r="A56" s="180"/>
      <c r="B56" s="180"/>
      <c r="C56" s="24" t="s">
        <v>132</v>
      </c>
      <c r="D56" s="24" t="s">
        <v>199</v>
      </c>
      <c r="E56" s="1" t="str">
        <f t="shared" si="2"/>
        <v>リクエスト「チケット発券操作レジNo.」の値を設定</v>
      </c>
      <c r="F56" s="1"/>
    </row>
    <row r="57" spans="1:6" s="23" customFormat="1">
      <c r="A57" s="180"/>
      <c r="B57" s="180"/>
      <c r="C57" s="24" t="s">
        <v>133</v>
      </c>
      <c r="D57" s="24" t="s">
        <v>253</v>
      </c>
      <c r="E57" s="28" t="s">
        <v>142</v>
      </c>
      <c r="F57" s="28"/>
    </row>
    <row r="58" spans="1:6" s="23" customFormat="1">
      <c r="A58" s="180"/>
      <c r="B58" s="180"/>
      <c r="C58" s="24" t="s">
        <v>134</v>
      </c>
      <c r="D58" s="24" t="s">
        <v>254</v>
      </c>
      <c r="E58" s="155" t="str">
        <f>"リクエスト「" &amp; C58  &amp; "」の値を設定"</f>
        <v>リクエスト「支払方法区分」の値を設定</v>
      </c>
      <c r="F58" s="40"/>
    </row>
    <row r="59" spans="1:6" s="23" customFormat="1">
      <c r="A59" s="180"/>
      <c r="B59" s="180"/>
      <c r="C59" s="24" t="s">
        <v>13</v>
      </c>
      <c r="D59" s="24" t="s">
        <v>255</v>
      </c>
      <c r="E59" s="1" t="str">
        <f t="shared" ref="E59:E60" si="3">"リクエスト「" &amp; C59  &amp; "」の値を設定"</f>
        <v>リクエスト「利用年月日時分秒」の値を設定</v>
      </c>
      <c r="F59" s="1"/>
    </row>
    <row r="60" spans="1:6" s="23" customFormat="1">
      <c r="A60" s="180"/>
      <c r="B60" s="180"/>
      <c r="C60" s="24" t="s">
        <v>14</v>
      </c>
      <c r="D60" s="24" t="s">
        <v>237</v>
      </c>
      <c r="E60" s="1" t="str">
        <f t="shared" si="3"/>
        <v>リクエスト「処理通番」の値を設定</v>
      </c>
      <c r="F60" s="1"/>
    </row>
    <row r="61" spans="1:6" s="23" customFormat="1">
      <c r="A61" s="180"/>
      <c r="B61" s="180"/>
      <c r="C61" s="24" t="s">
        <v>15</v>
      </c>
      <c r="D61" s="24" t="s">
        <v>256</v>
      </c>
      <c r="E61" s="27" t="s">
        <v>143</v>
      </c>
      <c r="F61" s="27"/>
    </row>
    <row r="62" spans="1:6" s="23" customFormat="1">
      <c r="A62" s="180"/>
      <c r="B62" s="180"/>
      <c r="C62" s="24" t="s">
        <v>16</v>
      </c>
      <c r="D62" s="24" t="s">
        <v>205</v>
      </c>
      <c r="E62" s="1" t="str">
        <f>"リクエスト「" &amp; C62  &amp; "」の値を設定"</f>
        <v>リクエスト「要求区分」の値を設定</v>
      </c>
      <c r="F62" s="1"/>
    </row>
    <row r="63" spans="1:6" s="23" customFormat="1">
      <c r="A63" s="180"/>
      <c r="B63" s="180"/>
      <c r="C63" s="24" t="s">
        <v>17</v>
      </c>
      <c r="D63" s="24" t="s">
        <v>257</v>
      </c>
      <c r="E63" s="1" t="str">
        <f>"リクエスト「" &amp; C63  &amp; "」の値を設定"</f>
        <v>リクエスト「問合せ・完了区分」の値を設定</v>
      </c>
      <c r="F63" s="1"/>
    </row>
    <row r="64" spans="1:6" s="23" customFormat="1">
      <c r="A64" s="180"/>
      <c r="B64" s="180" t="s">
        <v>135</v>
      </c>
      <c r="C64" s="24"/>
      <c r="D64" s="24" t="s">
        <v>207</v>
      </c>
      <c r="E64" s="25"/>
      <c r="F64" s="25"/>
    </row>
    <row r="65" spans="1:6" s="23" customFormat="1">
      <c r="A65" s="180"/>
      <c r="B65" s="180"/>
      <c r="C65" s="24" t="s">
        <v>136</v>
      </c>
      <c r="D65" s="24" t="s">
        <v>258</v>
      </c>
      <c r="E65" s="1" t="str">
        <f>"リクエスト「" &amp; C65  &amp; "」の値を設定"</f>
        <v>リクエスト「決済ＩＤ（検索キー）」の値を設定</v>
      </c>
      <c r="F65" s="1"/>
    </row>
    <row r="66" spans="1:6" s="23" customFormat="1" ht="20.399999999999999" customHeight="1">
      <c r="A66" s="180"/>
      <c r="B66" s="180"/>
      <c r="C66" s="24" t="s">
        <v>20</v>
      </c>
      <c r="D66" s="24" t="s">
        <v>259</v>
      </c>
      <c r="E66" s="155" t="str">
        <f>"リクエスト「" &amp; C66  &amp; "」の値を設定"</f>
        <v>リクエスト「バーコードNo.」の値を設定</v>
      </c>
      <c r="F66" s="25"/>
    </row>
    <row r="67" spans="1:6" s="23" customFormat="1">
      <c r="A67" s="180"/>
      <c r="B67" s="180"/>
      <c r="C67" s="24" t="s">
        <v>137</v>
      </c>
      <c r="D67" s="24" t="s">
        <v>260</v>
      </c>
      <c r="E67" s="25" t="s">
        <v>144</v>
      </c>
      <c r="F67" s="25"/>
    </row>
    <row r="68" spans="1:6" s="23" customFormat="1">
      <c r="A68" s="180"/>
      <c r="B68" s="180"/>
      <c r="C68" s="24" t="s">
        <v>138</v>
      </c>
      <c r="D68" s="24" t="s">
        <v>261</v>
      </c>
      <c r="E68" s="25" t="s">
        <v>145</v>
      </c>
      <c r="F68" s="25"/>
    </row>
    <row r="69" spans="1:6" s="23" customFormat="1">
      <c r="A69" s="180"/>
      <c r="B69" s="180"/>
      <c r="C69" s="24" t="s">
        <v>31</v>
      </c>
      <c r="D69" s="24" t="s">
        <v>262</v>
      </c>
      <c r="E69" s="7" t="s">
        <v>106</v>
      </c>
      <c r="F69" s="40"/>
    </row>
    <row r="70" spans="1:6" s="23" customFormat="1">
      <c r="A70" s="180"/>
      <c r="B70" s="180"/>
      <c r="C70" s="24" t="s">
        <v>139</v>
      </c>
      <c r="D70" s="24" t="s">
        <v>263</v>
      </c>
      <c r="E70" s="7" t="s">
        <v>106</v>
      </c>
      <c r="F70" s="40"/>
    </row>
    <row r="71" spans="1:6" s="23" customFormat="1">
      <c r="A71" s="180"/>
      <c r="B71" s="180"/>
      <c r="C71" s="24" t="s">
        <v>140</v>
      </c>
      <c r="D71" s="116" t="s">
        <v>264</v>
      </c>
      <c r="E71" s="25" t="s">
        <v>146</v>
      </c>
      <c r="F71" s="25"/>
    </row>
    <row r="72" spans="1:6" s="23" customFormat="1">
      <c r="A72" s="180"/>
      <c r="B72" s="180"/>
      <c r="C72" s="24" t="s">
        <v>1</v>
      </c>
      <c r="D72" s="24" t="s">
        <v>211</v>
      </c>
      <c r="E72" s="156" t="s">
        <v>507</v>
      </c>
      <c r="F72" s="40"/>
    </row>
  </sheetData>
  <mergeCells count="10">
    <mergeCell ref="A46:C46"/>
    <mergeCell ref="A47:A72"/>
    <mergeCell ref="B48:B63"/>
    <mergeCell ref="B64:B72"/>
    <mergeCell ref="A1:C1"/>
    <mergeCell ref="A2:A39"/>
    <mergeCell ref="B3:B18"/>
    <mergeCell ref="B19:B39"/>
    <mergeCell ref="B42:B45"/>
    <mergeCell ref="A42:A45"/>
  </mergeCells>
  <phoneticPr fontId="28"/>
  <pageMargins left="0.70866141732283472" right="0.70866141732283472" top="0.74803149606299213" bottom="0.74803149606299213" header="0.31496062992125984" footer="0.31496062992125984"/>
  <pageSetup paperSize="8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3A65-840D-4114-B789-E2DD619889C5}">
  <sheetPr>
    <pageSetUpPr fitToPage="1"/>
  </sheetPr>
  <dimension ref="A1:AN51"/>
  <sheetViews>
    <sheetView view="pageBreakPreview" zoomScale="70" zoomScaleNormal="70" zoomScaleSheetLayoutView="70" workbookViewId="0">
      <pane xSplit="6" ySplit="3" topLeftCell="H4" activePane="bottomRight" state="frozen"/>
      <selection pane="topRight" activeCell="G1" sqref="G1"/>
      <selection pane="bottomLeft" activeCell="A4" sqref="A4"/>
      <selection pane="bottomRight" activeCell="H31" sqref="H31"/>
    </sheetView>
  </sheetViews>
  <sheetFormatPr defaultColWidth="8.69921875" defaultRowHeight="18"/>
  <cols>
    <col min="1" max="1" width="25.5" style="9" customWidth="1"/>
    <col min="2" max="2" width="30.69921875" style="9" customWidth="1"/>
    <col min="3" max="3" width="25.19921875" style="9" bestFit="1" customWidth="1"/>
    <col min="4" max="4" width="13.69921875" style="9" customWidth="1"/>
    <col min="5" max="5" width="12.5" style="9" bestFit="1" customWidth="1"/>
    <col min="6" max="6" width="27.69921875" style="9" bestFit="1" customWidth="1"/>
    <col min="7" max="7" width="30.19921875" style="9" bestFit="1" customWidth="1"/>
    <col min="8" max="8" width="31.8984375" style="9" bestFit="1" customWidth="1"/>
    <col min="9" max="9" width="26.09765625" style="9" bestFit="1" customWidth="1"/>
    <col min="10" max="10" width="34.8984375" style="9" bestFit="1" customWidth="1"/>
    <col min="11" max="11" width="28.19921875" style="9" customWidth="1"/>
    <col min="12" max="12" width="20" style="9" customWidth="1"/>
    <col min="13" max="13" width="19.69921875" style="9" customWidth="1"/>
    <col min="14" max="14" width="30.19921875" style="9" customWidth="1"/>
    <col min="15" max="15" width="29.19921875" style="9" customWidth="1"/>
    <col min="16" max="16" width="18.69921875" style="9" customWidth="1"/>
    <col min="17" max="17" width="15.09765625" style="57" customWidth="1"/>
    <col min="18" max="16384" width="8.69921875" style="9"/>
  </cols>
  <sheetData>
    <row r="1" spans="1:17" ht="54" customHeight="1">
      <c r="A1" s="193" t="s">
        <v>53</v>
      </c>
      <c r="B1" s="189" t="str">
        <f xml:space="preserve"> "レスポンスパターン" &amp; "（" &amp; SUM(B20:P20) &amp; "ビット）"</f>
        <v>レスポンスパターン（31ビット）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1"/>
      <c r="Q1" s="188" t="s">
        <v>347</v>
      </c>
    </row>
    <row r="2" spans="1:17" ht="54" customHeight="1">
      <c r="A2" s="193"/>
      <c r="B2" s="189" t="s">
        <v>304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1"/>
      <c r="N2" s="190" t="s">
        <v>305</v>
      </c>
      <c r="O2" s="190"/>
      <c r="P2" s="191"/>
      <c r="Q2" s="188"/>
    </row>
    <row r="3" spans="1:17" ht="54">
      <c r="A3" s="193"/>
      <c r="B3" s="12" t="str">
        <f xml:space="preserve"> "処理結果" &amp; CHAR(10) &amp; "（" &amp; B20 &amp; "ビット）"</f>
        <v>処理結果
（3ビット）</v>
      </c>
      <c r="C3" s="12" t="str">
        <f xml:space="preserve"> "応答結果" &amp; CHAR(10) &amp; "（" &amp; C20 &amp; "ビット）"</f>
        <v>応答結果
（4ビット）</v>
      </c>
      <c r="D3" s="12" t="str">
        <f xml:space="preserve"> "支払種別" &amp; CHAR(10) &amp; "（" &amp; D20 &amp; "ビット）"</f>
        <v>支払種別
（2ビット）</v>
      </c>
      <c r="E3" s="12" t="str">
        <f xml:space="preserve"> "納品種別" &amp; CHAR(10) &amp; "（" &amp; E20 &amp; "ビット）"</f>
        <v>納品種別
（1ビット）</v>
      </c>
      <c r="F3" s="12" t="str">
        <f xml:space="preserve"> "売上計上区分" &amp; CHAR(10) &amp; "（" &amp; F20 &amp; "ビット）"</f>
        <v>売上計上区分
（2ビット）</v>
      </c>
      <c r="G3" s="12" t="str">
        <f xml:space="preserve"> "印紙基準額" &amp; CHAR(10) &amp; "（" &amp; G20 &amp; "ビット）"</f>
        <v>印紙基準額
（2ビット）</v>
      </c>
      <c r="H3" s="12" t="str">
        <f xml:space="preserve"> "価格変更フラグ" &amp; CHAR(10) &amp; "（" &amp; H20 &amp; "ビット）"</f>
        <v>価格変更フラグ
（1ビット）</v>
      </c>
      <c r="I3" s="12" t="str">
        <f xml:space="preserve"> "機能区分" &amp; CHAR(10) &amp; "（" &amp; I20 &amp; "ビット）"</f>
        <v>機能区分
（1ビット）</v>
      </c>
      <c r="J3" s="12" t="str">
        <f xml:space="preserve"> "SHOPCD" &amp; CHAR(10) &amp; "（" &amp; J20 &amp; "ビット）"</f>
        <v>SHOPCD
（3ビット）</v>
      </c>
      <c r="K3" s="12" t="str">
        <f xml:space="preserve"> "収納金額" &amp; CHAR(10) &amp; "（" &amp; K20 &amp;  "ビット）"</f>
        <v>収納金額
（2ビット）</v>
      </c>
      <c r="L3" s="12" t="str">
        <f xml:space="preserve"> "チケット発券個別情報" &amp; CHAR(10) &amp; "（" &amp; L20 &amp; "ビット）"</f>
        <v>チケット発券個別情報
（3ビット）</v>
      </c>
      <c r="M3" s="12" t="str">
        <f xml:space="preserve"> "レスポンスパターン（再送区分用）" &amp; CHAR(10) &amp; "（" &amp; M20 &amp; "ビット）"</f>
        <v>レスポンスパターン（再送区分用）
（1ビット）</v>
      </c>
      <c r="N3" s="12" t="str">
        <f xml:space="preserve"> "取消処理結果" &amp; CHAR(10) &amp; "（" &amp; N20 &amp; "ビット）"</f>
        <v>取消処理結果
（3ビット）</v>
      </c>
      <c r="O3" s="12" t="str">
        <f xml:space="preserve"> "取消応答結果" &amp; CHAR(10) &amp; "（" &amp; O20 &amp; "ビット）"</f>
        <v>取消応答結果
（2ビット）</v>
      </c>
      <c r="P3" s="12" t="str">
        <f xml:space="preserve"> "レスポンスパターン（取消再送区分用）" &amp; CHAR(10) &amp; "（" &amp; P20 &amp; "ビット）"</f>
        <v>レスポンスパターン（取消再送区分用）
（1ビット）</v>
      </c>
      <c r="Q3" s="188"/>
    </row>
    <row r="4" spans="1:17">
      <c r="A4" s="21">
        <v>0</v>
      </c>
      <c r="B4" s="15" t="s">
        <v>359</v>
      </c>
      <c r="C4" s="5" t="s">
        <v>52</v>
      </c>
      <c r="D4" s="11" t="s">
        <v>51</v>
      </c>
      <c r="E4" s="11" t="s">
        <v>50</v>
      </c>
      <c r="F4" s="11" t="s">
        <v>49</v>
      </c>
      <c r="G4" s="112" t="s">
        <v>453</v>
      </c>
      <c r="H4" s="11" t="s">
        <v>48</v>
      </c>
      <c r="I4" s="11" t="s">
        <v>38</v>
      </c>
      <c r="J4" s="11" t="s">
        <v>47</v>
      </c>
      <c r="K4" s="112" t="s">
        <v>453</v>
      </c>
      <c r="L4" s="17" t="s">
        <v>68</v>
      </c>
      <c r="M4" s="49" t="s">
        <v>294</v>
      </c>
      <c r="N4" s="15" t="s">
        <v>359</v>
      </c>
      <c r="O4" s="49" t="s">
        <v>297</v>
      </c>
      <c r="P4" s="49" t="s">
        <v>294</v>
      </c>
      <c r="Q4" s="77">
        <v>0</v>
      </c>
    </row>
    <row r="5" spans="1:17">
      <c r="A5" s="21">
        <v>1</v>
      </c>
      <c r="B5" s="15" t="s">
        <v>360</v>
      </c>
      <c r="C5" s="5" t="s">
        <v>54</v>
      </c>
      <c r="D5" s="11" t="s">
        <v>46</v>
      </c>
      <c r="E5" s="11" t="s">
        <v>45</v>
      </c>
      <c r="F5" s="11" t="s">
        <v>44</v>
      </c>
      <c r="G5" s="11" t="s">
        <v>41</v>
      </c>
      <c r="H5" s="11" t="s">
        <v>43</v>
      </c>
      <c r="I5" s="11" t="s">
        <v>36</v>
      </c>
      <c r="J5" s="55" t="s">
        <v>42</v>
      </c>
      <c r="K5" s="11" t="s">
        <v>41</v>
      </c>
      <c r="L5" s="17" t="s">
        <v>67</v>
      </c>
      <c r="M5" s="49" t="s">
        <v>295</v>
      </c>
      <c r="N5" s="15" t="s">
        <v>360</v>
      </c>
      <c r="O5" s="49" t="s">
        <v>298</v>
      </c>
      <c r="P5" s="49" t="s">
        <v>295</v>
      </c>
      <c r="Q5" s="76">
        <v>1</v>
      </c>
    </row>
    <row r="6" spans="1:17">
      <c r="A6" s="21">
        <v>10</v>
      </c>
      <c r="B6" s="15" t="s">
        <v>361</v>
      </c>
      <c r="C6" s="5" t="s">
        <v>55</v>
      </c>
      <c r="D6" s="11" t="s">
        <v>40</v>
      </c>
      <c r="E6" s="10"/>
      <c r="F6" s="11" t="s">
        <v>39</v>
      </c>
      <c r="G6" s="16" t="s">
        <v>63</v>
      </c>
      <c r="H6" s="10"/>
      <c r="I6" s="10"/>
      <c r="J6" s="81" t="s">
        <v>366</v>
      </c>
      <c r="K6" s="16" t="s">
        <v>63</v>
      </c>
      <c r="L6" s="17" t="s">
        <v>320</v>
      </c>
      <c r="M6" s="10"/>
      <c r="N6" s="15" t="s">
        <v>361</v>
      </c>
      <c r="O6" s="49" t="s">
        <v>302</v>
      </c>
      <c r="P6" s="10"/>
      <c r="Q6" s="76">
        <v>2</v>
      </c>
    </row>
    <row r="7" spans="1:17">
      <c r="A7" s="21">
        <v>11</v>
      </c>
      <c r="B7" s="15" t="s">
        <v>362</v>
      </c>
      <c r="C7" s="5" t="s">
        <v>56</v>
      </c>
      <c r="D7" s="10"/>
      <c r="E7" s="10"/>
      <c r="F7" s="10"/>
      <c r="G7" s="11" t="s">
        <v>37</v>
      </c>
      <c r="H7" s="10"/>
      <c r="I7" s="10"/>
      <c r="J7" s="81" t="s">
        <v>367</v>
      </c>
      <c r="K7" s="11" t="s">
        <v>37</v>
      </c>
      <c r="L7" s="17" t="s">
        <v>66</v>
      </c>
      <c r="M7" s="10"/>
      <c r="N7" s="15" t="s">
        <v>362</v>
      </c>
      <c r="O7" s="49" t="s">
        <v>303</v>
      </c>
      <c r="P7" s="10"/>
      <c r="Q7" s="76">
        <v>3</v>
      </c>
    </row>
    <row r="8" spans="1:17">
      <c r="A8" s="21">
        <v>100</v>
      </c>
      <c r="B8" s="80" t="s">
        <v>352</v>
      </c>
      <c r="C8" s="5" t="s">
        <v>57</v>
      </c>
      <c r="D8" s="10"/>
      <c r="E8" s="10"/>
      <c r="F8" s="10"/>
      <c r="G8" s="10"/>
      <c r="H8" s="10"/>
      <c r="I8" s="10"/>
      <c r="J8" s="99" t="s">
        <v>426</v>
      </c>
      <c r="K8" s="10"/>
      <c r="L8" s="17" t="s">
        <v>65</v>
      </c>
      <c r="M8" s="10"/>
      <c r="N8" s="80" t="s">
        <v>352</v>
      </c>
      <c r="O8" s="10"/>
      <c r="P8" s="10"/>
      <c r="Q8" s="76"/>
    </row>
    <row r="9" spans="1:17">
      <c r="A9" s="21">
        <v>101</v>
      </c>
      <c r="B9" s="80" t="s">
        <v>353</v>
      </c>
      <c r="C9" s="15" t="s">
        <v>265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80" t="s">
        <v>353</v>
      </c>
      <c r="O9" s="10"/>
      <c r="P9" s="10"/>
      <c r="Q9" s="76"/>
    </row>
    <row r="10" spans="1:17">
      <c r="A10" s="21">
        <v>110</v>
      </c>
      <c r="B10" s="80" t="s">
        <v>354</v>
      </c>
      <c r="C10" s="15" t="s">
        <v>266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0" t="s">
        <v>354</v>
      </c>
      <c r="O10" s="10"/>
      <c r="P10" s="10"/>
      <c r="Q10" s="76"/>
    </row>
    <row r="11" spans="1:17">
      <c r="A11" s="21">
        <v>111</v>
      </c>
      <c r="B11" s="80" t="s">
        <v>355</v>
      </c>
      <c r="C11" s="15" t="s">
        <v>267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0" t="s">
        <v>355</v>
      </c>
      <c r="O11" s="10"/>
      <c r="P11" s="10"/>
      <c r="Q11" s="76"/>
    </row>
    <row r="12" spans="1:17">
      <c r="A12" s="21">
        <v>1000</v>
      </c>
      <c r="B12" s="10"/>
      <c r="C12" s="15" t="s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76"/>
    </row>
    <row r="13" spans="1:17">
      <c r="A13" s="21">
        <v>1001</v>
      </c>
      <c r="B13" s="10"/>
      <c r="C13" s="1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76"/>
    </row>
    <row r="14" spans="1:17">
      <c r="A14" s="21">
        <v>1010</v>
      </c>
      <c r="B14" s="10"/>
      <c r="C14" s="1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76"/>
    </row>
    <row r="15" spans="1:17">
      <c r="A15" s="21">
        <v>1011</v>
      </c>
      <c r="B15" s="10"/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76"/>
    </row>
    <row r="16" spans="1:17">
      <c r="A16" s="21">
        <v>1100</v>
      </c>
      <c r="B16" s="10"/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76"/>
    </row>
    <row r="17" spans="1:17">
      <c r="A17" s="21">
        <v>1101</v>
      </c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76"/>
    </row>
    <row r="18" spans="1:17">
      <c r="A18" s="21">
        <v>1110</v>
      </c>
      <c r="B18" s="10"/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76"/>
    </row>
    <row r="19" spans="1:17">
      <c r="A19" s="21">
        <v>1111</v>
      </c>
      <c r="B19" s="10"/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76"/>
    </row>
    <row r="20" spans="1:17" s="53" customFormat="1">
      <c r="B20" s="53">
        <v>3</v>
      </c>
      <c r="C20" s="53">
        <v>4</v>
      </c>
      <c r="D20" s="53">
        <v>2</v>
      </c>
      <c r="E20" s="53">
        <v>1</v>
      </c>
      <c r="F20" s="53">
        <v>2</v>
      </c>
      <c r="G20" s="53">
        <v>2</v>
      </c>
      <c r="H20" s="53">
        <v>1</v>
      </c>
      <c r="I20" s="53">
        <v>1</v>
      </c>
      <c r="J20" s="53">
        <v>3</v>
      </c>
      <c r="K20" s="53">
        <v>2</v>
      </c>
      <c r="L20" s="53">
        <v>3</v>
      </c>
      <c r="M20" s="53">
        <v>1</v>
      </c>
      <c r="N20" s="53">
        <v>3</v>
      </c>
      <c r="O20" s="54">
        <v>2</v>
      </c>
      <c r="P20" s="54">
        <v>1</v>
      </c>
      <c r="Q20" s="57">
        <v>2</v>
      </c>
    </row>
    <row r="21" spans="1:17" s="57" customFormat="1">
      <c r="A21" s="57" t="s">
        <v>334</v>
      </c>
    </row>
    <row r="22" spans="1:17" s="38" customFormat="1" ht="43.8" customHeight="1">
      <c r="A22" s="58" t="s">
        <v>335</v>
      </c>
      <c r="B22" s="59" t="s">
        <v>357</v>
      </c>
      <c r="C22" s="59" t="s">
        <v>52</v>
      </c>
      <c r="D22" s="59" t="s">
        <v>474</v>
      </c>
      <c r="E22" s="59" t="s">
        <v>50</v>
      </c>
      <c r="F22" s="59" t="s">
        <v>488</v>
      </c>
      <c r="G22" s="59" t="s">
        <v>63</v>
      </c>
      <c r="H22" s="59" t="s">
        <v>364</v>
      </c>
      <c r="I22" s="59" t="s">
        <v>452</v>
      </c>
      <c r="J22" s="59" t="s">
        <v>366</v>
      </c>
      <c r="K22" s="59" t="s">
        <v>63</v>
      </c>
      <c r="L22" s="59" t="s">
        <v>67</v>
      </c>
      <c r="M22" s="59" t="s">
        <v>294</v>
      </c>
      <c r="N22" s="59" t="s">
        <v>357</v>
      </c>
      <c r="O22" s="59" t="s">
        <v>297</v>
      </c>
      <c r="P22" s="59" t="s">
        <v>294</v>
      </c>
      <c r="Q22" s="60">
        <v>0</v>
      </c>
    </row>
    <row r="23" spans="1:17" s="38" customFormat="1" ht="43.8" customHeight="1">
      <c r="A23" s="58" t="s">
        <v>336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 t="s">
        <v>348</v>
      </c>
    </row>
    <row r="24" spans="1:17" s="38" customFormat="1" ht="24.6" customHeight="1">
      <c r="A24" s="63" t="s">
        <v>337</v>
      </c>
      <c r="B24" s="64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64" t="str">
        <f t="shared" ref="C24:L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64" t="str">
        <f t="shared" si="0"/>
        <v>OK</v>
      </c>
      <c r="E24" s="65" t="str">
        <f t="shared" si="0"/>
        <v>OK</v>
      </c>
      <c r="F24" s="65" t="str">
        <f t="shared" si="0"/>
        <v>OK</v>
      </c>
      <c r="G24" s="65" t="str">
        <f t="shared" si="0"/>
        <v>OK</v>
      </c>
      <c r="H24" s="65" t="str">
        <f t="shared" si="0"/>
        <v>OK</v>
      </c>
      <c r="I24" s="65" t="str">
        <f t="shared" si="0"/>
        <v>OK</v>
      </c>
      <c r="J24" s="65" t="str">
        <f t="shared" si="0"/>
        <v>OK</v>
      </c>
      <c r="K24" s="65" t="str">
        <f t="shared" si="0"/>
        <v>OK</v>
      </c>
      <c r="L24" s="65" t="str">
        <f t="shared" si="0"/>
        <v>OK</v>
      </c>
      <c r="M24" s="65" t="str">
        <f t="shared" ref="M24:P24" si="1">IF(AND(M26&lt;&gt;"",M26&gt;(COUNTA(M4:M19)-1)),"選択された項目が不正",IF(AND(M23&lt;&gt;"",BIN2DEC(M23)&gt;(COUNTA(M4:M19)-1)),"２進数値がオーバー",IF(AND(M23&lt;&gt;"",M26&lt;&gt;"",BIN2DEC(M23)&lt;&gt;M26),"両方入力したが不一致",IF(AND(M23="", M26=""),"未入力","OK"))))</f>
        <v>OK</v>
      </c>
      <c r="N24" s="65" t="str">
        <f t="shared" si="1"/>
        <v>OK</v>
      </c>
      <c r="O24" s="65" t="str">
        <f t="shared" si="1"/>
        <v>OK</v>
      </c>
      <c r="P24" s="65" t="str">
        <f t="shared" si="1"/>
        <v>OK</v>
      </c>
      <c r="Q24" s="65" t="str">
        <f t="shared" ref="Q24" si="2">IF(AND(Q26&lt;&gt;"",Q26&gt;(COUNTA(Q4:Q19)-1)),"選択された項目が不正",IF(AND(Q23&lt;&gt;"",BIN2DEC(Q23)&gt;(COUNTA(Q4:Q19)-1)),"２進数値がオーバー",IF(AND(Q23&lt;&gt;"",Q26&lt;&gt;"",BIN2DEC(Q23)&lt;&gt;Q26),"両方入力したが不一致",IF(AND(Q23="", Q26=""),"未入力","OK"))))</f>
        <v>OK</v>
      </c>
    </row>
    <row r="25" spans="1:17" s="38" customFormat="1" hidden="1">
      <c r="A25" s="66" t="s">
        <v>338</v>
      </c>
    </row>
    <row r="26" spans="1:17" s="38" customFormat="1" hidden="1">
      <c r="A26" s="67" t="s">
        <v>339</v>
      </c>
      <c r="B26" s="57">
        <f>IF(B22="","",MATCH(B22,B4:B19,0)-1)</f>
        <v>0</v>
      </c>
      <c r="C26" s="57">
        <f t="shared" ref="C26:L26" si="3">IF(C22="","",MATCH(C22,C4:C19,0)-1)</f>
        <v>0</v>
      </c>
      <c r="D26" s="57">
        <f t="shared" si="3"/>
        <v>0</v>
      </c>
      <c r="E26" s="57">
        <f t="shared" si="3"/>
        <v>0</v>
      </c>
      <c r="F26" s="57">
        <f t="shared" si="3"/>
        <v>1</v>
      </c>
      <c r="G26" s="57">
        <f t="shared" si="3"/>
        <v>2</v>
      </c>
      <c r="H26" s="57">
        <f t="shared" si="3"/>
        <v>1</v>
      </c>
      <c r="I26" s="57">
        <f t="shared" si="3"/>
        <v>0</v>
      </c>
      <c r="J26" s="57">
        <f>IF(J22="","",MATCH(J22,J4:J19,0)-1)</f>
        <v>2</v>
      </c>
      <c r="K26" s="57">
        <f t="shared" si="3"/>
        <v>2</v>
      </c>
      <c r="L26" s="57">
        <f t="shared" si="3"/>
        <v>1</v>
      </c>
      <c r="M26" s="57">
        <f t="shared" ref="M26:P26" si="4">IF(M22="","",MATCH(M22,M4:M19,0)-1)</f>
        <v>0</v>
      </c>
      <c r="N26" s="57">
        <f t="shared" si="4"/>
        <v>0</v>
      </c>
      <c r="O26" s="57">
        <f t="shared" si="4"/>
        <v>0</v>
      </c>
      <c r="P26" s="57">
        <f t="shared" si="4"/>
        <v>0</v>
      </c>
      <c r="Q26" s="57">
        <f t="shared" ref="Q26" si="5">IF(Q22="","",MATCH(Q22,Q4:Q19,0)-1)</f>
        <v>0</v>
      </c>
    </row>
    <row r="27" spans="1:17" s="38" customFormat="1" hidden="1">
      <c r="A27" s="67" t="s">
        <v>340</v>
      </c>
      <c r="B27" s="57">
        <f t="shared" ref="B27:L27" si="6">ROUNDUP(LOG(COUNTA(B4:B19),2),0)</f>
        <v>3</v>
      </c>
      <c r="C27" s="57">
        <f t="shared" si="6"/>
        <v>4</v>
      </c>
      <c r="D27" s="57">
        <f t="shared" si="6"/>
        <v>2</v>
      </c>
      <c r="E27" s="57">
        <f t="shared" si="6"/>
        <v>1</v>
      </c>
      <c r="F27" s="57">
        <f t="shared" si="6"/>
        <v>2</v>
      </c>
      <c r="G27" s="57">
        <f t="shared" si="6"/>
        <v>2</v>
      </c>
      <c r="H27" s="57">
        <f t="shared" si="6"/>
        <v>1</v>
      </c>
      <c r="I27" s="57">
        <f t="shared" si="6"/>
        <v>1</v>
      </c>
      <c r="J27" s="57">
        <f t="shared" si="6"/>
        <v>3</v>
      </c>
      <c r="K27" s="57">
        <f t="shared" si="6"/>
        <v>2</v>
      </c>
      <c r="L27" s="57">
        <f t="shared" si="6"/>
        <v>3</v>
      </c>
      <c r="M27" s="57">
        <f t="shared" ref="M27:P27" si="7">ROUNDUP(LOG(COUNTA(M4:M19),2),0)</f>
        <v>1</v>
      </c>
      <c r="N27" s="57">
        <f t="shared" si="7"/>
        <v>3</v>
      </c>
      <c r="O27" s="57">
        <f t="shared" si="7"/>
        <v>2</v>
      </c>
      <c r="P27" s="57">
        <f t="shared" si="7"/>
        <v>1</v>
      </c>
      <c r="Q27" s="57">
        <v>2</v>
      </c>
    </row>
    <row r="28" spans="1:17" s="38" customFormat="1" hidden="1">
      <c r="A28" s="68" t="s">
        <v>341</v>
      </c>
      <c r="B28" s="69">
        <f>POWER(2,B27)*C28</f>
        <v>8589934592</v>
      </c>
      <c r="C28" s="38">
        <f>POWER(2,C27)*D28</f>
        <v>1073741824</v>
      </c>
      <c r="D28" s="38">
        <f>POWER(2,D27)*E28</f>
        <v>67108864</v>
      </c>
      <c r="E28" s="38">
        <f>POWER(2,E27)*F28</f>
        <v>16777216</v>
      </c>
      <c r="F28" s="38">
        <f t="shared" ref="F28:L28" si="8">POWER(2,F27)*G28</f>
        <v>8388608</v>
      </c>
      <c r="G28" s="38">
        <f t="shared" si="8"/>
        <v>2097152</v>
      </c>
      <c r="H28" s="38">
        <f t="shared" si="8"/>
        <v>524288</v>
      </c>
      <c r="I28" s="38">
        <f t="shared" si="8"/>
        <v>262144</v>
      </c>
      <c r="J28" s="38">
        <f>POWER(2,J27)*K28</f>
        <v>131072</v>
      </c>
      <c r="K28" s="38">
        <f t="shared" si="8"/>
        <v>16384</v>
      </c>
      <c r="L28" s="38">
        <f t="shared" si="8"/>
        <v>4096</v>
      </c>
      <c r="M28" s="38">
        <f t="shared" ref="M28" si="9">POWER(2,M27)*N28</f>
        <v>512</v>
      </c>
      <c r="N28" s="38">
        <f t="shared" ref="N28" si="10">POWER(2,N27)*O28</f>
        <v>256</v>
      </c>
      <c r="O28" s="38">
        <f t="shared" ref="O28" si="11">POWER(2,O27)*P28</f>
        <v>32</v>
      </c>
      <c r="P28" s="38">
        <f t="shared" ref="P28" si="12">POWER(2,P27)*Q28</f>
        <v>8</v>
      </c>
      <c r="Q28" s="38">
        <f>POWER(2,Q27)*1</f>
        <v>4</v>
      </c>
    </row>
    <row r="29" spans="1:17" s="38" customFormat="1" hidden="1">
      <c r="A29" s="68" t="s">
        <v>342</v>
      </c>
      <c r="B29" s="38">
        <f t="shared" ref="B29:L29" si="13">IF(B23="",B26,BIN2DEC(B23))*C28</f>
        <v>0</v>
      </c>
      <c r="C29" s="38">
        <f t="shared" si="13"/>
        <v>0</v>
      </c>
      <c r="D29" s="38">
        <f t="shared" si="13"/>
        <v>0</v>
      </c>
      <c r="E29" s="38">
        <f t="shared" si="13"/>
        <v>0</v>
      </c>
      <c r="F29" s="38">
        <f t="shared" si="13"/>
        <v>2097152</v>
      </c>
      <c r="G29" s="38">
        <f t="shared" si="13"/>
        <v>1048576</v>
      </c>
      <c r="H29" s="38">
        <f t="shared" si="13"/>
        <v>262144</v>
      </c>
      <c r="I29" s="38">
        <f t="shared" si="13"/>
        <v>0</v>
      </c>
      <c r="J29" s="38">
        <f t="shared" si="13"/>
        <v>32768</v>
      </c>
      <c r="K29" s="38">
        <f t="shared" si="13"/>
        <v>8192</v>
      </c>
      <c r="L29" s="38">
        <f t="shared" si="13"/>
        <v>512</v>
      </c>
      <c r="M29" s="38">
        <f t="shared" ref="M29" si="14">IF(M23="",M26,BIN2DEC(M23))*N28</f>
        <v>0</v>
      </c>
      <c r="N29" s="38">
        <f t="shared" ref="N29" si="15">IF(N23="",N26,BIN2DEC(N23))*O28</f>
        <v>0</v>
      </c>
      <c r="O29" s="38">
        <f t="shared" ref="O29" si="16">IF(O23="",O26,BIN2DEC(O23))*P28</f>
        <v>0</v>
      </c>
      <c r="P29" s="38">
        <f t="shared" ref="P29" si="17">IF(P23="",P26,BIN2DEC(P23))*Q28</f>
        <v>0</v>
      </c>
      <c r="Q29" s="38">
        <f>IF(Q23="",Q26,BIN2DEC(Q23))*1</f>
        <v>0</v>
      </c>
    </row>
    <row r="30" spans="1:17" s="38" customFormat="1">
      <c r="A30" s="66" t="s">
        <v>343</v>
      </c>
    </row>
    <row r="31" spans="1:17" s="38" customFormat="1" ht="44.4" customHeight="1">
      <c r="A31" s="74" t="s">
        <v>349</v>
      </c>
      <c r="B31" s="71" t="str">
        <f>REPT("0",11-LEN(SUM(B29:Q29)))   &amp; SUM(B29:Q29)</f>
        <v>00003449344</v>
      </c>
      <c r="C31" s="103"/>
      <c r="I31" s="9"/>
      <c r="J31" s="9"/>
    </row>
    <row r="32" spans="1:17" s="38" customFormat="1" ht="32.4" hidden="1" customHeight="1">
      <c r="A32" s="72" t="s">
        <v>345</v>
      </c>
      <c r="B32" s="73" cm="1">
        <f t="array" ref="B32">MOD(10 - MOD(SUMPRODUCT(MID("6"&amp;B31, {2,4,6,8,10,12}, 1) + 0) * 3 + SUMPRODUCT(MID("6"&amp;B31, {1,3,5,7,9,11}, 1) + 0), 10), 10)</f>
        <v>5</v>
      </c>
      <c r="I32" s="9"/>
      <c r="J32" s="9"/>
    </row>
    <row r="33" spans="1:40" s="38" customFormat="1" ht="32.4" customHeight="1">
      <c r="A33" s="74" t="s">
        <v>346</v>
      </c>
      <c r="B33" s="79" t="str">
        <f>"6"&amp;B31&amp;B32&amp;""</f>
        <v>6000034493445</v>
      </c>
      <c r="I33" s="9"/>
      <c r="J33" s="9"/>
    </row>
    <row r="34" spans="1:40" ht="40.799999999999997" customHeight="1">
      <c r="A34" s="74" t="s">
        <v>478</v>
      </c>
      <c r="B34" s="137" t="str">
        <f>"b"&amp; B33 &amp; "b"</f>
        <v>b6000034493445b</v>
      </c>
    </row>
    <row r="35" spans="1:40" ht="25.2" customHeight="1"/>
    <row r="36" spans="1:40" s="38" customFormat="1" ht="22.2">
      <c r="A36" s="138" t="s">
        <v>489</v>
      </c>
      <c r="B36" s="139"/>
      <c r="D36" s="9"/>
      <c r="I36" s="9"/>
      <c r="J36" s="9"/>
      <c r="K36" s="9"/>
      <c r="O36" s="57"/>
    </row>
    <row r="37" spans="1:40" s="38" customFormat="1" ht="20.399999999999999" thickBot="1">
      <c r="A37" s="140"/>
      <c r="B37" s="141" t="s">
        <v>490</v>
      </c>
      <c r="D37" s="9"/>
      <c r="I37" s="9"/>
      <c r="J37" s="9"/>
      <c r="K37" s="9"/>
      <c r="O37" s="57"/>
    </row>
    <row r="38" spans="1:40" s="38" customFormat="1" ht="30.6" customHeight="1" thickBot="1">
      <c r="A38" s="74" t="s">
        <v>491</v>
      </c>
      <c r="B38" s="142"/>
      <c r="I38" s="9"/>
      <c r="J38" s="9"/>
      <c r="K38" s="9"/>
      <c r="O38" s="57"/>
    </row>
    <row r="39" spans="1:40" s="38" customFormat="1" ht="33.6" customHeight="1">
      <c r="A39" s="158" t="s">
        <v>509</v>
      </c>
      <c r="B39" s="140" t="str">
        <f>IF(LEN(B38)=0,"バーコードは未入力。",IF(LEN(B38)&lt;&gt;13,"バーコードの桁数が不正。",IF(RIGHT(B49,2)&lt;&gt;"00","No."&amp; BIN2DEC(RIGHT(B49,2)) +1 &amp; "マッピングに参照してください。","")))</f>
        <v>バーコードは未入力。</v>
      </c>
      <c r="D39" s="9"/>
      <c r="I39" s="9"/>
      <c r="J39" s="9"/>
      <c r="K39" s="9"/>
      <c r="O39" s="57"/>
    </row>
    <row r="40" spans="1:40" s="38" customFormat="1" ht="34.200000000000003" customHeight="1">
      <c r="A40" s="192" t="s">
        <v>492</v>
      </c>
      <c r="B40" s="189" t="str">
        <f xml:space="preserve"> "レスポンスパターン"</f>
        <v>レスポンスパターン</v>
      </c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1"/>
      <c r="Q40" s="188" t="s">
        <v>347</v>
      </c>
    </row>
    <row r="41" spans="1:40" s="38" customFormat="1" ht="34.200000000000003" customHeight="1">
      <c r="A41" s="192"/>
      <c r="B41" s="189" t="s">
        <v>304</v>
      </c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1"/>
      <c r="N41" s="190" t="s">
        <v>305</v>
      </c>
      <c r="O41" s="190"/>
      <c r="P41" s="191"/>
      <c r="Q41" s="188"/>
    </row>
    <row r="42" spans="1:40" s="38" customFormat="1" ht="54">
      <c r="A42" s="192"/>
      <c r="B42" s="12" t="str">
        <f xml:space="preserve"> "処理結果" &amp; CHAR(10) &amp; "（" &amp; B56 &amp; "ビット）"</f>
        <v>処理結果
（ビット）</v>
      </c>
      <c r="C42" s="12" t="str">
        <f xml:space="preserve"> "応答結果" &amp; CHAR(10) &amp; "（" &amp; C56 &amp; "ビット）"</f>
        <v>応答結果
（ビット）</v>
      </c>
      <c r="D42" s="12" t="str">
        <f xml:space="preserve"> "支払種別" &amp; CHAR(10) &amp; "（" &amp; D56 &amp; "ビット）"</f>
        <v>支払種別
（ビット）</v>
      </c>
      <c r="E42" s="12" t="str">
        <f xml:space="preserve"> "納品種別" &amp; CHAR(10) &amp; "（" &amp; E56 &amp; "ビット）"</f>
        <v>納品種別
（ビット）</v>
      </c>
      <c r="F42" s="12" t="str">
        <f xml:space="preserve"> "売上計上区分" &amp; CHAR(10) &amp; "（" &amp; F56 &amp; "ビット）"</f>
        <v>売上計上区分
（ビット）</v>
      </c>
      <c r="G42" s="12" t="str">
        <f xml:space="preserve"> "印紙基準額" &amp; CHAR(10) &amp; "（" &amp; G56 &amp; "ビット）"</f>
        <v>印紙基準額
（ビット）</v>
      </c>
      <c r="H42" s="12" t="str">
        <f xml:space="preserve"> "価格変更フラグ" &amp; CHAR(10) &amp; "（" &amp; H56 &amp; "ビット）"</f>
        <v>価格変更フラグ
（ビット）</v>
      </c>
      <c r="I42" s="12" t="str">
        <f xml:space="preserve"> "機能区分" &amp; CHAR(10) &amp; "（" &amp; I56 &amp; "ビット）"</f>
        <v>機能区分
（ビット）</v>
      </c>
      <c r="J42" s="12" t="str">
        <f xml:space="preserve"> "SHOPCD" &amp; CHAR(10) &amp; "（" &amp; J56 &amp; "ビット）"</f>
        <v>SHOPCD
（ビット）</v>
      </c>
      <c r="K42" s="12" t="str">
        <f xml:space="preserve"> "収納金額" &amp; CHAR(10) &amp; "（" &amp; K56 &amp;  "ビット）"</f>
        <v>収納金額
（ビット）</v>
      </c>
      <c r="L42" s="12" t="str">
        <f xml:space="preserve"> "チケット発券個別情報" &amp; CHAR(10) &amp; "（" &amp; L56 &amp; "ビット）"</f>
        <v>チケット発券個別情報
（ビット）</v>
      </c>
      <c r="M42" s="12" t="str">
        <f xml:space="preserve"> "レスポンスパターン（再送区分用）" &amp; CHAR(10) &amp; "（" &amp; M56 &amp; "ビット）"</f>
        <v>レスポンスパターン（再送区分用）
（ビット）</v>
      </c>
      <c r="N42" s="12" t="str">
        <f xml:space="preserve"> "取消処理結果" &amp; CHAR(10) &amp; "（" &amp; N56 &amp; "ビット）"</f>
        <v>取消処理結果
（ビット）</v>
      </c>
      <c r="O42" s="12" t="str">
        <f xml:space="preserve"> "取消応答結果" &amp; CHAR(10) &amp; "（" &amp; O56 &amp; "ビット）"</f>
        <v>取消応答結果
（ビット）</v>
      </c>
      <c r="P42" s="12" t="str">
        <f xml:space="preserve"> "レスポンスパターン（取消再送区分用）" &amp; CHAR(10) &amp; "（" &amp; P56 &amp; "ビット）"</f>
        <v>レスポンスパターン（取消再送区分用）
（ビット）</v>
      </c>
      <c r="Q42" s="188"/>
    </row>
    <row r="43" spans="1:40" s="38" customFormat="1" ht="31.8" customHeight="1">
      <c r="A43" s="144" t="s">
        <v>493</v>
      </c>
      <c r="B43" s="145" t="str">
        <f t="shared" ref="B43:Q43" si="18">IF($B$39="",IF(LOOKUP(B51,$A$4:$A$19,B4:B19)=0,LOOKUP(0,$A$4:$A$19,B4:B19),LOOKUP(B51,$A$4:$A$19,B4:B19)),"")</f>
        <v/>
      </c>
      <c r="C43" s="145" t="str">
        <f t="shared" si="18"/>
        <v/>
      </c>
      <c r="D43" s="145" t="str">
        <f t="shared" si="18"/>
        <v/>
      </c>
      <c r="E43" s="145" t="str">
        <f t="shared" si="18"/>
        <v/>
      </c>
      <c r="F43" s="145" t="str">
        <f t="shared" si="18"/>
        <v/>
      </c>
      <c r="G43" s="145" t="str">
        <f t="shared" si="18"/>
        <v/>
      </c>
      <c r="H43" s="145" t="str">
        <f t="shared" si="18"/>
        <v/>
      </c>
      <c r="I43" s="145" t="str">
        <f t="shared" si="18"/>
        <v/>
      </c>
      <c r="J43" s="145" t="str">
        <f t="shared" si="18"/>
        <v/>
      </c>
      <c r="K43" s="145" t="str">
        <f>IF($B$39="",IF(LOOKUP(K51,$A$4:$A$19,K4:K19)=0,LOOKUP(1,$A$4:$A$19,K4:K19),LOOKUP(K51,$A$4:$A$19,K4:K19)),"")</f>
        <v/>
      </c>
      <c r="L43" s="145" t="str">
        <f t="shared" si="18"/>
        <v/>
      </c>
      <c r="M43" s="145" t="str">
        <f t="shared" si="18"/>
        <v/>
      </c>
      <c r="N43" s="145" t="str">
        <f t="shared" si="18"/>
        <v/>
      </c>
      <c r="O43" s="145" t="str">
        <f t="shared" si="18"/>
        <v/>
      </c>
      <c r="P43" s="145" t="str">
        <f t="shared" si="18"/>
        <v/>
      </c>
      <c r="Q43" s="145" t="str">
        <f t="shared" si="18"/>
        <v/>
      </c>
    </row>
    <row r="44" spans="1:40" s="38" customFormat="1"/>
    <row r="45" spans="1:40" customFormat="1" hidden="1">
      <c r="A45" s="147" t="s">
        <v>494</v>
      </c>
      <c r="B45" s="148">
        <f>_xlfn.NUMBERVALUE(MID(B38,2,11))</f>
        <v>0</v>
      </c>
      <c r="C45" s="143" t="s">
        <v>495</v>
      </c>
      <c r="D45" s="148">
        <f>SUM(27:27)</f>
        <v>33</v>
      </c>
    </row>
    <row r="46" spans="1:40" customFormat="1" hidden="1">
      <c r="A46" s="147"/>
      <c r="B46">
        <f>MOD(B45,2)</f>
        <v>0</v>
      </c>
      <c r="C46" t="str">
        <f>IF(MOD(B47,2)=1,1,IF(C47&gt;0,0,""))</f>
        <v/>
      </c>
      <c r="D46" t="str">
        <f t="shared" ref="D46:AJ46" si="19">IF(MOD(C47,2)=1,1,IF(D47&gt;0,0,""))</f>
        <v/>
      </c>
      <c r="E46" t="str">
        <f t="shared" si="19"/>
        <v/>
      </c>
      <c r="F46" t="str">
        <f t="shared" si="19"/>
        <v/>
      </c>
      <c r="G46" t="str">
        <f t="shared" si="19"/>
        <v/>
      </c>
      <c r="H46" t="str">
        <f t="shared" si="19"/>
        <v/>
      </c>
      <c r="I46" t="str">
        <f t="shared" si="19"/>
        <v/>
      </c>
      <c r="J46" t="str">
        <f t="shared" si="19"/>
        <v/>
      </c>
      <c r="K46" t="str">
        <f t="shared" si="19"/>
        <v/>
      </c>
      <c r="L46" t="str">
        <f t="shared" si="19"/>
        <v/>
      </c>
      <c r="M46" t="str">
        <f t="shared" si="19"/>
        <v/>
      </c>
      <c r="N46" t="str">
        <f t="shared" si="19"/>
        <v/>
      </c>
      <c r="O46" t="str">
        <f t="shared" si="19"/>
        <v/>
      </c>
      <c r="P46" t="str">
        <f t="shared" si="19"/>
        <v/>
      </c>
      <c r="Q46" t="str">
        <f t="shared" si="19"/>
        <v/>
      </c>
      <c r="R46" t="str">
        <f t="shared" si="19"/>
        <v/>
      </c>
      <c r="S46" t="str">
        <f t="shared" si="19"/>
        <v/>
      </c>
      <c r="T46" t="str">
        <f t="shared" si="19"/>
        <v/>
      </c>
      <c r="U46" t="str">
        <f t="shared" si="19"/>
        <v/>
      </c>
      <c r="V46" t="str">
        <f t="shared" si="19"/>
        <v/>
      </c>
      <c r="W46" t="str">
        <f t="shared" si="19"/>
        <v/>
      </c>
      <c r="X46" t="str">
        <f t="shared" si="19"/>
        <v/>
      </c>
      <c r="Y46" t="str">
        <f t="shared" si="19"/>
        <v/>
      </c>
      <c r="Z46" t="str">
        <f t="shared" si="19"/>
        <v/>
      </c>
      <c r="AA46" t="str">
        <f t="shared" si="19"/>
        <v/>
      </c>
      <c r="AB46" t="str">
        <f t="shared" si="19"/>
        <v/>
      </c>
      <c r="AC46" t="str">
        <f t="shared" si="19"/>
        <v/>
      </c>
      <c r="AD46" t="str">
        <f t="shared" si="19"/>
        <v/>
      </c>
      <c r="AE46" t="str">
        <f t="shared" si="19"/>
        <v/>
      </c>
      <c r="AF46" t="str">
        <f t="shared" si="19"/>
        <v/>
      </c>
      <c r="AG46" t="str">
        <f t="shared" si="19"/>
        <v/>
      </c>
      <c r="AH46" t="str">
        <f t="shared" si="19"/>
        <v/>
      </c>
      <c r="AI46" t="str">
        <f t="shared" si="19"/>
        <v/>
      </c>
      <c r="AJ46" t="str">
        <f t="shared" si="19"/>
        <v/>
      </c>
      <c r="AK46" t="str">
        <f t="shared" ref="AK46" si="20">IF(MOD(AJ47,2)=1,1,IF(AK47&gt;0,0,""))</f>
        <v/>
      </c>
      <c r="AL46" t="str">
        <f t="shared" ref="AL46" si="21">IF(MOD(AK47,2)=1,1,IF(AL47&gt;0,0,""))</f>
        <v/>
      </c>
      <c r="AM46" t="str">
        <f t="shared" ref="AM46" si="22">IF(MOD(AL47,2)=1,1,IF(AM47&gt;0,0,""))</f>
        <v/>
      </c>
      <c r="AN46" t="str">
        <f t="shared" ref="AN46" si="23">IF(MOD(AM47,2)=1,1,IF(AN47&gt;0,0,""))</f>
        <v/>
      </c>
    </row>
    <row r="47" spans="1:40" customFormat="1" hidden="1">
      <c r="A47" s="147" t="s">
        <v>494</v>
      </c>
      <c r="B47">
        <f>INT(B45/2)</f>
        <v>0</v>
      </c>
      <c r="C47">
        <f>INT(B47/2)</f>
        <v>0</v>
      </c>
      <c r="D47">
        <f t="shared" ref="D47:AJ47" si="24">INT(C47/2)</f>
        <v>0</v>
      </c>
      <c r="E47">
        <f t="shared" si="24"/>
        <v>0</v>
      </c>
      <c r="F47">
        <f t="shared" si="24"/>
        <v>0</v>
      </c>
      <c r="G47">
        <f t="shared" si="24"/>
        <v>0</v>
      </c>
      <c r="H47">
        <f t="shared" si="24"/>
        <v>0</v>
      </c>
      <c r="I47">
        <f t="shared" si="24"/>
        <v>0</v>
      </c>
      <c r="J47">
        <f t="shared" si="24"/>
        <v>0</v>
      </c>
      <c r="K47">
        <f t="shared" si="24"/>
        <v>0</v>
      </c>
      <c r="L47">
        <f t="shared" si="24"/>
        <v>0</v>
      </c>
      <c r="M47">
        <f t="shared" si="24"/>
        <v>0</v>
      </c>
      <c r="N47">
        <f t="shared" si="24"/>
        <v>0</v>
      </c>
      <c r="O47">
        <f t="shared" si="24"/>
        <v>0</v>
      </c>
      <c r="P47">
        <f t="shared" si="24"/>
        <v>0</v>
      </c>
      <c r="Q47">
        <f t="shared" si="24"/>
        <v>0</v>
      </c>
      <c r="R47">
        <f t="shared" si="24"/>
        <v>0</v>
      </c>
      <c r="S47">
        <f t="shared" si="24"/>
        <v>0</v>
      </c>
      <c r="T47">
        <f t="shared" si="24"/>
        <v>0</v>
      </c>
      <c r="U47">
        <f t="shared" si="24"/>
        <v>0</v>
      </c>
      <c r="V47">
        <f t="shared" si="24"/>
        <v>0</v>
      </c>
      <c r="W47">
        <f t="shared" si="24"/>
        <v>0</v>
      </c>
      <c r="X47">
        <f t="shared" si="24"/>
        <v>0</v>
      </c>
      <c r="Y47">
        <f t="shared" si="24"/>
        <v>0</v>
      </c>
      <c r="Z47">
        <f t="shared" si="24"/>
        <v>0</v>
      </c>
      <c r="AA47">
        <f t="shared" si="24"/>
        <v>0</v>
      </c>
      <c r="AB47">
        <f t="shared" si="24"/>
        <v>0</v>
      </c>
      <c r="AC47">
        <f t="shared" si="24"/>
        <v>0</v>
      </c>
      <c r="AD47">
        <f t="shared" si="24"/>
        <v>0</v>
      </c>
      <c r="AE47">
        <f t="shared" si="24"/>
        <v>0</v>
      </c>
      <c r="AF47">
        <f t="shared" si="24"/>
        <v>0</v>
      </c>
      <c r="AG47">
        <f t="shared" si="24"/>
        <v>0</v>
      </c>
      <c r="AH47">
        <f t="shared" si="24"/>
        <v>0</v>
      </c>
      <c r="AI47">
        <f t="shared" si="24"/>
        <v>0</v>
      </c>
      <c r="AJ47">
        <f t="shared" si="24"/>
        <v>0</v>
      </c>
      <c r="AK47">
        <f t="shared" ref="AK47" si="25">INT(AJ47/2)</f>
        <v>0</v>
      </c>
      <c r="AL47">
        <f t="shared" ref="AL47" si="26">INT(AK47/2)</f>
        <v>0</v>
      </c>
      <c r="AM47">
        <f t="shared" ref="AM47:AN47" si="27">INT(AL47/2)</f>
        <v>0</v>
      </c>
      <c r="AN47">
        <f t="shared" si="27"/>
        <v>0</v>
      </c>
    </row>
    <row r="48" spans="1:40" s="38" customFormat="1" hidden="1">
      <c r="A48" s="143" t="s">
        <v>496</v>
      </c>
      <c r="B48" s="38" t="str" cm="1">
        <f t="array" ref="B48">_xlfn.TEXTJOIN("", TRUE, MID(_xlfn.CONCAT(46:46), _xlfn.SEQUENCE(LEN(_xlfn.CONCAT(46:46)), 1, LEN(_xlfn.CONCAT(46:46)), -1), 1))</f>
        <v>0</v>
      </c>
      <c r="D48" s="38">
        <f>LEN(B48)</f>
        <v>1</v>
      </c>
      <c r="I48" s="9"/>
      <c r="J48" s="9"/>
      <c r="K48" s="9"/>
      <c r="O48" s="57"/>
    </row>
    <row r="49" spans="1:17" s="38" customFormat="1" hidden="1">
      <c r="A49" s="149" t="s">
        <v>497</v>
      </c>
      <c r="B49" s="150" t="str">
        <f>REPT("0",IF(D45-LEN(B48)&lt;0,0,D45-LEN(B48))) &amp; B48</f>
        <v>000000000000000000000000000000000</v>
      </c>
      <c r="D49" s="38">
        <f>LEN(B49)</f>
        <v>33</v>
      </c>
      <c r="I49" s="9"/>
      <c r="J49" s="9"/>
      <c r="K49" s="9"/>
      <c r="O49" s="57"/>
    </row>
    <row r="50" spans="1:17" s="38" customFormat="1" hidden="1">
      <c r="A50" s="149" t="s">
        <v>498</v>
      </c>
      <c r="B50" s="38" t="str">
        <f ca="1">MID(RIGHT($B$49,$D$45),$D$45+1-SUM(OFFSET(B27, 0, 0, 1, 20)),B27)</f>
        <v>000</v>
      </c>
      <c r="C50" s="38" t="str">
        <f t="shared" ref="C50:Q50" ca="1" si="28">MID(RIGHT($B$49,$D$45),$D$45+1-SUM(OFFSET(C27, 0, 0, 1, 20)),C27)</f>
        <v>0000</v>
      </c>
      <c r="D50" s="38" t="str">
        <f t="shared" ca="1" si="28"/>
        <v>00</v>
      </c>
      <c r="E50" s="38" t="str">
        <f t="shared" ca="1" si="28"/>
        <v>0</v>
      </c>
      <c r="F50" s="38" t="str">
        <f t="shared" ca="1" si="28"/>
        <v>00</v>
      </c>
      <c r="G50" s="38" t="str">
        <f t="shared" ca="1" si="28"/>
        <v>00</v>
      </c>
      <c r="H50" s="38" t="str">
        <f t="shared" ca="1" si="28"/>
        <v>0</v>
      </c>
      <c r="I50" s="38" t="str">
        <f t="shared" ca="1" si="28"/>
        <v>0</v>
      </c>
      <c r="J50" s="38" t="str">
        <f t="shared" ca="1" si="28"/>
        <v>000</v>
      </c>
      <c r="K50" s="38" t="str">
        <f t="shared" ca="1" si="28"/>
        <v>00</v>
      </c>
      <c r="L50" s="38" t="str">
        <f t="shared" ca="1" si="28"/>
        <v>000</v>
      </c>
      <c r="M50" s="38" t="str">
        <f t="shared" ca="1" si="28"/>
        <v>0</v>
      </c>
      <c r="N50" s="38" t="str">
        <f t="shared" ca="1" si="28"/>
        <v>000</v>
      </c>
      <c r="O50" s="38" t="str">
        <f t="shared" ca="1" si="28"/>
        <v>00</v>
      </c>
      <c r="P50" s="38" t="str">
        <f t="shared" ca="1" si="28"/>
        <v>0</v>
      </c>
      <c r="Q50" s="38" t="str">
        <f t="shared" ca="1" si="28"/>
        <v>00</v>
      </c>
    </row>
    <row r="51" spans="1:17" s="38" customFormat="1" hidden="1">
      <c r="A51" s="151" t="s">
        <v>499</v>
      </c>
      <c r="B51" s="38">
        <f ca="1">INT(DEC2BIN(BIN2DEC(B50)))</f>
        <v>0</v>
      </c>
      <c r="C51" s="38">
        <f t="shared" ref="C51:O51" ca="1" si="29">INT(DEC2BIN(BIN2DEC(C50)))</f>
        <v>0</v>
      </c>
      <c r="D51" s="38">
        <f t="shared" ca="1" si="29"/>
        <v>0</v>
      </c>
      <c r="E51" s="38">
        <f t="shared" ca="1" si="29"/>
        <v>0</v>
      </c>
      <c r="F51" s="38">
        <f t="shared" ca="1" si="29"/>
        <v>0</v>
      </c>
      <c r="G51" s="38">
        <f t="shared" ca="1" si="29"/>
        <v>0</v>
      </c>
      <c r="H51" s="38">
        <f t="shared" ca="1" si="29"/>
        <v>0</v>
      </c>
      <c r="I51" s="38">
        <f t="shared" ca="1" si="29"/>
        <v>0</v>
      </c>
      <c r="J51" s="38">
        <f t="shared" ca="1" si="29"/>
        <v>0</v>
      </c>
      <c r="K51" s="38">
        <f t="shared" ca="1" si="29"/>
        <v>0</v>
      </c>
      <c r="L51" s="38">
        <f t="shared" ca="1" si="29"/>
        <v>0</v>
      </c>
      <c r="M51" s="38">
        <f t="shared" ca="1" si="29"/>
        <v>0</v>
      </c>
      <c r="N51" s="38">
        <f t="shared" ca="1" si="29"/>
        <v>0</v>
      </c>
      <c r="O51" s="38">
        <f t="shared" ca="1" si="29"/>
        <v>0</v>
      </c>
      <c r="P51" s="38">
        <f t="shared" ref="P51" ca="1" si="30">INT(DEC2BIN(BIN2DEC(P50)))</f>
        <v>0</v>
      </c>
      <c r="Q51" s="38">
        <f t="shared" ref="Q51" ca="1" si="31">INT(DEC2BIN(BIN2DEC(Q50)))</f>
        <v>0</v>
      </c>
    </row>
  </sheetData>
  <mergeCells count="10">
    <mergeCell ref="A1:A3"/>
    <mergeCell ref="B1:P1"/>
    <mergeCell ref="N2:P2"/>
    <mergeCell ref="B2:M2"/>
    <mergeCell ref="Q1:Q3"/>
    <mergeCell ref="Q40:Q42"/>
    <mergeCell ref="B41:M41"/>
    <mergeCell ref="N41:P41"/>
    <mergeCell ref="A40:A42"/>
    <mergeCell ref="B40:P40"/>
  </mergeCells>
  <phoneticPr fontId="28"/>
  <conditionalFormatting sqref="B33">
    <cfRule type="cellIs" dxfId="27" priority="28" operator="equal">
      <formula>"OK"</formula>
    </cfRule>
  </conditionalFormatting>
  <conditionalFormatting sqref="B38">
    <cfRule type="cellIs" dxfId="26" priority="3" operator="equal">
      <formula>"OK"</formula>
    </cfRule>
  </conditionalFormatting>
  <conditionalFormatting sqref="B28:P28">
    <cfRule type="cellIs" dxfId="25" priority="7" operator="equal">
      <formula>"OK"</formula>
    </cfRule>
    <cfRule type="containsText" dxfId="24" priority="8" operator="containsText" text="&lt;&gt;&quot;OK&quot;">
      <formula>NOT(ISERROR(SEARCH("&lt;&gt;""OK""",B28)))</formula>
    </cfRule>
  </conditionalFormatting>
  <conditionalFormatting sqref="B24:Q24">
    <cfRule type="cellIs" dxfId="23" priority="9" operator="equal">
      <formula>"OK"</formula>
    </cfRule>
    <cfRule type="containsText" dxfId="22" priority="10" operator="containsText" text="&lt;&gt;&quot;OK&quot;">
      <formula>NOT(ISERROR(SEARCH("&lt;&gt;""OK""",B24)))</formula>
    </cfRule>
  </conditionalFormatting>
  <conditionalFormatting sqref="B43:Q43">
    <cfRule type="expression" dxfId="21" priority="34">
      <formula>BIN2DEC(B$50)&gt;COUNTA(B$3:B$25)-1</formula>
    </cfRule>
  </conditionalFormatting>
  <dataValidations disablePrompts="1" count="15">
    <dataValidation type="list" allowBlank="1" showInputMessage="1" showErrorMessage="1" sqref="K22" xr:uid="{18F8DE0C-5198-45C2-919C-2D8541A692F3}">
      <formula1>$K$4:$K$7</formula1>
    </dataValidation>
    <dataValidation type="list" allowBlank="1" showInputMessage="1" showErrorMessage="1" sqref="B22" xr:uid="{E99DC170-2539-417E-A316-A7F2089F42C1}">
      <formula1>$B$4:$B$11</formula1>
    </dataValidation>
    <dataValidation type="list" allowBlank="1" showInputMessage="1" showErrorMessage="1" sqref="C22" xr:uid="{40119110-7222-4C54-8052-1034EEE22CD1}">
      <formula1>$C$4:$C$14</formula1>
    </dataValidation>
    <dataValidation type="list" allowBlank="1" showInputMessage="1" showErrorMessage="1" sqref="D22" xr:uid="{E31ED193-0C00-44BF-9220-6C26F22754D3}">
      <formula1>$D$4:$D$6</formula1>
    </dataValidation>
    <dataValidation type="list" allowBlank="1" showInputMessage="1" showErrorMessage="1" sqref="E22" xr:uid="{86DA94AC-F4E3-4FA1-AAFD-1350605FF98E}">
      <formula1>$E$4:$E$5</formula1>
    </dataValidation>
    <dataValidation type="list" allowBlank="1" showInputMessage="1" showErrorMessage="1" sqref="F22" xr:uid="{996FA53E-969F-47D7-BFD0-5CAF2648D643}">
      <formula1>$F$4:$F$7</formula1>
    </dataValidation>
    <dataValidation type="list" allowBlank="1" showInputMessage="1" showErrorMessage="1" sqref="G22" xr:uid="{C16829F0-EDC0-430F-B6DB-68C1C4888D03}">
      <formula1>$G$4:$G$7</formula1>
    </dataValidation>
    <dataValidation type="list" allowBlank="1" showInputMessage="1" showErrorMessage="1" sqref="H22" xr:uid="{88C2D931-62D6-4542-AA04-D450B3BF4806}">
      <formula1>$H$4:$H$5</formula1>
    </dataValidation>
    <dataValidation type="list" allowBlank="1" showInputMessage="1" showErrorMessage="1" sqref="I22" xr:uid="{F94556CE-0C56-411E-A266-BB50A8686818}">
      <formula1>$I$4:$I$5</formula1>
    </dataValidation>
    <dataValidation type="list" allowBlank="1" showInputMessage="1" showErrorMessage="1" sqref="J22" xr:uid="{DB5B3F26-B28A-4E2F-9E25-E09D3B79A214}">
      <formula1>$J$4:$J$8</formula1>
    </dataValidation>
    <dataValidation type="list" allowBlank="1" showInputMessage="1" showErrorMessage="1" sqref="P22" xr:uid="{D55A9A4D-80CB-4065-96C7-EC920F20586F}">
      <formula1>$P$4:$P$5</formula1>
    </dataValidation>
    <dataValidation type="list" allowBlank="1" showInputMessage="1" showErrorMessage="1" sqref="L22" xr:uid="{9651B429-8E7B-4704-9D47-749D77B66F0B}">
      <formula1>$L$4:$L$10</formula1>
    </dataValidation>
    <dataValidation type="list" allowBlank="1" showInputMessage="1" showErrorMessage="1" sqref="M22" xr:uid="{1EAAD3FE-AC89-4530-BA47-223DC1FFC7EF}">
      <formula1>$M$4:$M$5</formula1>
    </dataValidation>
    <dataValidation type="list" allowBlank="1" showInputMessage="1" showErrorMessage="1" sqref="N22" xr:uid="{F7B26E3A-A366-4EC2-97D8-A0036F044F24}">
      <formula1>$N$4:$N$13</formula1>
    </dataValidation>
    <dataValidation type="list" allowBlank="1" showInputMessage="1" showErrorMessage="1" sqref="O22" xr:uid="{0735FE8B-1A88-45AD-BD3F-D4A4CD11114F}">
      <formula1>$O$4:$O$7</formula1>
    </dataValidation>
  </dataValidations>
  <pageMargins left="0.70866141732283472" right="0.70866141732283472" top="0.74803149606299213" bottom="0.74803149606299213" header="0.31496062992125984" footer="0.31496062992125984"/>
  <pageSetup paperSize="8" scale="42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5049-9E88-41F5-BB82-2E0E2866156C}">
  <sheetPr>
    <pageSetUpPr fitToPage="1"/>
  </sheetPr>
  <dimension ref="A1:F39"/>
  <sheetViews>
    <sheetView view="pageBreakPreview" zoomScale="70" zoomScaleNormal="85" zoomScaleSheetLayoutView="70" workbookViewId="0">
      <selection activeCell="G24" sqref="G24"/>
    </sheetView>
  </sheetViews>
  <sheetFormatPr defaultColWidth="8.69921875" defaultRowHeight="18"/>
  <cols>
    <col min="1" max="1" width="11" style="3" bestFit="1" customWidth="1"/>
    <col min="2" max="2" width="8.69921875" style="3"/>
    <col min="3" max="3" width="27.59765625" style="3" bestFit="1" customWidth="1"/>
    <col min="4" max="4" width="27.59765625" style="3" customWidth="1"/>
    <col min="5" max="5" width="58.19921875" style="3" customWidth="1"/>
    <col min="6" max="6" width="38.296875" style="3" customWidth="1"/>
    <col min="7" max="16384" width="8.69921875" style="3"/>
  </cols>
  <sheetData>
    <row r="1" spans="1:6">
      <c r="A1" s="181" t="s">
        <v>476</v>
      </c>
      <c r="B1" s="181"/>
      <c r="C1" s="181"/>
      <c r="D1" s="120" t="s">
        <v>231</v>
      </c>
      <c r="E1" s="121" t="s">
        <v>85</v>
      </c>
      <c r="F1" s="121" t="s">
        <v>454</v>
      </c>
    </row>
    <row r="2" spans="1:6">
      <c r="A2" s="182" t="s">
        <v>2</v>
      </c>
      <c r="B2" s="4"/>
      <c r="C2" s="4"/>
      <c r="D2" s="4"/>
      <c r="E2" s="4"/>
      <c r="F2" s="4"/>
    </row>
    <row r="3" spans="1:6">
      <c r="A3" s="183"/>
      <c r="B3" s="182" t="s">
        <v>3</v>
      </c>
      <c r="C3" s="4"/>
      <c r="D3" s="4"/>
      <c r="E3" s="4"/>
      <c r="F3" s="4"/>
    </row>
    <row r="4" spans="1:6">
      <c r="A4" s="183"/>
      <c r="B4" s="183"/>
      <c r="C4" s="4" t="s">
        <v>4</v>
      </c>
      <c r="D4" s="4" t="s">
        <v>233</v>
      </c>
      <c r="E4" s="15" t="s">
        <v>61</v>
      </c>
      <c r="F4" s="5" t="s">
        <v>469</v>
      </c>
    </row>
    <row r="5" spans="1:6">
      <c r="A5" s="183"/>
      <c r="B5" s="183"/>
      <c r="C5" s="6" t="s">
        <v>5</v>
      </c>
      <c r="D5" s="4" t="s">
        <v>193</v>
      </c>
      <c r="E5" s="7" t="s">
        <v>107</v>
      </c>
      <c r="F5" s="7"/>
    </row>
    <row r="6" spans="1:6">
      <c r="A6" s="183"/>
      <c r="B6" s="183"/>
      <c r="C6" s="4" t="s">
        <v>6</v>
      </c>
      <c r="D6" s="4" t="s">
        <v>234</v>
      </c>
      <c r="E6" s="15" t="s">
        <v>59</v>
      </c>
      <c r="F6" s="5" t="s">
        <v>469</v>
      </c>
    </row>
    <row r="7" spans="1:6">
      <c r="A7" s="183"/>
      <c r="B7" s="183"/>
      <c r="C7" s="4" t="s">
        <v>7</v>
      </c>
      <c r="D7" s="4" t="s">
        <v>235</v>
      </c>
      <c r="E7" s="5" t="s">
        <v>60</v>
      </c>
      <c r="F7" s="5" t="s">
        <v>469</v>
      </c>
    </row>
    <row r="8" spans="1:6">
      <c r="A8" s="183"/>
      <c r="B8" s="183"/>
      <c r="C8" s="8" t="s">
        <v>69</v>
      </c>
      <c r="D8" s="4" t="s">
        <v>196</v>
      </c>
      <c r="E8" s="1" t="str">
        <f>"リクエスト「" &amp; C8  &amp; "」の値を設定"</f>
        <v>リクエスト「店　番」の値を設定</v>
      </c>
      <c r="F8" s="5" t="s">
        <v>469</v>
      </c>
    </row>
    <row r="9" spans="1:6">
      <c r="A9" s="183"/>
      <c r="B9" s="183"/>
      <c r="C9" s="8" t="s">
        <v>8</v>
      </c>
      <c r="D9" s="4" t="s">
        <v>191</v>
      </c>
      <c r="E9" s="1" t="s">
        <v>62</v>
      </c>
      <c r="F9" s="5" t="s">
        <v>469</v>
      </c>
    </row>
    <row r="10" spans="1:6">
      <c r="A10" s="183"/>
      <c r="B10" s="183"/>
      <c r="C10" s="8" t="s">
        <v>9</v>
      </c>
      <c r="D10" s="4" t="s">
        <v>198</v>
      </c>
      <c r="E10" s="1" t="str">
        <f t="shared" ref="E10" si="0">"リクエスト「" &amp; C10  &amp; "」の値を設定"</f>
        <v>リクエスト「レジ　No.」の値を設定</v>
      </c>
      <c r="F10" s="5" t="s">
        <v>469</v>
      </c>
    </row>
    <row r="11" spans="1:6">
      <c r="A11" s="183"/>
      <c r="B11" s="183"/>
      <c r="C11" s="4" t="s">
        <v>10</v>
      </c>
      <c r="D11" s="4" t="s">
        <v>199</v>
      </c>
      <c r="E11" s="122" t="s">
        <v>87</v>
      </c>
      <c r="F11" s="5" t="s">
        <v>469</v>
      </c>
    </row>
    <row r="12" spans="1:6">
      <c r="A12" s="183"/>
      <c r="B12" s="183"/>
      <c r="C12" s="8" t="s">
        <v>13</v>
      </c>
      <c r="D12" s="4" t="s">
        <v>236</v>
      </c>
      <c r="E12" s="122" t="str">
        <f t="shared" ref="E12:E15" si="1">"リクエスト「" &amp; C12  &amp; "」の値を設定"</f>
        <v>リクエスト「利用年月日時分秒」の値を設定</v>
      </c>
      <c r="F12" s="5" t="s">
        <v>469</v>
      </c>
    </row>
    <row r="13" spans="1:6">
      <c r="A13" s="183"/>
      <c r="B13" s="183"/>
      <c r="C13" s="8" t="s">
        <v>14</v>
      </c>
      <c r="D13" s="4" t="s">
        <v>237</v>
      </c>
      <c r="E13" s="122" t="str">
        <f t="shared" si="1"/>
        <v>リクエスト「処理通番」の値を設定</v>
      </c>
      <c r="F13" s="5" t="s">
        <v>469</v>
      </c>
    </row>
    <row r="14" spans="1:6">
      <c r="A14" s="183"/>
      <c r="B14" s="183"/>
      <c r="C14" s="8" t="s">
        <v>15</v>
      </c>
      <c r="D14" s="4" t="s">
        <v>238</v>
      </c>
      <c r="E14" s="122" t="str">
        <f t="shared" si="1"/>
        <v>リクエスト「再送区分」の値を設定</v>
      </c>
      <c r="F14" s="5" t="s">
        <v>469</v>
      </c>
    </row>
    <row r="15" spans="1:6">
      <c r="A15" s="183"/>
      <c r="B15" s="183"/>
      <c r="C15" s="8" t="s">
        <v>16</v>
      </c>
      <c r="D15" s="4" t="s">
        <v>239</v>
      </c>
      <c r="E15" s="122" t="str">
        <f t="shared" si="1"/>
        <v>リクエスト「要求区分」の値を設定</v>
      </c>
      <c r="F15" s="5" t="s">
        <v>469</v>
      </c>
    </row>
    <row r="16" spans="1:6">
      <c r="A16" s="183"/>
      <c r="B16" s="184"/>
      <c r="C16" s="8" t="s">
        <v>17</v>
      </c>
      <c r="D16" s="4" t="s">
        <v>206</v>
      </c>
      <c r="E16" s="122" t="str">
        <f>"リクエスト「" &amp; C16  &amp; "」の値を設定"</f>
        <v>リクエスト「問合せ・完了区分」の値を設定</v>
      </c>
      <c r="F16" s="5" t="s">
        <v>469</v>
      </c>
    </row>
    <row r="17" spans="1:6">
      <c r="A17" s="183"/>
      <c r="B17" s="182" t="s">
        <v>18</v>
      </c>
      <c r="C17" s="8"/>
      <c r="D17" s="4" t="s">
        <v>240</v>
      </c>
      <c r="E17" s="122"/>
      <c r="F17" s="5" t="s">
        <v>469</v>
      </c>
    </row>
    <row r="18" spans="1:6">
      <c r="A18" s="183"/>
      <c r="B18" s="183"/>
      <c r="C18" s="8" t="s">
        <v>330</v>
      </c>
      <c r="D18" s="4" t="s">
        <v>241</v>
      </c>
      <c r="E18" s="122" t="s">
        <v>91</v>
      </c>
      <c r="F18" s="5" t="s">
        <v>460</v>
      </c>
    </row>
    <row r="19" spans="1:6">
      <c r="A19" s="183"/>
      <c r="B19" s="183"/>
      <c r="C19" s="8" t="s">
        <v>90</v>
      </c>
      <c r="D19" s="4" t="s">
        <v>210</v>
      </c>
      <c r="E19" s="122" t="str">
        <f t="shared" ref="E19" si="2">"リクエスト「" &amp; C19  &amp; "」の値を設定"</f>
        <v>リクエスト「バーコードNo.」の値を設定</v>
      </c>
      <c r="F19" s="5"/>
    </row>
    <row r="20" spans="1:6">
      <c r="A20" s="183"/>
      <c r="B20" s="183"/>
      <c r="C20" s="6" t="s">
        <v>1</v>
      </c>
      <c r="D20" s="4" t="s">
        <v>211</v>
      </c>
      <c r="E20" s="7" t="s">
        <v>107</v>
      </c>
      <c r="F20" s="5"/>
    </row>
    <row r="21" spans="1:6">
      <c r="A21" s="183"/>
      <c r="B21" s="183"/>
      <c r="C21" s="4" t="s">
        <v>23</v>
      </c>
      <c r="D21" s="4" t="s">
        <v>213</v>
      </c>
      <c r="E21" s="5" t="s">
        <v>70</v>
      </c>
      <c r="F21" s="5" t="s">
        <v>460</v>
      </c>
    </row>
    <row r="22" spans="1:6">
      <c r="A22" s="183"/>
      <c r="B22" s="183"/>
      <c r="C22" s="4" t="s">
        <v>24</v>
      </c>
      <c r="D22" s="4" t="s">
        <v>214</v>
      </c>
      <c r="E22" s="122" t="s">
        <v>88</v>
      </c>
      <c r="F22" s="5" t="s">
        <v>460</v>
      </c>
    </row>
    <row r="23" spans="1:6">
      <c r="A23" s="183"/>
      <c r="B23" s="183"/>
      <c r="C23" s="4" t="s">
        <v>25</v>
      </c>
      <c r="D23" s="4" t="s">
        <v>215</v>
      </c>
      <c r="E23" s="122" t="s">
        <v>89</v>
      </c>
      <c r="F23" s="5" t="s">
        <v>460</v>
      </c>
    </row>
    <row r="24" spans="1:6">
      <c r="A24" s="183"/>
      <c r="B24" s="183"/>
      <c r="C24" s="4" t="s">
        <v>26</v>
      </c>
      <c r="D24" s="4" t="s">
        <v>216</v>
      </c>
      <c r="E24" s="5" t="s">
        <v>80</v>
      </c>
      <c r="F24" s="5" t="s">
        <v>460</v>
      </c>
    </row>
    <row r="25" spans="1:6">
      <c r="A25" s="183"/>
      <c r="B25" s="183"/>
      <c r="C25" s="4" t="s">
        <v>86</v>
      </c>
      <c r="D25" s="4" t="s">
        <v>221</v>
      </c>
      <c r="E25" s="5" t="s">
        <v>92</v>
      </c>
      <c r="F25" s="5" t="s">
        <v>460</v>
      </c>
    </row>
    <row r="26" spans="1:6">
      <c r="A26" s="183"/>
      <c r="B26" s="183"/>
      <c r="C26" s="4" t="s">
        <v>116</v>
      </c>
      <c r="D26" s="4" t="s">
        <v>222</v>
      </c>
      <c r="E26" s="5" t="s">
        <v>331</v>
      </c>
      <c r="F26" s="5" t="s">
        <v>460</v>
      </c>
    </row>
    <row r="27" spans="1:6">
      <c r="A27" s="183"/>
      <c r="B27" s="183"/>
      <c r="C27" s="6" t="s">
        <v>117</v>
      </c>
      <c r="D27" s="4" t="s">
        <v>242</v>
      </c>
      <c r="E27" s="7" t="s">
        <v>107</v>
      </c>
      <c r="F27" s="5" t="s">
        <v>475</v>
      </c>
    </row>
    <row r="28" spans="1:6">
      <c r="A28" s="183"/>
      <c r="B28" s="183"/>
      <c r="C28" s="4" t="s">
        <v>33</v>
      </c>
      <c r="D28" s="4" t="s">
        <v>243</v>
      </c>
      <c r="E28" s="5" t="s">
        <v>75</v>
      </c>
      <c r="F28" s="5" t="s">
        <v>460</v>
      </c>
    </row>
    <row r="29" spans="1:6">
      <c r="A29" s="183"/>
      <c r="B29" s="183"/>
      <c r="C29" s="4" t="s">
        <v>34</v>
      </c>
      <c r="D29" s="4" t="s">
        <v>226</v>
      </c>
      <c r="E29" s="5" t="s">
        <v>76</v>
      </c>
      <c r="F29" s="5" t="s">
        <v>460</v>
      </c>
    </row>
    <row r="30" spans="1:6">
      <c r="A30" s="183"/>
      <c r="B30" s="183"/>
      <c r="C30" s="4" t="s">
        <v>93</v>
      </c>
      <c r="D30" s="4" t="s">
        <v>227</v>
      </c>
      <c r="E30" s="5" t="s">
        <v>77</v>
      </c>
      <c r="F30" s="5" t="s">
        <v>460</v>
      </c>
    </row>
    <row r="31" spans="1:6">
      <c r="A31" s="183"/>
      <c r="B31" s="183"/>
      <c r="C31" s="6" t="s">
        <v>94</v>
      </c>
      <c r="D31" s="4" t="s">
        <v>244</v>
      </c>
      <c r="E31" s="7" t="s">
        <v>107</v>
      </c>
      <c r="F31" s="5" t="s">
        <v>460</v>
      </c>
    </row>
    <row r="32" spans="1:6">
      <c r="A32" s="183"/>
      <c r="B32" s="183"/>
      <c r="C32" s="6" t="s">
        <v>95</v>
      </c>
      <c r="D32" s="4" t="s">
        <v>245</v>
      </c>
      <c r="E32" s="7" t="s">
        <v>107</v>
      </c>
      <c r="F32" s="5" t="s">
        <v>460</v>
      </c>
    </row>
    <row r="33" spans="1:6">
      <c r="A33" s="183"/>
      <c r="B33" s="183"/>
      <c r="C33" s="6" t="s">
        <v>96</v>
      </c>
      <c r="D33" s="4" t="s">
        <v>246</v>
      </c>
      <c r="E33" s="7" t="s">
        <v>107</v>
      </c>
      <c r="F33" s="5" t="s">
        <v>460</v>
      </c>
    </row>
    <row r="34" spans="1:6">
      <c r="A34" s="183"/>
      <c r="B34" s="183"/>
      <c r="C34" s="6" t="s">
        <v>97</v>
      </c>
      <c r="D34" s="4" t="s">
        <v>247</v>
      </c>
      <c r="E34" s="7" t="s">
        <v>107</v>
      </c>
      <c r="F34" s="5" t="s">
        <v>460</v>
      </c>
    </row>
    <row r="35" spans="1:6" ht="31.2">
      <c r="A35" s="183"/>
      <c r="B35" s="183"/>
      <c r="C35" s="4" t="s">
        <v>98</v>
      </c>
      <c r="D35" s="4" t="s">
        <v>248</v>
      </c>
      <c r="E35" s="19" t="s">
        <v>103</v>
      </c>
      <c r="F35" s="5" t="s">
        <v>460</v>
      </c>
    </row>
    <row r="36" spans="1:6">
      <c r="A36" s="183"/>
      <c r="B36" s="183"/>
      <c r="C36" s="4" t="s">
        <v>99</v>
      </c>
      <c r="D36" s="4" t="s">
        <v>249</v>
      </c>
      <c r="E36" s="15" t="s">
        <v>105</v>
      </c>
      <c r="F36" s="5" t="s">
        <v>460</v>
      </c>
    </row>
    <row r="37" spans="1:6">
      <c r="A37" s="183"/>
      <c r="B37" s="183"/>
      <c r="C37" s="6" t="s">
        <v>100</v>
      </c>
      <c r="D37" s="4" t="s">
        <v>250</v>
      </c>
      <c r="E37" s="7" t="s">
        <v>107</v>
      </c>
      <c r="F37" s="5" t="s">
        <v>460</v>
      </c>
    </row>
    <row r="38" spans="1:6">
      <c r="A38" s="183"/>
      <c r="B38" s="183"/>
      <c r="C38" s="4" t="s">
        <v>101</v>
      </c>
      <c r="D38" s="4" t="s">
        <v>448</v>
      </c>
      <c r="E38" s="5" t="s">
        <v>104</v>
      </c>
      <c r="F38" s="5" t="s">
        <v>460</v>
      </c>
    </row>
    <row r="39" spans="1:6">
      <c r="A39" s="184"/>
      <c r="B39" s="184"/>
      <c r="C39" s="6" t="s">
        <v>102</v>
      </c>
      <c r="D39" s="4" t="s">
        <v>251</v>
      </c>
      <c r="E39" s="7" t="s">
        <v>107</v>
      </c>
      <c r="F39" s="5" t="s">
        <v>475</v>
      </c>
    </row>
  </sheetData>
  <mergeCells count="4">
    <mergeCell ref="A1:C1"/>
    <mergeCell ref="A2:A39"/>
    <mergeCell ref="B3:B16"/>
    <mergeCell ref="B17:B39"/>
  </mergeCells>
  <phoneticPr fontId="27"/>
  <pageMargins left="0.70866141732283472" right="0.70866141732283472" top="0.74803149606299213" bottom="0.74803149606299213" header="0.31496062992125984" footer="0.31496062992125984"/>
  <pageSetup paperSize="8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144D-825A-445C-B4CA-DD41B40C23B0}">
  <sheetPr>
    <pageSetUpPr fitToPage="1"/>
  </sheetPr>
  <dimension ref="A1:AJ53"/>
  <sheetViews>
    <sheetView view="pageBreakPreview" zoomScale="70" zoomScaleNormal="70" zoomScaleSheetLayoutView="70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A53" sqref="A47:XFD53"/>
    </sheetView>
  </sheetViews>
  <sheetFormatPr defaultColWidth="8.69921875" defaultRowHeight="18"/>
  <cols>
    <col min="1" max="1" width="26.3984375" style="9" customWidth="1"/>
    <col min="2" max="2" width="34.19921875" style="9" customWidth="1"/>
    <col min="3" max="3" width="42.5" style="9" customWidth="1"/>
    <col min="4" max="4" width="30.19921875" style="9" bestFit="1" customWidth="1"/>
    <col min="5" max="5" width="24.5" style="9" bestFit="1" customWidth="1"/>
    <col min="6" max="6" width="19.5" style="9" bestFit="1" customWidth="1"/>
    <col min="7" max="7" width="13.19921875" style="9" bestFit="1" customWidth="1"/>
    <col min="8" max="8" width="30.19921875" style="9" bestFit="1" customWidth="1"/>
    <col min="9" max="9" width="30.19921875" style="9" customWidth="1"/>
    <col min="10" max="10" width="29.19921875" style="9" customWidth="1"/>
    <col min="11" max="11" width="20.09765625" style="9" customWidth="1"/>
    <col min="12" max="12" width="15.09765625" style="57" customWidth="1"/>
    <col min="13" max="36" width="0" style="9" hidden="1" customWidth="1"/>
    <col min="37" max="16384" width="8.69921875" style="9"/>
  </cols>
  <sheetData>
    <row r="1" spans="1:12" ht="33" customHeight="1">
      <c r="A1" s="193" t="s">
        <v>53</v>
      </c>
      <c r="B1" s="189" t="str">
        <f xml:space="preserve"> "レスポンスパターン" &amp; "（" &amp; SUM(B20:K20) &amp; "ビット）"</f>
        <v>レスポンスパターン（22ビット）</v>
      </c>
      <c r="C1" s="190"/>
      <c r="D1" s="190"/>
      <c r="E1" s="190"/>
      <c r="F1" s="190"/>
      <c r="G1" s="190"/>
      <c r="H1" s="190"/>
      <c r="I1" s="190"/>
      <c r="J1" s="190"/>
      <c r="K1" s="191"/>
      <c r="L1" s="188" t="s">
        <v>347</v>
      </c>
    </row>
    <row r="2" spans="1:12" ht="33" customHeight="1">
      <c r="A2" s="193"/>
      <c r="B2" s="189" t="s">
        <v>308</v>
      </c>
      <c r="C2" s="190"/>
      <c r="D2" s="190"/>
      <c r="E2" s="190"/>
      <c r="F2" s="190"/>
      <c r="G2" s="190"/>
      <c r="H2" s="190"/>
      <c r="I2" s="189" t="s">
        <v>307</v>
      </c>
      <c r="J2" s="190"/>
      <c r="K2" s="191"/>
      <c r="L2" s="188"/>
    </row>
    <row r="3" spans="1:12" ht="54">
      <c r="A3" s="193"/>
      <c r="B3" s="12" t="str">
        <f xml:space="preserve"> "処理結果" &amp; CHAR(10) &amp; "（" &amp; B20 &amp; "ビット）"</f>
        <v>処理結果
（3ビット）</v>
      </c>
      <c r="C3" s="12" t="str">
        <f xml:space="preserve"> "応答結果" &amp; CHAR(10) &amp; "（" &amp; C20 &amp; "ビット）"</f>
        <v>応答結果
（4ビット）</v>
      </c>
      <c r="D3" s="12" t="str">
        <f xml:space="preserve"> "払戻金額" &amp; CHAR(10) &amp; "（" &amp; D20 &amp; "ビット）"</f>
        <v>払戻金額
（2ビット）</v>
      </c>
      <c r="E3" s="12" t="str">
        <f xml:space="preserve"> "開始日・終了日" &amp; CHAR(10) &amp; "（" &amp; E20 &amp; "ビット）"</f>
        <v>開始日・終了日
（2ビット）</v>
      </c>
      <c r="F3" s="12" t="str">
        <f xml:space="preserve"> "開始時刻・終了時刻" &amp; CHAR(10) &amp; "（" &amp; F20 &amp; "ビット）"</f>
        <v>開始時刻・終了時刻
（2ビット）</v>
      </c>
      <c r="G3" s="12" t="str">
        <f xml:space="preserve"> "半券確認要否" &amp; CHAR(10) &amp; "（" &amp; G20 &amp; "ビット）"</f>
        <v>半券確認要否
（1ビット）</v>
      </c>
      <c r="H3" s="12" t="str">
        <f xml:space="preserve"> "チケット手数料払戻金額" &amp; CHAR(10) &amp; "（" &amp; H20 &amp; "ビット）"</f>
        <v>チケット手数料払戻金額
（2ビット）</v>
      </c>
      <c r="I3" s="12" t="str">
        <f xml:space="preserve"> "取消処理結果" &amp; CHAR(10) &amp; "（" &amp; I20 &amp; "ビット）"</f>
        <v>取消処理結果
（3ビット）</v>
      </c>
      <c r="J3" s="12" t="str">
        <f xml:space="preserve"> "取消応答結果" &amp; CHAR(10) &amp; "（" &amp; J20 &amp; "ビット）"</f>
        <v>取消応答結果
（2ビット）</v>
      </c>
      <c r="K3" s="12" t="str">
        <f xml:space="preserve"> "レスポンスパターン（取消再送区分用）" &amp; CHAR(10) &amp; "（" &amp; K20 &amp; "ビット）"</f>
        <v>レスポンスパターン（取消再送区分用）
（1ビット）</v>
      </c>
      <c r="L3" s="188"/>
    </row>
    <row r="4" spans="1:12">
      <c r="A4" s="21">
        <v>0</v>
      </c>
      <c r="B4" s="15" t="s">
        <v>168</v>
      </c>
      <c r="C4" s="5" t="s">
        <v>332</v>
      </c>
      <c r="D4" s="112" t="s">
        <v>453</v>
      </c>
      <c r="E4" s="13" t="s">
        <v>121</v>
      </c>
      <c r="F4" s="13" t="s">
        <v>125</v>
      </c>
      <c r="G4" s="16" t="s">
        <v>119</v>
      </c>
      <c r="H4" s="112" t="s">
        <v>453</v>
      </c>
      <c r="I4" s="15" t="s">
        <v>168</v>
      </c>
      <c r="J4" s="49" t="s">
        <v>297</v>
      </c>
      <c r="K4" s="49" t="s">
        <v>294</v>
      </c>
      <c r="L4" s="76">
        <v>0</v>
      </c>
    </row>
    <row r="5" spans="1:12">
      <c r="A5" s="21">
        <v>1</v>
      </c>
      <c r="B5" s="15" t="s">
        <v>176</v>
      </c>
      <c r="C5" s="5" t="s">
        <v>333</v>
      </c>
      <c r="D5" s="11" t="s">
        <v>41</v>
      </c>
      <c r="E5" s="13" t="s">
        <v>122</v>
      </c>
      <c r="F5" s="13" t="s">
        <v>127</v>
      </c>
      <c r="G5" s="16" t="s">
        <v>120</v>
      </c>
      <c r="H5" s="11" t="s">
        <v>41</v>
      </c>
      <c r="I5" s="15" t="s">
        <v>176</v>
      </c>
      <c r="J5" s="49" t="s">
        <v>298</v>
      </c>
      <c r="K5" s="49" t="s">
        <v>295</v>
      </c>
      <c r="L5" s="77">
        <v>1</v>
      </c>
    </row>
    <row r="6" spans="1:12">
      <c r="A6" s="21">
        <v>10</v>
      </c>
      <c r="B6" s="15" t="s">
        <v>358</v>
      </c>
      <c r="C6" s="15" t="s">
        <v>108</v>
      </c>
      <c r="D6" s="16" t="s">
        <v>63</v>
      </c>
      <c r="E6" s="13" t="s">
        <v>123</v>
      </c>
      <c r="F6" s="13" t="s">
        <v>128</v>
      </c>
      <c r="G6" s="10"/>
      <c r="H6" s="45" t="s">
        <v>189</v>
      </c>
      <c r="I6" s="15" t="s">
        <v>358</v>
      </c>
      <c r="J6" s="49" t="s">
        <v>306</v>
      </c>
      <c r="K6" s="10"/>
      <c r="L6" s="76">
        <v>2</v>
      </c>
    </row>
    <row r="7" spans="1:12">
      <c r="A7" s="21">
        <v>11</v>
      </c>
      <c r="B7" s="15" t="s">
        <v>171</v>
      </c>
      <c r="C7" s="15" t="s">
        <v>109</v>
      </c>
      <c r="D7" s="11" t="s">
        <v>37</v>
      </c>
      <c r="E7" s="13" t="s">
        <v>124</v>
      </c>
      <c r="F7" s="44" t="s">
        <v>126</v>
      </c>
      <c r="G7" s="10"/>
      <c r="H7" s="11" t="s">
        <v>37</v>
      </c>
      <c r="I7" s="15" t="s">
        <v>171</v>
      </c>
      <c r="J7" s="49" t="s">
        <v>303</v>
      </c>
      <c r="K7" s="10"/>
      <c r="L7" s="76">
        <v>3</v>
      </c>
    </row>
    <row r="8" spans="1:12">
      <c r="A8" s="21">
        <v>100</v>
      </c>
      <c r="B8" s="80" t="s">
        <v>352</v>
      </c>
      <c r="C8" s="15" t="s">
        <v>110</v>
      </c>
      <c r="D8" s="10"/>
      <c r="E8" s="10"/>
      <c r="F8" s="10"/>
      <c r="G8" s="10"/>
      <c r="H8" s="10"/>
      <c r="I8" s="80" t="s">
        <v>352</v>
      </c>
      <c r="J8" s="10"/>
      <c r="K8" s="10"/>
      <c r="L8" s="76"/>
    </row>
    <row r="9" spans="1:12">
      <c r="A9" s="21">
        <v>101</v>
      </c>
      <c r="B9" s="80" t="s">
        <v>353</v>
      </c>
      <c r="C9" s="15" t="s">
        <v>115</v>
      </c>
      <c r="D9" s="10"/>
      <c r="E9" s="10"/>
      <c r="F9" s="10"/>
      <c r="G9" s="10"/>
      <c r="H9" s="10"/>
      <c r="I9" s="80" t="s">
        <v>353</v>
      </c>
      <c r="J9" s="10"/>
      <c r="K9" s="10"/>
      <c r="L9" s="76"/>
    </row>
    <row r="10" spans="1:12">
      <c r="A10" s="21">
        <v>110</v>
      </c>
      <c r="B10" s="80" t="s">
        <v>354</v>
      </c>
      <c r="C10" s="15" t="s">
        <v>114</v>
      </c>
      <c r="D10" s="10"/>
      <c r="E10" s="10"/>
      <c r="F10" s="10"/>
      <c r="G10" s="10"/>
      <c r="H10" s="10"/>
      <c r="I10" s="80" t="s">
        <v>354</v>
      </c>
      <c r="J10" s="10"/>
      <c r="K10" s="10"/>
      <c r="L10" s="76"/>
    </row>
    <row r="11" spans="1:12">
      <c r="A11" s="21">
        <v>111</v>
      </c>
      <c r="B11" s="80" t="s">
        <v>355</v>
      </c>
      <c r="C11" s="15" t="s">
        <v>113</v>
      </c>
      <c r="D11" s="10"/>
      <c r="E11" s="10"/>
      <c r="F11" s="10"/>
      <c r="G11" s="10"/>
      <c r="H11" s="10"/>
      <c r="I11" s="80" t="s">
        <v>355</v>
      </c>
      <c r="J11" s="10"/>
      <c r="K11" s="10"/>
      <c r="L11" s="76"/>
    </row>
    <row r="12" spans="1:12">
      <c r="A12" s="21">
        <v>1000</v>
      </c>
      <c r="B12" s="10"/>
      <c r="C12" s="15" t="s">
        <v>112</v>
      </c>
      <c r="D12" s="10"/>
      <c r="E12" s="10"/>
      <c r="F12" s="10"/>
      <c r="G12" s="10"/>
      <c r="H12" s="10"/>
      <c r="I12" s="10"/>
      <c r="J12" s="10"/>
      <c r="K12" s="10"/>
      <c r="L12" s="76"/>
    </row>
    <row r="13" spans="1:12">
      <c r="A13" s="21">
        <v>1001</v>
      </c>
      <c r="B13" s="10"/>
      <c r="C13" s="15" t="s">
        <v>111</v>
      </c>
      <c r="D13" s="10"/>
      <c r="E13" s="10"/>
      <c r="F13" s="10"/>
      <c r="G13" s="10"/>
      <c r="H13" s="10"/>
      <c r="I13" s="10"/>
      <c r="J13" s="10"/>
      <c r="K13" s="10"/>
      <c r="L13" s="76"/>
    </row>
    <row r="14" spans="1:12">
      <c r="A14" s="21">
        <v>1010</v>
      </c>
      <c r="B14" s="10"/>
      <c r="C14" s="15" t="s">
        <v>0</v>
      </c>
      <c r="D14" s="10"/>
      <c r="E14" s="10"/>
      <c r="F14" s="10"/>
      <c r="G14" s="10"/>
      <c r="H14" s="10"/>
      <c r="I14" s="10"/>
      <c r="J14" s="10"/>
      <c r="K14" s="10"/>
      <c r="L14" s="76"/>
    </row>
    <row r="15" spans="1:12">
      <c r="A15" s="21">
        <v>1011</v>
      </c>
      <c r="B15" s="10"/>
      <c r="C15" s="14"/>
      <c r="D15" s="10"/>
      <c r="E15" s="10"/>
      <c r="F15" s="10"/>
      <c r="G15" s="10"/>
      <c r="H15" s="10"/>
      <c r="I15" s="10"/>
      <c r="J15" s="10"/>
      <c r="K15" s="10"/>
      <c r="L15" s="76"/>
    </row>
    <row r="16" spans="1:12">
      <c r="A16" s="21">
        <v>1100</v>
      </c>
      <c r="B16" s="10"/>
      <c r="C16" s="14"/>
      <c r="D16" s="10"/>
      <c r="E16" s="10"/>
      <c r="F16" s="10"/>
      <c r="G16" s="10"/>
      <c r="H16" s="10"/>
      <c r="I16" s="10"/>
      <c r="J16" s="10"/>
      <c r="K16" s="10"/>
      <c r="L16" s="76"/>
    </row>
    <row r="17" spans="1:12">
      <c r="A17" s="21">
        <v>1101</v>
      </c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76"/>
    </row>
    <row r="18" spans="1:12">
      <c r="A18" s="21">
        <v>1110</v>
      </c>
      <c r="B18" s="10"/>
      <c r="C18" s="14"/>
      <c r="D18" s="10"/>
      <c r="E18" s="10"/>
      <c r="F18" s="10"/>
      <c r="G18" s="10"/>
      <c r="H18" s="10"/>
      <c r="I18" s="10"/>
      <c r="J18" s="10"/>
      <c r="K18" s="10"/>
      <c r="L18" s="76"/>
    </row>
    <row r="19" spans="1:12">
      <c r="A19" s="21">
        <v>1111</v>
      </c>
      <c r="B19" s="10"/>
      <c r="C19" s="14"/>
      <c r="D19" s="10"/>
      <c r="E19" s="10"/>
      <c r="F19" s="10"/>
      <c r="G19" s="10"/>
      <c r="H19" s="10"/>
      <c r="I19" s="10"/>
      <c r="J19" s="10"/>
      <c r="K19" s="10"/>
      <c r="L19" s="76"/>
    </row>
    <row r="20" spans="1:12">
      <c r="B20" s="9">
        <v>3</v>
      </c>
      <c r="C20" s="9">
        <v>4</v>
      </c>
      <c r="D20" s="9">
        <v>2</v>
      </c>
      <c r="E20" s="9">
        <v>2</v>
      </c>
      <c r="F20" s="9">
        <v>2</v>
      </c>
      <c r="G20" s="9">
        <v>1</v>
      </c>
      <c r="H20" s="9">
        <v>2</v>
      </c>
      <c r="I20" s="9">
        <v>3</v>
      </c>
      <c r="J20" s="38">
        <v>2</v>
      </c>
      <c r="K20" s="38">
        <v>1</v>
      </c>
      <c r="L20" s="57">
        <v>2</v>
      </c>
    </row>
    <row r="21" spans="1:12" s="57" customFormat="1">
      <c r="A21" s="57" t="s">
        <v>334</v>
      </c>
    </row>
    <row r="22" spans="1:12" s="38" customFormat="1" ht="35.4" customHeight="1">
      <c r="A22" s="58" t="s">
        <v>335</v>
      </c>
      <c r="B22" s="59" t="s">
        <v>357</v>
      </c>
      <c r="C22" s="59" t="s">
        <v>447</v>
      </c>
      <c r="D22" s="59" t="s">
        <v>63</v>
      </c>
      <c r="E22" s="59" t="s">
        <v>503</v>
      </c>
      <c r="F22" s="59" t="s">
        <v>505</v>
      </c>
      <c r="G22" s="59" t="s">
        <v>504</v>
      </c>
      <c r="H22" s="59" t="s">
        <v>189</v>
      </c>
      <c r="I22" s="59" t="s">
        <v>357</v>
      </c>
      <c r="J22" s="59" t="s">
        <v>297</v>
      </c>
      <c r="K22" s="59" t="s">
        <v>294</v>
      </c>
      <c r="L22" s="60">
        <v>1</v>
      </c>
    </row>
    <row r="23" spans="1:12" s="38" customFormat="1" ht="40.200000000000003" customHeight="1">
      <c r="A23" s="105" t="s">
        <v>336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78" t="s">
        <v>327</v>
      </c>
    </row>
    <row r="24" spans="1:12" s="134" customFormat="1" ht="24.6" customHeight="1">
      <c r="A24" s="131" t="s">
        <v>337</v>
      </c>
      <c r="B24" s="132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132" t="str">
        <f t="shared" ref="C24:K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132" t="str">
        <f t="shared" si="0"/>
        <v>OK</v>
      </c>
      <c r="E24" s="133" t="str">
        <f t="shared" si="0"/>
        <v>OK</v>
      </c>
      <c r="F24" s="133" t="str">
        <f t="shared" si="0"/>
        <v>OK</v>
      </c>
      <c r="G24" s="133" t="str">
        <f t="shared" si="0"/>
        <v>OK</v>
      </c>
      <c r="H24" s="133" t="str">
        <f t="shared" si="0"/>
        <v>OK</v>
      </c>
      <c r="I24" s="133" t="str">
        <f t="shared" si="0"/>
        <v>OK</v>
      </c>
      <c r="J24" s="133" t="str">
        <f t="shared" si="0"/>
        <v>OK</v>
      </c>
      <c r="K24" s="133" t="str">
        <f t="shared" si="0"/>
        <v>OK</v>
      </c>
      <c r="L24" s="133" t="str">
        <f t="shared" ref="L24" si="1">IF(AND(L26&lt;&gt;"",L26&gt;(COUNTA(L4:L19)-1)),"選択された項目が不正",IF(AND(L23&lt;&gt;"",BIN2DEC(L23)&gt;(COUNTA(L4:L19)-1)),"２進数値がオーバー",IF(AND(L23&lt;&gt;"",L26&lt;&gt;"",BIN2DEC(L23)&lt;&gt;L26),"両方入力したが不一致",IF(AND(L23="", L26=""),"未入力","OK"))))</f>
        <v>OK</v>
      </c>
    </row>
    <row r="25" spans="1:12" s="38" customFormat="1" hidden="1">
      <c r="A25" s="66" t="s">
        <v>338</v>
      </c>
    </row>
    <row r="26" spans="1:12" s="38" customFormat="1" hidden="1">
      <c r="A26" s="67" t="s">
        <v>339</v>
      </c>
      <c r="B26" s="57">
        <f>IF(B22="","",MATCH(B22,B4:B19,0)-1)</f>
        <v>0</v>
      </c>
      <c r="C26" s="57">
        <f t="shared" ref="C26:K26" si="2">IF(C22="","",MATCH(C22,C4:C19,0)-1)</f>
        <v>0</v>
      </c>
      <c r="D26" s="57">
        <f t="shared" si="2"/>
        <v>2</v>
      </c>
      <c r="E26" s="57">
        <f t="shared" si="2"/>
        <v>1</v>
      </c>
      <c r="F26" s="57">
        <f t="shared" si="2"/>
        <v>0</v>
      </c>
      <c r="G26" s="57">
        <f t="shared" si="2"/>
        <v>0</v>
      </c>
      <c r="H26" s="57">
        <f t="shared" si="2"/>
        <v>2</v>
      </c>
      <c r="I26" s="57">
        <f t="shared" si="2"/>
        <v>0</v>
      </c>
      <c r="J26" s="57">
        <f t="shared" si="2"/>
        <v>0</v>
      </c>
      <c r="K26" s="57">
        <f t="shared" si="2"/>
        <v>0</v>
      </c>
      <c r="L26" s="57">
        <f t="shared" ref="L26" si="3">IF(L22="","",MATCH(L22,L4:L19,0)-1)</f>
        <v>1</v>
      </c>
    </row>
    <row r="27" spans="1:12" s="38" customFormat="1" hidden="1">
      <c r="A27" s="67" t="s">
        <v>340</v>
      </c>
      <c r="B27" s="57">
        <f t="shared" ref="B27:K27" si="4">ROUNDUP(LOG(COUNTA(B4:B19),2),0)</f>
        <v>3</v>
      </c>
      <c r="C27" s="57">
        <f t="shared" si="4"/>
        <v>4</v>
      </c>
      <c r="D27" s="57">
        <f t="shared" si="4"/>
        <v>2</v>
      </c>
      <c r="E27" s="57">
        <f t="shared" si="4"/>
        <v>2</v>
      </c>
      <c r="F27" s="57">
        <f t="shared" si="4"/>
        <v>2</v>
      </c>
      <c r="G27" s="57">
        <f t="shared" si="4"/>
        <v>1</v>
      </c>
      <c r="H27" s="57">
        <f t="shared" si="4"/>
        <v>2</v>
      </c>
      <c r="I27" s="57">
        <f t="shared" si="4"/>
        <v>3</v>
      </c>
      <c r="J27" s="57">
        <f t="shared" si="4"/>
        <v>2</v>
      </c>
      <c r="K27" s="57">
        <f t="shared" si="4"/>
        <v>1</v>
      </c>
      <c r="L27" s="57">
        <v>2</v>
      </c>
    </row>
    <row r="28" spans="1:12" s="38" customFormat="1" hidden="1">
      <c r="A28" s="68" t="s">
        <v>341</v>
      </c>
      <c r="B28" s="69">
        <f>POWER(2,B27)*C28</f>
        <v>16777216</v>
      </c>
      <c r="C28" s="38">
        <f>POWER(2,C27)*D28</f>
        <v>2097152</v>
      </c>
      <c r="D28" s="38">
        <f>POWER(2,D27)*E28</f>
        <v>131072</v>
      </c>
      <c r="E28" s="38">
        <f>POWER(2,E27)*F28</f>
        <v>32768</v>
      </c>
      <c r="F28" s="38">
        <f t="shared" ref="F28:K28" si="5">POWER(2,F27)*G28</f>
        <v>8192</v>
      </c>
      <c r="G28" s="38">
        <f t="shared" si="5"/>
        <v>2048</v>
      </c>
      <c r="H28" s="38">
        <f t="shared" si="5"/>
        <v>1024</v>
      </c>
      <c r="I28" s="38">
        <f t="shared" si="5"/>
        <v>256</v>
      </c>
      <c r="J28" s="38">
        <f t="shared" si="5"/>
        <v>32</v>
      </c>
      <c r="K28" s="38">
        <f t="shared" si="5"/>
        <v>8</v>
      </c>
      <c r="L28" s="38">
        <f>POWER(2,L27)*1</f>
        <v>4</v>
      </c>
    </row>
    <row r="29" spans="1:12" s="38" customFormat="1" hidden="1">
      <c r="A29" s="68" t="s">
        <v>342</v>
      </c>
      <c r="B29" s="38">
        <f t="shared" ref="B29:I29" si="6">IF(B23="",B26,BIN2DEC(B23))*C28</f>
        <v>0</v>
      </c>
      <c r="C29" s="38">
        <f t="shared" si="6"/>
        <v>0</v>
      </c>
      <c r="D29" s="38">
        <f t="shared" si="6"/>
        <v>65536</v>
      </c>
      <c r="E29" s="38">
        <f t="shared" si="6"/>
        <v>8192</v>
      </c>
      <c r="F29" s="38">
        <f t="shared" si="6"/>
        <v>0</v>
      </c>
      <c r="G29" s="38">
        <f t="shared" si="6"/>
        <v>0</v>
      </c>
      <c r="H29" s="38">
        <f t="shared" si="6"/>
        <v>512</v>
      </c>
      <c r="I29" s="38">
        <f t="shared" si="6"/>
        <v>0</v>
      </c>
      <c r="J29" s="38">
        <f>IF(J23="",J26,BIN2DEC(J23))*K28</f>
        <v>0</v>
      </c>
      <c r="K29" s="38">
        <f>IF(K23="",K26,BIN2DEC(K23))*L28</f>
        <v>0</v>
      </c>
      <c r="L29" s="38">
        <f>IF(L23="",L26,BIN2DEC(L23))*1</f>
        <v>1</v>
      </c>
    </row>
    <row r="30" spans="1:12" s="38" customFormat="1" ht="33.6" customHeight="1">
      <c r="A30" s="157" t="s">
        <v>483</v>
      </c>
      <c r="B30" s="130" t="s">
        <v>482</v>
      </c>
      <c r="C30" s="129"/>
      <c r="D30" s="129"/>
      <c r="E30" s="129"/>
      <c r="F30" s="129"/>
      <c r="G30" s="129"/>
    </row>
    <row r="31" spans="1:12" s="38" customFormat="1" ht="28.95" hidden="1" customHeight="1">
      <c r="A31" s="70" t="s">
        <v>344</v>
      </c>
      <c r="B31" s="71" t="str">
        <f>IF(B30="Ｍコピーチケット(チケットぴあ)","10",IF(B30="インターネットチケット(イープラス)","61",IF(B30="インターネットチケット(イープラス以外)","62",IF(B30="オンラインチケット","70",IF(B30="プリペイドサービスチケット","80","Error"))))) &amp; REPT("0",10-LEN(SUM(B29:L29)))   &amp; SUM(B29:L29)</f>
        <v>100000074241</v>
      </c>
      <c r="I31" s="9"/>
      <c r="J31" s="9"/>
    </row>
    <row r="32" spans="1:12" s="38" customFormat="1" ht="19.8" hidden="1">
      <c r="A32" s="72" t="s">
        <v>345</v>
      </c>
      <c r="B32" s="73" cm="1">
        <f t="array" ref="B32">MOD(10 - MOD(SUMPRODUCT(MID(B31, {2,4,6,8,10,12}, 1) + 0) * 3 + SUMPRODUCT(MID(B31, {1,3,5,7,9,11}, 1) + 0), 10), 10)</f>
        <v>1</v>
      </c>
      <c r="I32" s="9"/>
      <c r="J32" s="9"/>
    </row>
    <row r="33" spans="1:36" s="38" customFormat="1" ht="36.6" customHeight="1">
      <c r="A33" s="74" t="s">
        <v>350</v>
      </c>
      <c r="B33" s="75" t="str">
        <f>""&amp;B31&amp;B32&amp;""</f>
        <v>1000000742411</v>
      </c>
      <c r="I33" s="9"/>
      <c r="J33" s="9"/>
    </row>
    <row r="34" spans="1:36" ht="40.799999999999997" customHeight="1">
      <c r="A34" s="124" t="s">
        <v>478</v>
      </c>
      <c r="B34" s="137" t="str">
        <f>"d"&amp; B33 &amp; "d"</f>
        <v>d1000000742411d</v>
      </c>
      <c r="C34" s="125" t="s">
        <v>510</v>
      </c>
    </row>
    <row r="35" spans="1:36" ht="22.2">
      <c r="A35" s="126"/>
      <c r="B35" s="127" t="s">
        <v>479</v>
      </c>
      <c r="C35" s="125"/>
    </row>
    <row r="36" spans="1:36">
      <c r="A36" s="38"/>
      <c r="B36" s="126" t="s">
        <v>480</v>
      </c>
      <c r="C36" s="128" t="s">
        <v>481</v>
      </c>
    </row>
    <row r="38" spans="1:36" s="38" customFormat="1" ht="22.2">
      <c r="A38" s="138" t="s">
        <v>489</v>
      </c>
      <c r="B38" s="139"/>
      <c r="D38" s="9"/>
      <c r="I38" s="9"/>
      <c r="J38" s="9"/>
      <c r="K38" s="9"/>
      <c r="O38" s="57"/>
    </row>
    <row r="39" spans="1:36" s="38" customFormat="1" ht="20.399999999999999" thickBot="1">
      <c r="A39" s="140"/>
      <c r="B39" s="141" t="s">
        <v>490</v>
      </c>
      <c r="D39" s="9"/>
      <c r="I39" s="9"/>
      <c r="J39" s="9"/>
      <c r="K39" s="9"/>
      <c r="O39" s="57"/>
    </row>
    <row r="40" spans="1:36" s="38" customFormat="1" ht="33" customHeight="1" thickBot="1">
      <c r="A40" s="74" t="s">
        <v>491</v>
      </c>
      <c r="B40" s="142"/>
      <c r="D40" s="9"/>
      <c r="I40" s="9"/>
      <c r="J40" s="9"/>
      <c r="K40" s="9"/>
      <c r="O40" s="57"/>
    </row>
    <row r="41" spans="1:36" s="38" customFormat="1" ht="28.2" customHeight="1">
      <c r="A41" s="158" t="s">
        <v>509</v>
      </c>
      <c r="B41" s="140" t="str">
        <f>IF(LEFT(B40,2)&lt;&gt;"90",IF(LEN(B40)=0,"バーコードは未入力。",IF(LEN(B40)&lt;&gt;13,"バーコードの桁数が不正。",IF(RIGHT(B51,2)&lt;&gt;"01","No."&amp; BIN2DEC(RIGHT(B51,2)) +1 &amp; "マッピングに参照してください。",""))),"totoくじ設定ファイルのマッピングに参照してください。")</f>
        <v>バーコードは未入力。</v>
      </c>
      <c r="D41" s="9"/>
      <c r="I41" s="9"/>
      <c r="J41" s="9"/>
      <c r="K41" s="9"/>
      <c r="O41" s="57"/>
    </row>
    <row r="42" spans="1:36" s="38" customFormat="1" ht="34.200000000000003" customHeight="1">
      <c r="A42" s="192" t="s">
        <v>492</v>
      </c>
      <c r="B42" s="189" t="str">
        <f xml:space="preserve"> "レスポンスパターン" &amp; "（" &amp; SUM(B61:K61) &amp; "ビット）"</f>
        <v>レスポンスパターン（0ビット）</v>
      </c>
      <c r="C42" s="190"/>
      <c r="D42" s="190"/>
      <c r="E42" s="190"/>
      <c r="F42" s="190"/>
      <c r="G42" s="190"/>
      <c r="H42" s="190"/>
      <c r="I42" s="190"/>
      <c r="J42" s="190"/>
      <c r="K42" s="191"/>
      <c r="L42" s="188" t="s">
        <v>347</v>
      </c>
      <c r="M42" s="9"/>
      <c r="N42" s="9"/>
      <c r="O42" s="9"/>
      <c r="P42" s="9"/>
      <c r="Q42" s="9"/>
      <c r="R42" s="9"/>
    </row>
    <row r="43" spans="1:36" s="38" customFormat="1" ht="34.200000000000003" customHeight="1">
      <c r="A43" s="192"/>
      <c r="B43" s="189" t="s">
        <v>308</v>
      </c>
      <c r="C43" s="190"/>
      <c r="D43" s="190"/>
      <c r="E43" s="190"/>
      <c r="F43" s="190"/>
      <c r="G43" s="190"/>
      <c r="H43" s="190"/>
      <c r="I43" s="189" t="s">
        <v>307</v>
      </c>
      <c r="J43" s="190"/>
      <c r="K43" s="191"/>
      <c r="L43" s="188"/>
      <c r="M43" s="9"/>
      <c r="N43" s="9"/>
      <c r="O43" s="9"/>
      <c r="P43" s="9"/>
      <c r="Q43" s="9"/>
      <c r="R43" s="9"/>
    </row>
    <row r="44" spans="1:36" s="38" customFormat="1" ht="54">
      <c r="A44" s="192"/>
      <c r="B44" s="12" t="str">
        <f xml:space="preserve"> "処理結果" &amp; CHAR(10) &amp; "（" &amp; B61 &amp; "ビット）"</f>
        <v>処理結果
（ビット）</v>
      </c>
      <c r="C44" s="12" t="str">
        <f xml:space="preserve"> "応答結果" &amp; CHAR(10) &amp; "（" &amp; C61 &amp; "ビット）"</f>
        <v>応答結果
（ビット）</v>
      </c>
      <c r="D44" s="12" t="str">
        <f xml:space="preserve"> "払戻金額" &amp; CHAR(10) &amp; "（" &amp; D61 &amp; "ビット）"</f>
        <v>払戻金額
（ビット）</v>
      </c>
      <c r="E44" s="12" t="str">
        <f xml:space="preserve"> "開始日・終了日" &amp; CHAR(10) &amp; "（" &amp; E61 &amp; "ビット）"</f>
        <v>開始日・終了日
（ビット）</v>
      </c>
      <c r="F44" s="12" t="str">
        <f xml:space="preserve"> "開始時刻・終了時刻" &amp; CHAR(10) &amp; "（" &amp; F61 &amp; "ビット）"</f>
        <v>開始時刻・終了時刻
（ビット）</v>
      </c>
      <c r="G44" s="12" t="str">
        <f xml:space="preserve"> "半券確認要否" &amp; CHAR(10) &amp; "（" &amp; G61 &amp; "ビット）"</f>
        <v>半券確認要否
（ビット）</v>
      </c>
      <c r="H44" s="12" t="str">
        <f xml:space="preserve"> "チケット手数料払戻金額" &amp; CHAR(10) &amp; "（" &amp; H61 &amp; "ビット）"</f>
        <v>チケット手数料払戻金額
（ビット）</v>
      </c>
      <c r="I44" s="12" t="str">
        <f xml:space="preserve"> "取消処理結果" &amp; CHAR(10) &amp; "（" &amp; I61 &amp; "ビット）"</f>
        <v>取消処理結果
（ビット）</v>
      </c>
      <c r="J44" s="12" t="str">
        <f xml:space="preserve"> "取消応答結果" &amp; CHAR(10) &amp; "（" &amp; J61 &amp; "ビット）"</f>
        <v>取消応答結果
（ビット）</v>
      </c>
      <c r="K44" s="12" t="str">
        <f xml:space="preserve"> "レスポンスパターン（取消再送区分用）" &amp; CHAR(10) &amp; "（" &amp; K61 &amp; "ビット）"</f>
        <v>レスポンスパターン（取消再送区分用）
（ビット）</v>
      </c>
      <c r="L44" s="188"/>
      <c r="M44" s="9"/>
      <c r="N44" s="9"/>
      <c r="O44" s="9"/>
      <c r="P44" s="9"/>
      <c r="Q44" s="9"/>
      <c r="R44" s="9"/>
    </row>
    <row r="45" spans="1:36" s="38" customFormat="1" ht="31.8" customHeight="1">
      <c r="A45" s="144" t="s">
        <v>493</v>
      </c>
      <c r="B45" s="145" t="str">
        <f t="shared" ref="B45:L45" si="7">IF($B$41="",IF(LOOKUP(B53,$A$4:$A$19,B4:B19)=0,LOOKUP(0,$A$4:$A$19,B4:B19),LOOKUP(B53,$A$4:$A$19,B4:B19)),"")</f>
        <v/>
      </c>
      <c r="C45" s="145" t="str">
        <f t="shared" si="7"/>
        <v/>
      </c>
      <c r="D45" s="145" t="str">
        <f t="shared" si="7"/>
        <v/>
      </c>
      <c r="E45" s="145" t="str">
        <f t="shared" si="7"/>
        <v/>
      </c>
      <c r="F45" s="145" t="str">
        <f t="shared" si="7"/>
        <v/>
      </c>
      <c r="G45" s="145" t="str">
        <f t="shared" si="7"/>
        <v/>
      </c>
      <c r="H45" s="145" t="str">
        <f t="shared" si="7"/>
        <v/>
      </c>
      <c r="I45" s="145" t="str">
        <f t="shared" si="7"/>
        <v/>
      </c>
      <c r="J45" s="145" t="str">
        <f t="shared" si="7"/>
        <v/>
      </c>
      <c r="K45" s="145" t="str">
        <f t="shared" si="7"/>
        <v/>
      </c>
      <c r="L45" s="145" t="str">
        <f t="shared" si="7"/>
        <v/>
      </c>
    </row>
    <row r="46" spans="1:36" s="38" customFormat="1"/>
    <row r="47" spans="1:36" customFormat="1" hidden="1">
      <c r="A47" s="147" t="s">
        <v>494</v>
      </c>
      <c r="B47" s="148">
        <f>_xlfn.NUMBERVALUE(MID(B40,3,10))</f>
        <v>0</v>
      </c>
      <c r="C47" s="143" t="s">
        <v>495</v>
      </c>
      <c r="D47" s="148">
        <f>SUM(27:27)</f>
        <v>24</v>
      </c>
    </row>
    <row r="48" spans="1:36" customFormat="1" hidden="1">
      <c r="A48" s="147"/>
      <c r="B48">
        <f>MOD(B47,2)</f>
        <v>0</v>
      </c>
      <c r="C48" t="str">
        <f>IF(MOD(B49,2)=1,1,IF(C49&gt;0,0,""))</f>
        <v/>
      </c>
      <c r="D48" t="str">
        <f t="shared" ref="D48:AJ48" si="8">IF(MOD(C49,2)=1,1,IF(D49&gt;0,0,""))</f>
        <v/>
      </c>
      <c r="E48" t="str">
        <f t="shared" si="8"/>
        <v/>
      </c>
      <c r="F48" t="str">
        <f t="shared" si="8"/>
        <v/>
      </c>
      <c r="G48" t="str">
        <f t="shared" si="8"/>
        <v/>
      </c>
      <c r="H48" t="str">
        <f t="shared" si="8"/>
        <v/>
      </c>
      <c r="I48" t="str">
        <f t="shared" si="8"/>
        <v/>
      </c>
      <c r="J48" t="str">
        <f t="shared" si="8"/>
        <v/>
      </c>
      <c r="K48" t="str">
        <f t="shared" si="8"/>
        <v/>
      </c>
      <c r="L48" t="str">
        <f t="shared" si="8"/>
        <v/>
      </c>
      <c r="M48" t="str">
        <f t="shared" si="8"/>
        <v/>
      </c>
      <c r="N48" t="str">
        <f t="shared" si="8"/>
        <v/>
      </c>
      <c r="O48" t="str">
        <f t="shared" si="8"/>
        <v/>
      </c>
      <c r="P48" t="str">
        <f t="shared" si="8"/>
        <v/>
      </c>
      <c r="Q48" t="str">
        <f t="shared" si="8"/>
        <v/>
      </c>
      <c r="R48" t="str">
        <f t="shared" si="8"/>
        <v/>
      </c>
      <c r="S48" t="str">
        <f t="shared" si="8"/>
        <v/>
      </c>
      <c r="T48" t="str">
        <f t="shared" si="8"/>
        <v/>
      </c>
      <c r="U48" t="str">
        <f t="shared" si="8"/>
        <v/>
      </c>
      <c r="V48" t="str">
        <f t="shared" si="8"/>
        <v/>
      </c>
      <c r="W48" t="str">
        <f t="shared" si="8"/>
        <v/>
      </c>
      <c r="X48" t="str">
        <f t="shared" si="8"/>
        <v/>
      </c>
      <c r="Y48" t="str">
        <f t="shared" si="8"/>
        <v/>
      </c>
      <c r="Z48" t="str">
        <f t="shared" si="8"/>
        <v/>
      </c>
      <c r="AA48" t="str">
        <f t="shared" si="8"/>
        <v/>
      </c>
      <c r="AB48" t="str">
        <f t="shared" si="8"/>
        <v/>
      </c>
      <c r="AC48" t="str">
        <f t="shared" si="8"/>
        <v/>
      </c>
      <c r="AD48" t="str">
        <f t="shared" si="8"/>
        <v/>
      </c>
      <c r="AE48" t="str">
        <f t="shared" si="8"/>
        <v/>
      </c>
      <c r="AF48" t="str">
        <f t="shared" si="8"/>
        <v/>
      </c>
      <c r="AG48" t="str">
        <f t="shared" si="8"/>
        <v/>
      </c>
      <c r="AH48" t="str">
        <f t="shared" si="8"/>
        <v/>
      </c>
      <c r="AI48" t="str">
        <f t="shared" si="8"/>
        <v/>
      </c>
      <c r="AJ48" t="str">
        <f t="shared" si="8"/>
        <v/>
      </c>
    </row>
    <row r="49" spans="1:36" customFormat="1" hidden="1">
      <c r="A49" s="147" t="s">
        <v>494</v>
      </c>
      <c r="B49">
        <f>INT(B47/2)</f>
        <v>0</v>
      </c>
      <c r="C49">
        <f>INT(B49/2)</f>
        <v>0</v>
      </c>
      <c r="D49">
        <f t="shared" ref="D49:AJ49" si="9">INT(C49/2)</f>
        <v>0</v>
      </c>
      <c r="E49">
        <f t="shared" si="9"/>
        <v>0</v>
      </c>
      <c r="F49">
        <f t="shared" si="9"/>
        <v>0</v>
      </c>
      <c r="G49">
        <f t="shared" si="9"/>
        <v>0</v>
      </c>
      <c r="H49">
        <f t="shared" si="9"/>
        <v>0</v>
      </c>
      <c r="I49">
        <f t="shared" si="9"/>
        <v>0</v>
      </c>
      <c r="J49">
        <f t="shared" si="9"/>
        <v>0</v>
      </c>
      <c r="K49">
        <f t="shared" si="9"/>
        <v>0</v>
      </c>
      <c r="L49">
        <f t="shared" si="9"/>
        <v>0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9"/>
        <v>0</v>
      </c>
      <c r="R49">
        <f t="shared" si="9"/>
        <v>0</v>
      </c>
      <c r="S49">
        <f t="shared" si="9"/>
        <v>0</v>
      </c>
      <c r="T49">
        <f t="shared" si="9"/>
        <v>0</v>
      </c>
      <c r="U49">
        <f t="shared" si="9"/>
        <v>0</v>
      </c>
      <c r="V49">
        <f t="shared" si="9"/>
        <v>0</v>
      </c>
      <c r="W49">
        <f t="shared" si="9"/>
        <v>0</v>
      </c>
      <c r="X49">
        <f t="shared" si="9"/>
        <v>0</v>
      </c>
      <c r="Y49">
        <f t="shared" si="9"/>
        <v>0</v>
      </c>
      <c r="Z49">
        <f t="shared" si="9"/>
        <v>0</v>
      </c>
      <c r="AA49">
        <f t="shared" si="9"/>
        <v>0</v>
      </c>
      <c r="AB49">
        <f t="shared" si="9"/>
        <v>0</v>
      </c>
      <c r="AC49">
        <f t="shared" si="9"/>
        <v>0</v>
      </c>
      <c r="AD49">
        <f t="shared" si="9"/>
        <v>0</v>
      </c>
      <c r="AE49">
        <f t="shared" si="9"/>
        <v>0</v>
      </c>
      <c r="AF49">
        <f t="shared" si="9"/>
        <v>0</v>
      </c>
      <c r="AG49">
        <f t="shared" si="9"/>
        <v>0</v>
      </c>
      <c r="AH49">
        <f t="shared" si="9"/>
        <v>0</v>
      </c>
      <c r="AI49">
        <f t="shared" si="9"/>
        <v>0</v>
      </c>
      <c r="AJ49">
        <f t="shared" si="9"/>
        <v>0</v>
      </c>
    </row>
    <row r="50" spans="1:36" s="38" customFormat="1" hidden="1">
      <c r="A50" s="143" t="s">
        <v>496</v>
      </c>
      <c r="B50" s="38" t="str" cm="1">
        <f t="array" ref="B50">_xlfn.TEXTJOIN("", TRUE, MID(_xlfn.CONCAT(48:48), _xlfn.SEQUENCE(LEN(_xlfn.CONCAT(48:48)), 1, LEN(_xlfn.CONCAT(48:48)), -1), 1))</f>
        <v>0</v>
      </c>
      <c r="I50" s="9"/>
      <c r="J50" s="9"/>
      <c r="K50" s="9"/>
      <c r="O50" s="57"/>
    </row>
    <row r="51" spans="1:36" s="38" customFormat="1" hidden="1">
      <c r="A51" s="149" t="s">
        <v>497</v>
      </c>
      <c r="B51" s="150" t="str">
        <f>REPT("0",IF(D47-LEN(B50)&lt;0,0,D47-LEN(B50))) &amp; B50</f>
        <v>000000000000000000000000</v>
      </c>
      <c r="I51" s="9"/>
      <c r="J51" s="9"/>
      <c r="K51" s="9"/>
      <c r="O51" s="57"/>
    </row>
    <row r="52" spans="1:36" s="38" customFormat="1" hidden="1">
      <c r="A52" s="149" t="s">
        <v>498</v>
      </c>
      <c r="B52" s="38" t="str">
        <f ca="1">MID(RIGHT($B$51,$D$47),$D$47+1-SUM(OFFSET(B27, 0, 0, 1, 20)),B27)</f>
        <v>000</v>
      </c>
      <c r="C52" s="38" t="str">
        <f t="shared" ref="C52:L52" ca="1" si="10">MID(RIGHT($B$51,$D$47),$D$47+1-SUM(OFFSET(C27, 0, 0, 1, 20)),C27)</f>
        <v>0000</v>
      </c>
      <c r="D52" s="38" t="str">
        <f t="shared" ca="1" si="10"/>
        <v>00</v>
      </c>
      <c r="E52" s="38" t="str">
        <f t="shared" ca="1" si="10"/>
        <v>00</v>
      </c>
      <c r="F52" s="38" t="str">
        <f t="shared" ca="1" si="10"/>
        <v>00</v>
      </c>
      <c r="G52" s="38" t="str">
        <f t="shared" ca="1" si="10"/>
        <v>0</v>
      </c>
      <c r="H52" s="38" t="str">
        <f t="shared" ca="1" si="10"/>
        <v>00</v>
      </c>
      <c r="I52" s="38" t="str">
        <f t="shared" ca="1" si="10"/>
        <v>000</v>
      </c>
      <c r="J52" s="38" t="str">
        <f t="shared" ca="1" si="10"/>
        <v>00</v>
      </c>
      <c r="K52" s="38" t="str">
        <f t="shared" ca="1" si="10"/>
        <v>0</v>
      </c>
      <c r="L52" s="38" t="str">
        <f t="shared" ca="1" si="10"/>
        <v>00</v>
      </c>
      <c r="M52" s="38" t="str">
        <f t="shared" ref="M52:Q52" ca="1" si="11">MID($B$51,$D$47+1-SUM(OFFSET(M27, 0, 0, 1, 20)),M27)</f>
        <v/>
      </c>
      <c r="N52" s="38" t="str">
        <f t="shared" ca="1" si="11"/>
        <v/>
      </c>
      <c r="O52" s="38" t="str">
        <f t="shared" ca="1" si="11"/>
        <v/>
      </c>
      <c r="P52" s="38" t="str">
        <f t="shared" ca="1" si="11"/>
        <v/>
      </c>
      <c r="Q52" s="38" t="str">
        <f t="shared" ca="1" si="11"/>
        <v/>
      </c>
    </row>
    <row r="53" spans="1:36" s="38" customFormat="1" hidden="1">
      <c r="A53" s="151" t="s">
        <v>499</v>
      </c>
      <c r="B53" s="38">
        <f ca="1">INT(DEC2BIN(BIN2DEC(B52)))</f>
        <v>0</v>
      </c>
      <c r="C53" s="38">
        <f t="shared" ref="C53:Q53" ca="1" si="12">INT(DEC2BIN(BIN2DEC(C52)))</f>
        <v>0</v>
      </c>
      <c r="D53" s="38">
        <f t="shared" ca="1" si="12"/>
        <v>0</v>
      </c>
      <c r="E53" s="38">
        <f t="shared" ca="1" si="12"/>
        <v>0</v>
      </c>
      <c r="F53" s="38">
        <f t="shared" ca="1" si="12"/>
        <v>0</v>
      </c>
      <c r="G53" s="38">
        <f t="shared" ca="1" si="12"/>
        <v>0</v>
      </c>
      <c r="H53" s="38">
        <f t="shared" ca="1" si="12"/>
        <v>0</v>
      </c>
      <c r="I53" s="38">
        <f t="shared" ca="1" si="12"/>
        <v>0</v>
      </c>
      <c r="J53" s="38">
        <f t="shared" ca="1" si="12"/>
        <v>0</v>
      </c>
      <c r="K53" s="38">
        <f t="shared" ca="1" si="12"/>
        <v>0</v>
      </c>
      <c r="L53" s="38">
        <f t="shared" ca="1" si="12"/>
        <v>0</v>
      </c>
      <c r="M53" s="38">
        <f t="shared" ca="1" si="12"/>
        <v>0</v>
      </c>
      <c r="N53" s="38">
        <f t="shared" ca="1" si="12"/>
        <v>0</v>
      </c>
      <c r="O53" s="38">
        <f t="shared" ca="1" si="12"/>
        <v>0</v>
      </c>
      <c r="P53" s="38">
        <f t="shared" ca="1" si="12"/>
        <v>0</v>
      </c>
      <c r="Q53" s="38">
        <f t="shared" ca="1" si="12"/>
        <v>0</v>
      </c>
    </row>
  </sheetData>
  <mergeCells count="10">
    <mergeCell ref="A1:A3"/>
    <mergeCell ref="B2:H2"/>
    <mergeCell ref="I2:K2"/>
    <mergeCell ref="B1:K1"/>
    <mergeCell ref="L1:L3"/>
    <mergeCell ref="A42:A44"/>
    <mergeCell ref="B42:K42"/>
    <mergeCell ref="L42:L44"/>
    <mergeCell ref="B43:H43"/>
    <mergeCell ref="I43:K43"/>
  </mergeCells>
  <phoneticPr fontId="27"/>
  <conditionalFormatting sqref="B33:B34">
    <cfRule type="cellIs" dxfId="20" priority="3" operator="equal">
      <formula>"OK"</formula>
    </cfRule>
  </conditionalFormatting>
  <conditionalFormatting sqref="B40">
    <cfRule type="cellIs" dxfId="19" priority="1" operator="equal">
      <formula>"OK"</formula>
    </cfRule>
  </conditionalFormatting>
  <conditionalFormatting sqref="B28:K28">
    <cfRule type="cellIs" dxfId="18" priority="17" operator="equal">
      <formula>"OK"</formula>
    </cfRule>
    <cfRule type="containsText" dxfId="17" priority="18" operator="containsText" text="&lt;&gt;&quot;OK&quot;">
      <formula>NOT(ISERROR(SEARCH("&lt;&gt;""OK""",B28)))</formula>
    </cfRule>
  </conditionalFormatting>
  <conditionalFormatting sqref="B24:L24">
    <cfRule type="cellIs" dxfId="16" priority="4" operator="equal">
      <formula>"OK"</formula>
    </cfRule>
    <cfRule type="containsText" dxfId="15" priority="5" operator="containsText" text="&lt;&gt;&quot;OK&quot;">
      <formula>NOT(ISERROR(SEARCH("&lt;&gt;""OK""",B24)))</formula>
    </cfRule>
  </conditionalFormatting>
  <conditionalFormatting sqref="B45:L45">
    <cfRule type="expression" dxfId="14" priority="35">
      <formula>BIN2DEC(B$52)&gt;COUNTA(B$3:B$25)-1</formula>
    </cfRule>
  </conditionalFormatting>
  <dataValidations count="11">
    <dataValidation type="list" allowBlank="1" showInputMessage="1" showErrorMessage="1" sqref="J22" xr:uid="{375A123C-0CA6-4282-9670-B5F5F78DA1CA}">
      <formula1>$J$4:$J$7</formula1>
    </dataValidation>
    <dataValidation type="list" allowBlank="1" showInputMessage="1" showErrorMessage="1" sqref="I22" xr:uid="{4B743B9B-3DFF-4C30-8F98-24B5D1572AD0}">
      <formula1>$I$4:$I$13</formula1>
    </dataValidation>
    <dataValidation type="list" allowBlank="1" showInputMessage="1" showErrorMessage="1" sqref="H22" xr:uid="{6A415132-4E40-44F0-A4B5-FB1FA61F57FC}">
      <formula1>$H$4:$H$7</formula1>
    </dataValidation>
    <dataValidation type="list" allowBlank="1" showInputMessage="1" showErrorMessage="1" sqref="G22" xr:uid="{F1E9A471-A0CF-46ED-8D80-D40FB421CCC8}">
      <formula1>$G$4:$G$5</formula1>
    </dataValidation>
    <dataValidation type="list" allowBlank="1" showInputMessage="1" showErrorMessage="1" sqref="F22" xr:uid="{77221E2D-5DB0-4062-ADC0-3C4D8E10C931}">
      <formula1>$F$4:$F$7</formula1>
    </dataValidation>
    <dataValidation type="list" allowBlank="1" showInputMessage="1" showErrorMessage="1" sqref="E22" xr:uid="{FE1A47A4-9CC9-4204-9560-4A6BD86D2523}">
      <formula1>$E$4:$E$7</formula1>
    </dataValidation>
    <dataValidation type="list" allowBlank="1" showInputMessage="1" showErrorMessage="1" sqref="D22" xr:uid="{98FD8028-9ADB-4BAA-99C8-5FD0171B608A}">
      <formula1>$D$4:$D$7</formula1>
    </dataValidation>
    <dataValidation type="list" allowBlank="1" showInputMessage="1" showErrorMessage="1" sqref="C22" xr:uid="{DFBD3E07-46FD-4DB7-9BD5-56F34D9C73C2}">
      <formula1>$C$4:$C$16</formula1>
    </dataValidation>
    <dataValidation type="list" allowBlank="1" showInputMessage="1" showErrorMessage="1" sqref="B22" xr:uid="{0D0AED85-0140-4D2D-93A7-150E2C271E3D}">
      <formula1>$B$4:$B$11</formula1>
    </dataValidation>
    <dataValidation type="list" allowBlank="1" showInputMessage="1" showErrorMessage="1" sqref="K22" xr:uid="{8A8932C3-F802-453E-9CA0-9C7E6EE8611B}">
      <formula1>$K$4:$K$5</formula1>
    </dataValidation>
    <dataValidation type="list" allowBlank="1" showInputMessage="1" showErrorMessage="1" sqref="B30" xr:uid="{CE1969DF-1D8F-4C10-BB33-7721A20A43FE}">
      <formula1>"Ｍコピーチケット(チケットぴあ),インターネットチケット(イープラス),インターネットチケット(イープラス以外),オンラインチケット,プリペイドサービスチケット"</formula1>
    </dataValidation>
  </dataValidations>
  <pageMargins left="0.70866141732283472" right="0.70866141732283472" top="0.74803149606299213" bottom="0.74803149606299213" header="0.31496062992125984" footer="0.31496062992125984"/>
  <pageSetup paperSize="8" scale="56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72DF-C33C-4769-8EB7-FA9F61FEC479}">
  <sheetPr>
    <pageSetUpPr fitToPage="1"/>
  </sheetPr>
  <dimension ref="A1:E71"/>
  <sheetViews>
    <sheetView view="pageBreakPreview" topLeftCell="A43" zoomScale="85" zoomScaleNormal="85" zoomScaleSheetLayoutView="85" workbookViewId="0">
      <selection activeCell="D62" sqref="D62"/>
    </sheetView>
  </sheetViews>
  <sheetFormatPr defaultColWidth="9" defaultRowHeight="18"/>
  <cols>
    <col min="1" max="1" width="11" style="23" bestFit="1" customWidth="1"/>
    <col min="2" max="2" width="9" style="23"/>
    <col min="3" max="3" width="24.5" style="23" bestFit="1" customWidth="1"/>
    <col min="4" max="4" width="24.5" style="23" customWidth="1"/>
    <col min="5" max="5" width="62.19921875" style="23" customWidth="1"/>
    <col min="6" max="16384" width="9" style="23"/>
  </cols>
  <sheetData>
    <row r="1" spans="1:5">
      <c r="A1" s="179" t="s">
        <v>467</v>
      </c>
      <c r="B1" s="179"/>
      <c r="C1" s="179"/>
      <c r="D1" s="43"/>
      <c r="E1" s="22" t="s">
        <v>129</v>
      </c>
    </row>
    <row r="2" spans="1:5">
      <c r="A2" s="180" t="s">
        <v>2</v>
      </c>
      <c r="B2" s="24"/>
      <c r="C2" s="24"/>
      <c r="D2" s="24"/>
      <c r="E2" s="24"/>
    </row>
    <row r="3" spans="1:5">
      <c r="A3" s="180"/>
      <c r="B3" s="180" t="s">
        <v>3</v>
      </c>
      <c r="C3" s="24"/>
      <c r="D3" s="24" t="s">
        <v>232</v>
      </c>
      <c r="E3" s="24"/>
    </row>
    <row r="4" spans="1:5">
      <c r="A4" s="180"/>
      <c r="B4" s="180"/>
      <c r="C4" s="24" t="s">
        <v>4</v>
      </c>
      <c r="D4" s="24" t="s">
        <v>233</v>
      </c>
      <c r="E4" s="25" t="s">
        <v>141</v>
      </c>
    </row>
    <row r="5" spans="1:5">
      <c r="A5" s="180"/>
      <c r="B5" s="180"/>
      <c r="C5" s="26" t="s">
        <v>5</v>
      </c>
      <c r="D5" s="24" t="s">
        <v>252</v>
      </c>
      <c r="E5" s="40" t="s">
        <v>365</v>
      </c>
    </row>
    <row r="6" spans="1:5">
      <c r="A6" s="180"/>
      <c r="B6" s="180"/>
      <c r="C6" s="24" t="s">
        <v>6</v>
      </c>
      <c r="D6" s="24" t="s">
        <v>234</v>
      </c>
      <c r="E6" s="28" t="s">
        <v>59</v>
      </c>
    </row>
    <row r="7" spans="1:5">
      <c r="A7" s="180"/>
      <c r="B7" s="180"/>
      <c r="C7" s="24" t="s">
        <v>7</v>
      </c>
      <c r="D7" s="24" t="s">
        <v>235</v>
      </c>
      <c r="E7" s="25" t="s">
        <v>60</v>
      </c>
    </row>
    <row r="8" spans="1:5">
      <c r="A8" s="180"/>
      <c r="B8" s="180"/>
      <c r="C8" s="24" t="s">
        <v>130</v>
      </c>
      <c r="D8" s="24" t="s">
        <v>196</v>
      </c>
      <c r="E8" s="1" t="str">
        <f>"リクエスト「" &amp; C8  &amp; "」の値を設定"</f>
        <v>リクエスト「店　番」の値を設定</v>
      </c>
    </row>
    <row r="9" spans="1:5">
      <c r="A9" s="180"/>
      <c r="B9" s="180"/>
      <c r="C9" s="24" t="s">
        <v>8</v>
      </c>
      <c r="D9" s="24" t="s">
        <v>191</v>
      </c>
      <c r="E9" s="27" t="s">
        <v>62</v>
      </c>
    </row>
    <row r="10" spans="1:5">
      <c r="A10" s="180"/>
      <c r="B10" s="180"/>
      <c r="C10" s="24" t="s">
        <v>131</v>
      </c>
      <c r="D10" s="24" t="s">
        <v>198</v>
      </c>
      <c r="E10" s="1" t="str">
        <f t="shared" ref="E10:E11" si="0">"リクエスト「" &amp; C10  &amp; "」の値を設定"</f>
        <v>リクエスト「レジNo.」の値を設定</v>
      </c>
    </row>
    <row r="11" spans="1:5">
      <c r="A11" s="180"/>
      <c r="B11" s="180"/>
      <c r="C11" s="24" t="s">
        <v>132</v>
      </c>
      <c r="D11" s="24" t="s">
        <v>199</v>
      </c>
      <c r="E11" s="1" t="str">
        <f t="shared" si="0"/>
        <v>リクエスト「チケット発券操作レジNo.」の値を設定</v>
      </c>
    </row>
    <row r="12" spans="1:5">
      <c r="A12" s="180"/>
      <c r="B12" s="180"/>
      <c r="C12" s="24" t="s">
        <v>133</v>
      </c>
      <c r="D12" s="24" t="s">
        <v>253</v>
      </c>
      <c r="E12" s="28" t="s">
        <v>142</v>
      </c>
    </row>
    <row r="13" spans="1:5">
      <c r="A13" s="180"/>
      <c r="B13" s="180"/>
      <c r="C13" s="24" t="s">
        <v>134</v>
      </c>
      <c r="D13" s="24" t="s">
        <v>254</v>
      </c>
      <c r="E13" s="40" t="s">
        <v>365</v>
      </c>
    </row>
    <row r="14" spans="1:5">
      <c r="A14" s="180"/>
      <c r="B14" s="180"/>
      <c r="C14" s="24" t="s">
        <v>13</v>
      </c>
      <c r="D14" s="24" t="s">
        <v>255</v>
      </c>
      <c r="E14" s="1" t="str">
        <f t="shared" ref="E14:E15" si="1">"リクエスト「" &amp; C14  &amp; "」の値を設定"</f>
        <v>リクエスト「利用年月日時分秒」の値を設定</v>
      </c>
    </row>
    <row r="15" spans="1:5">
      <c r="A15" s="180"/>
      <c r="B15" s="180"/>
      <c r="C15" s="24" t="s">
        <v>14</v>
      </c>
      <c r="D15" s="24" t="s">
        <v>237</v>
      </c>
      <c r="E15" s="1" t="str">
        <f t="shared" si="1"/>
        <v>リクエスト「処理通番」の値を設定</v>
      </c>
    </row>
    <row r="16" spans="1:5">
      <c r="A16" s="180"/>
      <c r="B16" s="180"/>
      <c r="C16" s="24" t="s">
        <v>15</v>
      </c>
      <c r="D16" s="24" t="s">
        <v>256</v>
      </c>
      <c r="E16" s="27" t="s">
        <v>143</v>
      </c>
    </row>
    <row r="17" spans="1:5">
      <c r="A17" s="180"/>
      <c r="B17" s="180"/>
      <c r="C17" s="24" t="s">
        <v>16</v>
      </c>
      <c r="D17" s="24" t="s">
        <v>205</v>
      </c>
      <c r="E17" s="1" t="str">
        <f>"リクエスト「" &amp; C17  &amp; "」の値を設定"</f>
        <v>リクエスト「要求区分」の値を設定</v>
      </c>
    </row>
    <row r="18" spans="1:5">
      <c r="A18" s="180"/>
      <c r="B18" s="180"/>
      <c r="C18" s="24" t="s">
        <v>17</v>
      </c>
      <c r="D18" s="24" t="s">
        <v>257</v>
      </c>
      <c r="E18" s="1" t="str">
        <f>"リクエスト「" &amp; C18  &amp; "」の値を設定"</f>
        <v>リクエスト「問合せ・完了区分」の値を設定</v>
      </c>
    </row>
    <row r="19" spans="1:5">
      <c r="A19" s="180"/>
      <c r="B19" s="180" t="s">
        <v>135</v>
      </c>
      <c r="C19" s="24"/>
      <c r="D19" s="24" t="s">
        <v>207</v>
      </c>
      <c r="E19" s="25"/>
    </row>
    <row r="20" spans="1:5">
      <c r="A20" s="180"/>
      <c r="B20" s="180"/>
      <c r="C20" s="24" t="s">
        <v>136</v>
      </c>
      <c r="D20" s="24" t="s">
        <v>258</v>
      </c>
      <c r="E20" s="1" t="str">
        <f>"リクエスト「" &amp; C20  &amp; "」の値を設定"</f>
        <v>リクエスト「決済ＩＤ（検索キー）」の値を設定</v>
      </c>
    </row>
    <row r="21" spans="1:5" ht="27" customHeight="1">
      <c r="A21" s="180"/>
      <c r="B21" s="180"/>
      <c r="C21" s="24" t="s">
        <v>20</v>
      </c>
      <c r="D21" s="24" t="s">
        <v>259</v>
      </c>
      <c r="E21" s="155" t="str">
        <f>"リクエスト「" &amp; C21  &amp; "」の値を設定"</f>
        <v>リクエスト「バーコードNo.」の値を設定</v>
      </c>
    </row>
    <row r="22" spans="1:5">
      <c r="A22" s="180"/>
      <c r="B22" s="180"/>
      <c r="C22" s="24" t="s">
        <v>137</v>
      </c>
      <c r="D22" s="24" t="s">
        <v>260</v>
      </c>
      <c r="E22" s="25" t="s">
        <v>144</v>
      </c>
    </row>
    <row r="23" spans="1:5">
      <c r="A23" s="180"/>
      <c r="B23" s="180"/>
      <c r="C23" s="24" t="s">
        <v>138</v>
      </c>
      <c r="D23" s="24" t="s">
        <v>261</v>
      </c>
      <c r="E23" s="25" t="s">
        <v>145</v>
      </c>
    </row>
    <row r="24" spans="1:5">
      <c r="A24" s="180"/>
      <c r="B24" s="180"/>
      <c r="C24" s="24" t="s">
        <v>31</v>
      </c>
      <c r="D24" s="24" t="s">
        <v>262</v>
      </c>
      <c r="E24" s="40" t="s">
        <v>365</v>
      </c>
    </row>
    <row r="25" spans="1:5">
      <c r="A25" s="180"/>
      <c r="B25" s="180"/>
      <c r="C25" s="24" t="s">
        <v>139</v>
      </c>
      <c r="D25" s="24" t="s">
        <v>263</v>
      </c>
      <c r="E25" s="40" t="s">
        <v>365</v>
      </c>
    </row>
    <row r="26" spans="1:5">
      <c r="A26" s="180"/>
      <c r="B26" s="180"/>
      <c r="C26" s="24" t="s">
        <v>140</v>
      </c>
      <c r="D26" s="116" t="s">
        <v>264</v>
      </c>
      <c r="E26" s="25" t="s">
        <v>146</v>
      </c>
    </row>
    <row r="27" spans="1:5">
      <c r="A27" s="180"/>
      <c r="B27" s="180"/>
      <c r="C27" s="24" t="s">
        <v>1</v>
      </c>
      <c r="D27" s="24" t="s">
        <v>211</v>
      </c>
      <c r="E27" s="40" t="s">
        <v>365</v>
      </c>
    </row>
    <row r="29" spans="1:5" s="3" customFormat="1">
      <c r="A29" s="181" t="s">
        <v>449</v>
      </c>
      <c r="B29" s="181"/>
      <c r="C29" s="181"/>
      <c r="D29" s="46" t="s">
        <v>190</v>
      </c>
      <c r="E29" s="2" t="s">
        <v>74</v>
      </c>
    </row>
    <row r="30" spans="1:5" s="3" customFormat="1">
      <c r="A30" s="182" t="s">
        <v>2</v>
      </c>
      <c r="B30" s="4"/>
      <c r="C30" s="4"/>
      <c r="D30" s="47"/>
      <c r="E30" s="4"/>
    </row>
    <row r="31" spans="1:5" s="3" customFormat="1">
      <c r="A31" s="183"/>
      <c r="B31" s="182" t="s">
        <v>3</v>
      </c>
      <c r="C31" s="4"/>
      <c r="D31" s="51" t="s">
        <v>321</v>
      </c>
      <c r="E31" s="4"/>
    </row>
    <row r="32" spans="1:5" s="3" customFormat="1" ht="18.75" customHeight="1">
      <c r="A32" s="183"/>
      <c r="B32" s="183"/>
      <c r="C32" s="4" t="s">
        <v>4</v>
      </c>
      <c r="D32" s="48" t="s">
        <v>192</v>
      </c>
      <c r="E32" s="15" t="s">
        <v>61</v>
      </c>
    </row>
    <row r="33" spans="1:5" s="3" customFormat="1" ht="18.75" customHeight="1">
      <c r="A33" s="183"/>
      <c r="B33" s="183"/>
      <c r="C33" s="106" t="s">
        <v>5</v>
      </c>
      <c r="D33" s="107" t="s">
        <v>193</v>
      </c>
      <c r="E33" s="15" t="s">
        <v>450</v>
      </c>
    </row>
    <row r="34" spans="1:5" s="3" customFormat="1">
      <c r="A34" s="183"/>
      <c r="B34" s="183"/>
      <c r="C34" s="4" t="s">
        <v>6</v>
      </c>
      <c r="D34" s="48" t="s">
        <v>194</v>
      </c>
      <c r="E34" s="15" t="s">
        <v>59</v>
      </c>
    </row>
    <row r="35" spans="1:5" s="3" customFormat="1">
      <c r="A35" s="183"/>
      <c r="B35" s="183"/>
      <c r="C35" s="4" t="s">
        <v>7</v>
      </c>
      <c r="D35" s="48" t="s">
        <v>195</v>
      </c>
      <c r="E35" s="5" t="s">
        <v>60</v>
      </c>
    </row>
    <row r="36" spans="1:5" s="3" customFormat="1">
      <c r="A36" s="183"/>
      <c r="B36" s="183"/>
      <c r="C36" s="8" t="s">
        <v>69</v>
      </c>
      <c r="D36" s="48" t="s">
        <v>196</v>
      </c>
      <c r="E36" s="1" t="str">
        <f>"リクエスト「" &amp; C36  &amp; "」の値を設定"</f>
        <v>リクエスト「店　番」の値を設定</v>
      </c>
    </row>
    <row r="37" spans="1:5" s="3" customFormat="1">
      <c r="A37" s="183"/>
      <c r="B37" s="183"/>
      <c r="C37" s="8" t="s">
        <v>8</v>
      </c>
      <c r="D37" s="48" t="s">
        <v>197</v>
      </c>
      <c r="E37" s="1" t="s">
        <v>62</v>
      </c>
    </row>
    <row r="38" spans="1:5" s="3" customFormat="1">
      <c r="A38" s="183"/>
      <c r="B38" s="183"/>
      <c r="C38" s="8" t="s">
        <v>9</v>
      </c>
      <c r="D38" s="48" t="s">
        <v>198</v>
      </c>
      <c r="E38" s="1" t="str">
        <f t="shared" ref="E38:E39" si="2">"リクエスト「" &amp; C38  &amp; "」の値を設定"</f>
        <v>リクエスト「レジ　No.」の値を設定</v>
      </c>
    </row>
    <row r="39" spans="1:5" s="3" customFormat="1">
      <c r="A39" s="183"/>
      <c r="B39" s="183"/>
      <c r="C39" s="4" t="s">
        <v>10</v>
      </c>
      <c r="D39" s="48" t="s">
        <v>199</v>
      </c>
      <c r="E39" s="1" t="str">
        <f t="shared" si="2"/>
        <v>リクエスト「チケット発券操作レジＮｏ．」の値を設定</v>
      </c>
    </row>
    <row r="40" spans="1:5" s="3" customFormat="1">
      <c r="A40" s="183"/>
      <c r="B40" s="183"/>
      <c r="C40" s="4" t="s">
        <v>11</v>
      </c>
      <c r="D40" s="48" t="s">
        <v>200</v>
      </c>
      <c r="E40" s="15" t="s">
        <v>58</v>
      </c>
    </row>
    <row r="41" spans="1:5" s="3" customFormat="1">
      <c r="A41" s="183"/>
      <c r="B41" s="183"/>
      <c r="C41" s="8" t="s">
        <v>12</v>
      </c>
      <c r="D41" s="48" t="s">
        <v>201</v>
      </c>
      <c r="E41" s="15" t="s">
        <v>58</v>
      </c>
    </row>
    <row r="42" spans="1:5" s="3" customFormat="1">
      <c r="A42" s="183"/>
      <c r="B42" s="183"/>
      <c r="C42" s="8" t="s">
        <v>13</v>
      </c>
      <c r="D42" s="48" t="s">
        <v>202</v>
      </c>
      <c r="E42" s="1" t="str">
        <f t="shared" ref="E42:E45" si="3">"リクエスト「" &amp; C42  &amp; "」の値を設定"</f>
        <v>リクエスト「利用年月日時分秒」の値を設定</v>
      </c>
    </row>
    <row r="43" spans="1:5" s="3" customFormat="1" ht="18.75" customHeight="1">
      <c r="A43" s="183"/>
      <c r="B43" s="183"/>
      <c r="C43" s="8" t="s">
        <v>14</v>
      </c>
      <c r="D43" s="48" t="s">
        <v>203</v>
      </c>
      <c r="E43" s="1" t="str">
        <f t="shared" si="3"/>
        <v>リクエスト「処理通番」の値を設定</v>
      </c>
    </row>
    <row r="44" spans="1:5" s="3" customFormat="1">
      <c r="A44" s="183"/>
      <c r="B44" s="183"/>
      <c r="C44" s="8" t="s">
        <v>177</v>
      </c>
      <c r="D44" s="48" t="s">
        <v>204</v>
      </c>
      <c r="E44" s="1" t="str">
        <f t="shared" si="3"/>
        <v>リクエスト「再送区分」の値を設定</v>
      </c>
    </row>
    <row r="45" spans="1:5" s="3" customFormat="1" ht="18.75" customHeight="1">
      <c r="A45" s="183"/>
      <c r="B45" s="183"/>
      <c r="C45" s="8" t="s">
        <v>16</v>
      </c>
      <c r="D45" s="48" t="s">
        <v>205</v>
      </c>
      <c r="E45" s="1" t="str">
        <f t="shared" si="3"/>
        <v>リクエスト「要求区分」の値を設定</v>
      </c>
    </row>
    <row r="46" spans="1:5" s="3" customFormat="1" ht="18.75" customHeight="1">
      <c r="A46" s="183"/>
      <c r="B46" s="184"/>
      <c r="C46" s="8" t="s">
        <v>17</v>
      </c>
      <c r="D46" s="48" t="s">
        <v>206</v>
      </c>
      <c r="E46" s="1" t="str">
        <f>"リクエスト「" &amp; C46  &amp; "」の値を設定"</f>
        <v>リクエスト「問合せ・完了区分」の値を設定</v>
      </c>
    </row>
    <row r="47" spans="1:5" s="3" customFormat="1" ht="18.75" customHeight="1">
      <c r="A47" s="183"/>
      <c r="B47" s="182" t="s">
        <v>18</v>
      </c>
      <c r="C47" s="8"/>
      <c r="D47" s="48" t="s">
        <v>208</v>
      </c>
      <c r="E47" s="1"/>
    </row>
    <row r="48" spans="1:5" s="3" customFormat="1">
      <c r="A48" s="183"/>
      <c r="B48" s="183"/>
      <c r="C48" s="8" t="s">
        <v>19</v>
      </c>
      <c r="D48" s="48" t="s">
        <v>209</v>
      </c>
      <c r="E48" s="1" t="str">
        <f>"リクエスト「" &amp; C48  &amp; "」の値を設定"</f>
        <v>リクエスト「決済ＩＤ(検索キー）」の値を設定</v>
      </c>
    </row>
    <row r="49" spans="1:5" s="3" customFormat="1" ht="18.75" customHeight="1">
      <c r="A49" s="183"/>
      <c r="B49" s="183"/>
      <c r="C49" s="8" t="s">
        <v>20</v>
      </c>
      <c r="D49" s="48" t="s">
        <v>210</v>
      </c>
      <c r="E49" s="5" t="s">
        <v>81</v>
      </c>
    </row>
    <row r="50" spans="1:5" s="3" customFormat="1" ht="18.75" customHeight="1">
      <c r="A50" s="183"/>
      <c r="B50" s="183"/>
      <c r="C50" s="106" t="s">
        <v>1</v>
      </c>
      <c r="D50" s="52" t="s">
        <v>325</v>
      </c>
      <c r="E50" s="15" t="s">
        <v>450</v>
      </c>
    </row>
    <row r="51" spans="1:5" s="3" customFormat="1" ht="18.75" customHeight="1">
      <c r="A51" s="183"/>
      <c r="B51" s="183"/>
      <c r="C51" s="6" t="s">
        <v>21</v>
      </c>
      <c r="D51" s="52" t="s">
        <v>323</v>
      </c>
      <c r="E51" s="7" t="s">
        <v>106</v>
      </c>
    </row>
    <row r="52" spans="1:5" s="3" customFormat="1" ht="18.75" customHeight="1">
      <c r="A52" s="183"/>
      <c r="B52" s="183"/>
      <c r="C52" s="6" t="s">
        <v>22</v>
      </c>
      <c r="D52" s="52" t="s">
        <v>212</v>
      </c>
      <c r="E52" s="7" t="s">
        <v>106</v>
      </c>
    </row>
    <row r="53" spans="1:5" s="3" customFormat="1" ht="18.75" customHeight="1">
      <c r="A53" s="183"/>
      <c r="B53" s="183"/>
      <c r="C53" s="4" t="s">
        <v>23</v>
      </c>
      <c r="D53" s="48" t="s">
        <v>213</v>
      </c>
      <c r="E53" s="5" t="s">
        <v>70</v>
      </c>
    </row>
    <row r="54" spans="1:5" s="3" customFormat="1">
      <c r="A54" s="183"/>
      <c r="B54" s="183"/>
      <c r="C54" s="4" t="s">
        <v>24</v>
      </c>
      <c r="D54" s="48" t="s">
        <v>214</v>
      </c>
      <c r="E54" s="5" t="s">
        <v>78</v>
      </c>
    </row>
    <row r="55" spans="1:5" s="3" customFormat="1">
      <c r="A55" s="183"/>
      <c r="B55" s="183"/>
      <c r="C55" s="4" t="s">
        <v>25</v>
      </c>
      <c r="D55" s="48" t="s">
        <v>215</v>
      </c>
      <c r="E55" s="5" t="s">
        <v>79</v>
      </c>
    </row>
    <row r="56" spans="1:5" s="3" customFormat="1">
      <c r="A56" s="183"/>
      <c r="B56" s="183"/>
      <c r="C56" s="4" t="s">
        <v>26</v>
      </c>
      <c r="D56" s="48" t="s">
        <v>216</v>
      </c>
      <c r="E56" s="5" t="s">
        <v>80</v>
      </c>
    </row>
    <row r="57" spans="1:5" s="3" customFormat="1">
      <c r="A57" s="183"/>
      <c r="B57" s="183"/>
      <c r="C57" s="6" t="s">
        <v>27</v>
      </c>
      <c r="D57" s="52" t="s">
        <v>217</v>
      </c>
      <c r="E57" s="7" t="s">
        <v>106</v>
      </c>
    </row>
    <row r="58" spans="1:5" s="3" customFormat="1">
      <c r="A58" s="183"/>
      <c r="B58" s="183"/>
      <c r="C58" s="6" t="s">
        <v>28</v>
      </c>
      <c r="D58" s="160" t="s">
        <v>218</v>
      </c>
      <c r="E58" s="7" t="s">
        <v>106</v>
      </c>
    </row>
    <row r="59" spans="1:5" s="3" customFormat="1">
      <c r="A59" s="183"/>
      <c r="B59" s="183"/>
      <c r="C59" s="6" t="s">
        <v>29</v>
      </c>
      <c r="D59" s="52" t="s">
        <v>219</v>
      </c>
      <c r="E59" s="7" t="s">
        <v>106</v>
      </c>
    </row>
    <row r="60" spans="1:5" s="3" customFormat="1">
      <c r="A60" s="183"/>
      <c r="B60" s="183"/>
      <c r="C60" s="6" t="s">
        <v>71</v>
      </c>
      <c r="D60" s="52" t="s">
        <v>220</v>
      </c>
      <c r="E60" s="7" t="s">
        <v>106</v>
      </c>
    </row>
    <row r="61" spans="1:5" s="3" customFormat="1">
      <c r="A61" s="183"/>
      <c r="B61" s="183"/>
      <c r="C61" s="4" t="s">
        <v>30</v>
      </c>
      <c r="D61" s="48" t="s">
        <v>221</v>
      </c>
      <c r="E61" s="5" t="s">
        <v>64</v>
      </c>
    </row>
    <row r="62" spans="1:5" s="3" customFormat="1">
      <c r="A62" s="183"/>
      <c r="B62" s="183"/>
      <c r="C62" s="6" t="s">
        <v>31</v>
      </c>
      <c r="D62" s="52" t="s">
        <v>222</v>
      </c>
      <c r="E62" s="7" t="s">
        <v>106</v>
      </c>
    </row>
    <row r="63" spans="1:5" s="3" customFormat="1">
      <c r="A63" s="183"/>
      <c r="B63" s="183"/>
      <c r="C63" s="6" t="s">
        <v>118</v>
      </c>
      <c r="D63" s="52" t="s">
        <v>223</v>
      </c>
      <c r="E63" s="7" t="s">
        <v>106</v>
      </c>
    </row>
    <row r="64" spans="1:5" s="3" customFormat="1">
      <c r="A64" s="183"/>
      <c r="B64" s="183"/>
      <c r="C64" s="20" t="s">
        <v>32</v>
      </c>
      <c r="D64" s="48" t="s">
        <v>224</v>
      </c>
      <c r="E64" s="5" t="s">
        <v>416</v>
      </c>
    </row>
    <row r="65" spans="1:5" s="3" customFormat="1">
      <c r="A65" s="183"/>
      <c r="B65" s="183"/>
      <c r="C65" s="4" t="s">
        <v>33</v>
      </c>
      <c r="D65" s="48" t="s">
        <v>225</v>
      </c>
      <c r="E65" s="5" t="s">
        <v>75</v>
      </c>
    </row>
    <row r="66" spans="1:5" s="3" customFormat="1">
      <c r="A66" s="183"/>
      <c r="B66" s="183"/>
      <c r="C66" s="4" t="s">
        <v>34</v>
      </c>
      <c r="D66" s="48" t="s">
        <v>226</v>
      </c>
      <c r="E66" s="5" t="s">
        <v>76</v>
      </c>
    </row>
    <row r="67" spans="1:5" s="3" customFormat="1">
      <c r="A67" s="183"/>
      <c r="B67" s="184"/>
      <c r="C67" s="4" t="s">
        <v>35</v>
      </c>
      <c r="D67" s="48" t="s">
        <v>227</v>
      </c>
      <c r="E67" s="5" t="s">
        <v>77</v>
      </c>
    </row>
    <row r="68" spans="1:5" s="3" customFormat="1" ht="18" customHeight="1">
      <c r="A68" s="183"/>
      <c r="B68" s="185" t="s">
        <v>72</v>
      </c>
      <c r="C68" s="4"/>
      <c r="D68" s="51" t="s">
        <v>322</v>
      </c>
      <c r="E68" s="7" t="s">
        <v>106</v>
      </c>
    </row>
    <row r="69" spans="1:5" s="3" customFormat="1" ht="72">
      <c r="A69" s="183"/>
      <c r="B69" s="186"/>
      <c r="C69" s="18" t="s">
        <v>84</v>
      </c>
      <c r="D69" s="48" t="s">
        <v>228</v>
      </c>
      <c r="E69" s="86" t="s">
        <v>443</v>
      </c>
    </row>
    <row r="70" spans="1:5" s="3" customFormat="1" ht="72">
      <c r="A70" s="183"/>
      <c r="B70" s="186"/>
      <c r="C70" s="18" t="s">
        <v>83</v>
      </c>
      <c r="D70" s="48" t="s">
        <v>229</v>
      </c>
      <c r="E70" s="86" t="s">
        <v>442</v>
      </c>
    </row>
    <row r="71" spans="1:5" s="3" customFormat="1" ht="72">
      <c r="A71" s="184"/>
      <c r="B71" s="187"/>
      <c r="C71" s="18" t="s">
        <v>82</v>
      </c>
      <c r="D71" s="48" t="s">
        <v>230</v>
      </c>
      <c r="E71" s="86" t="s">
        <v>487</v>
      </c>
    </row>
  </sheetData>
  <mergeCells count="10">
    <mergeCell ref="A30:A67"/>
    <mergeCell ref="B31:B46"/>
    <mergeCell ref="B47:B67"/>
    <mergeCell ref="A68:A71"/>
    <mergeCell ref="B68:B71"/>
    <mergeCell ref="A1:C1"/>
    <mergeCell ref="A2:A27"/>
    <mergeCell ref="B3:B18"/>
    <mergeCell ref="B19:B27"/>
    <mergeCell ref="A29:C29"/>
  </mergeCells>
  <phoneticPr fontId="27"/>
  <pageMargins left="0.70866141732283472" right="0.70866141732283472" top="0.74803149606299213" bottom="0.74803149606299213" header="0.31496062992125984" footer="0.31496062992125984"/>
  <pageSetup paperSize="8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A27C-8F28-4E06-AC5C-1F0E89D38166}">
  <sheetPr>
    <pageSetUpPr fitToPage="1"/>
  </sheetPr>
  <dimension ref="A1:AJ61"/>
  <sheetViews>
    <sheetView view="pageBreakPreview" zoomScale="70" zoomScaleNormal="70" zoomScaleSheetLayoutView="70" workbookViewId="0">
      <pane xSplit="1" ySplit="3" topLeftCell="B30" activePane="bottomRight" state="frozen"/>
      <selection pane="topRight" activeCell="B1" sqref="B1"/>
      <selection pane="bottomLeft" activeCell="A4" sqref="A4"/>
      <selection pane="bottomRight" activeCell="B38" sqref="B38"/>
    </sheetView>
  </sheetViews>
  <sheetFormatPr defaultColWidth="8.69921875" defaultRowHeight="18"/>
  <cols>
    <col min="1" max="1" width="25.3984375" style="9" customWidth="1"/>
    <col min="2" max="2" width="30.19921875" style="9" customWidth="1"/>
    <col min="3" max="3" width="17.59765625" style="9" customWidth="1"/>
    <col min="4" max="4" width="27.69921875" style="9" bestFit="1" customWidth="1"/>
    <col min="5" max="5" width="30.19921875" style="9" bestFit="1" customWidth="1"/>
    <col min="6" max="6" width="31.8984375" style="9" bestFit="1" customWidth="1"/>
    <col min="7" max="7" width="26.09765625" style="9" bestFit="1" customWidth="1"/>
    <col min="8" max="8" width="34.8984375" style="9" bestFit="1" customWidth="1"/>
    <col min="9" max="9" width="20.19921875" style="9" customWidth="1"/>
    <col min="10" max="10" width="40.09765625" style="38" bestFit="1" customWidth="1"/>
    <col min="11" max="11" width="21.19921875" style="38" bestFit="1" customWidth="1"/>
    <col min="12" max="12" width="34" style="38" bestFit="1" customWidth="1"/>
    <col min="13" max="13" width="17.5" style="38" bestFit="1" customWidth="1"/>
    <col min="14" max="14" width="15.09765625" style="57" customWidth="1"/>
    <col min="15" max="16384" width="8.69921875" style="9"/>
  </cols>
  <sheetData>
    <row r="1" spans="1:14" ht="40.200000000000003" customHeight="1">
      <c r="A1" s="193" t="s">
        <v>53</v>
      </c>
      <c r="B1" s="199" t="str">
        <f xml:space="preserve"> "レスポンスパターン" &amp; "（" &amp; SUM(B20:M20) &amp; "ビット）"</f>
        <v>レスポンスパターン（23ビット）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  <c r="N1" s="188" t="s">
        <v>347</v>
      </c>
    </row>
    <row r="2" spans="1:14" ht="40.200000000000003" customHeight="1">
      <c r="A2" s="193"/>
      <c r="B2" s="189" t="str">
        <f xml:space="preserve"> "問合せレスポンスパターン" &amp; "（" &amp; SUM(B20:I20) &amp; "ビット）"</f>
        <v>問合せレスポンスパターン（14ビット）</v>
      </c>
      <c r="C2" s="195"/>
      <c r="D2" s="195"/>
      <c r="E2" s="195"/>
      <c r="F2" s="195"/>
      <c r="G2" s="195"/>
      <c r="H2" s="195"/>
      <c r="I2" s="196"/>
      <c r="J2" s="197" t="str">
        <f xml:space="preserve"> "完了通知実施レスポンス" &amp; "（" &amp; SUM(J20:M20) &amp; "ビット）"</f>
        <v>完了通知実施レスポンス（9ビット）</v>
      </c>
      <c r="K2" s="198"/>
      <c r="L2" s="198"/>
      <c r="M2" s="198"/>
      <c r="N2" s="188"/>
    </row>
    <row r="3" spans="1:14" ht="36">
      <c r="A3" s="193"/>
      <c r="B3" s="12" t="str">
        <f xml:space="preserve"> "支払種別" &amp; CHAR(10) &amp; "（" &amp; B20 &amp; "ビット）"</f>
        <v>支払種別
（2ビット）</v>
      </c>
      <c r="C3" s="12" t="str">
        <f xml:space="preserve"> "納品種別" &amp; CHAR(10) &amp; "（" &amp; C20 &amp; "ビット）"</f>
        <v>納品種別
（1ビット）</v>
      </c>
      <c r="D3" s="12" t="str">
        <f xml:space="preserve"> "売上計上区分" &amp; CHAR(10) &amp; "（" &amp; D20 &amp; "ビット）"</f>
        <v>売上計上区分
（2ビット）</v>
      </c>
      <c r="E3" s="12" t="str">
        <f xml:space="preserve"> "印紙基準額/収納金額" &amp; CHAR(10) &amp; "（" &amp; E20 &amp; "ビット）"</f>
        <v>印紙基準額/収納金額
（2ビット）</v>
      </c>
      <c r="F3" s="12" t="str">
        <f xml:space="preserve"> "価格変更フラグ" &amp; CHAR(10) &amp; "（" &amp; F20 &amp; "ビット）"</f>
        <v>価格変更フラグ
（1ビット）</v>
      </c>
      <c r="G3" s="12" t="str">
        <f xml:space="preserve"> "機能区分" &amp; CHAR(10) &amp; "（" &amp; G20 &amp; "ビット）"</f>
        <v>機能区分
（1ビット）</v>
      </c>
      <c r="H3" s="12" t="str">
        <f xml:space="preserve"> "SHOPCD" &amp; CHAR(10) &amp; "（" &amp; H20 &amp; "ビット）"</f>
        <v>SHOPCD
（2ビット）</v>
      </c>
      <c r="I3" s="12" t="str">
        <f xml:space="preserve"> "チケット発券個別情報" &amp; CHAR(10) &amp; "（" &amp; I20 &amp; "ビット）"</f>
        <v>チケット発券個別情報
（3ビット）</v>
      </c>
      <c r="J3" s="35" t="str">
        <f xml:space="preserve"> "処理結果" &amp; CHAR(10) &amp; "（" &amp; J20 &amp; "ビット）"</f>
        <v>処理結果
（3ビット）</v>
      </c>
      <c r="K3" s="35" t="str">
        <f xml:space="preserve"> "応答結果" &amp; CHAR(10) &amp; "（" &amp; K20 &amp; "ビット）"</f>
        <v>応答結果
（2ビット）</v>
      </c>
      <c r="L3" s="35" t="str">
        <f xml:space="preserve"> "支払方法区分" &amp; CHAR(10) &amp; "（" &amp; L20 &amp; "ビット）"</f>
        <v>支払方法区分
（2ビット）</v>
      </c>
      <c r="M3" s="35" t="str">
        <f xml:space="preserve"> "成功まで失敗回数" &amp; CHAR(10) &amp; "（" &amp; M20 &amp; "ビット）"</f>
        <v>成功まで失敗回数
（2ビット）</v>
      </c>
      <c r="N3" s="188"/>
    </row>
    <row r="4" spans="1:14">
      <c r="A4" s="21">
        <v>0</v>
      </c>
      <c r="B4" s="11" t="s">
        <v>51</v>
      </c>
      <c r="C4" s="56" t="s">
        <v>329</v>
      </c>
      <c r="D4" s="11" t="s">
        <v>49</v>
      </c>
      <c r="E4" s="112" t="s">
        <v>453</v>
      </c>
      <c r="F4" s="11" t="s">
        <v>48</v>
      </c>
      <c r="G4" s="11" t="s">
        <v>38</v>
      </c>
      <c r="H4" s="11" t="s">
        <v>47</v>
      </c>
      <c r="I4" s="152" t="s">
        <v>500</v>
      </c>
      <c r="J4" s="36" t="s">
        <v>168</v>
      </c>
      <c r="K4" s="1" t="s">
        <v>156</v>
      </c>
      <c r="L4" s="1" t="s">
        <v>173</v>
      </c>
      <c r="M4" s="33">
        <v>0</v>
      </c>
      <c r="N4" s="76">
        <v>0</v>
      </c>
    </row>
    <row r="5" spans="1:14">
      <c r="A5" s="21">
        <v>1</v>
      </c>
      <c r="B5" s="11" t="s">
        <v>46</v>
      </c>
      <c r="C5" s="56" t="s">
        <v>328</v>
      </c>
      <c r="D5" s="11" t="s">
        <v>44</v>
      </c>
      <c r="E5" s="11" t="s">
        <v>41</v>
      </c>
      <c r="F5" s="11" t="s">
        <v>43</v>
      </c>
      <c r="G5" s="11" t="s">
        <v>36</v>
      </c>
      <c r="H5" s="108" t="s">
        <v>42</v>
      </c>
      <c r="I5" s="17" t="s">
        <v>67</v>
      </c>
      <c r="J5" s="39" t="s">
        <v>176</v>
      </c>
      <c r="K5" s="1" t="s">
        <v>170</v>
      </c>
      <c r="L5" s="1" t="s">
        <v>174</v>
      </c>
      <c r="M5" s="33">
        <v>5</v>
      </c>
      <c r="N5" s="76">
        <v>1</v>
      </c>
    </row>
    <row r="6" spans="1:14">
      <c r="A6" s="21">
        <v>10</v>
      </c>
      <c r="B6" s="11" t="s">
        <v>40</v>
      </c>
      <c r="C6" s="10"/>
      <c r="D6" s="11" t="s">
        <v>39</v>
      </c>
      <c r="E6" s="16" t="s">
        <v>63</v>
      </c>
      <c r="F6" s="10"/>
      <c r="G6" s="10"/>
      <c r="H6" s="109" t="s">
        <v>367</v>
      </c>
      <c r="I6" s="55" t="s">
        <v>326</v>
      </c>
      <c r="J6" s="36" t="s">
        <v>169</v>
      </c>
      <c r="K6" s="1" t="s">
        <v>172</v>
      </c>
      <c r="L6" s="1" t="s">
        <v>175</v>
      </c>
      <c r="M6" s="33">
        <v>10</v>
      </c>
      <c r="N6" s="77">
        <v>2</v>
      </c>
    </row>
    <row r="7" spans="1:14">
      <c r="A7" s="21">
        <v>11</v>
      </c>
      <c r="B7" s="10"/>
      <c r="C7" s="10"/>
      <c r="D7" s="10"/>
      <c r="E7" s="11" t="s">
        <v>37</v>
      </c>
      <c r="F7" s="10"/>
      <c r="G7" s="10"/>
      <c r="H7" s="109" t="s">
        <v>426</v>
      </c>
      <c r="I7" s="17" t="s">
        <v>66</v>
      </c>
      <c r="J7" s="36" t="s">
        <v>171</v>
      </c>
      <c r="K7" s="37"/>
      <c r="L7" s="37"/>
      <c r="M7" s="33">
        <v>15</v>
      </c>
      <c r="N7" s="76">
        <v>3</v>
      </c>
    </row>
    <row r="8" spans="1:14">
      <c r="A8" s="21">
        <v>100</v>
      </c>
      <c r="B8" s="10"/>
      <c r="C8" s="10"/>
      <c r="D8" s="10"/>
      <c r="E8" s="10"/>
      <c r="F8" s="10"/>
      <c r="G8" s="10"/>
      <c r="H8" s="10"/>
      <c r="I8" s="17" t="s">
        <v>65</v>
      </c>
      <c r="J8" s="80" t="s">
        <v>352</v>
      </c>
      <c r="K8" s="37"/>
      <c r="L8" s="37"/>
      <c r="M8" s="37"/>
      <c r="N8" s="76"/>
    </row>
    <row r="9" spans="1:14">
      <c r="A9" s="21">
        <v>101</v>
      </c>
      <c r="B9" s="10"/>
      <c r="C9" s="10"/>
      <c r="D9" s="10"/>
      <c r="E9" s="10"/>
      <c r="F9" s="10"/>
      <c r="G9" s="10"/>
      <c r="H9" s="10"/>
      <c r="I9" s="10"/>
      <c r="J9" s="80" t="s">
        <v>353</v>
      </c>
      <c r="K9" s="37"/>
      <c r="L9" s="37"/>
      <c r="M9" s="37"/>
      <c r="N9" s="76"/>
    </row>
    <row r="10" spans="1:14">
      <c r="A10" s="21">
        <v>110</v>
      </c>
      <c r="B10" s="10"/>
      <c r="C10" s="10"/>
      <c r="D10" s="10"/>
      <c r="E10" s="10"/>
      <c r="F10" s="10"/>
      <c r="G10" s="10"/>
      <c r="H10" s="10"/>
      <c r="I10" s="10"/>
      <c r="J10" s="80" t="s">
        <v>354</v>
      </c>
      <c r="K10" s="37"/>
      <c r="L10" s="37"/>
      <c r="M10" s="37"/>
      <c r="N10" s="76"/>
    </row>
    <row r="11" spans="1:14">
      <c r="A11" s="21">
        <v>111</v>
      </c>
      <c r="B11" s="10"/>
      <c r="C11" s="10"/>
      <c r="D11" s="10"/>
      <c r="E11" s="10"/>
      <c r="F11" s="10"/>
      <c r="G11" s="10"/>
      <c r="H11" s="10"/>
      <c r="I11" s="10"/>
      <c r="J11" s="80" t="s">
        <v>355</v>
      </c>
      <c r="K11" s="37"/>
      <c r="L11" s="37"/>
      <c r="M11" s="37"/>
      <c r="N11" s="76"/>
    </row>
    <row r="12" spans="1:14">
      <c r="A12" s="21">
        <v>1000</v>
      </c>
      <c r="B12" s="10"/>
      <c r="C12" s="10"/>
      <c r="D12" s="10"/>
      <c r="E12" s="10"/>
      <c r="F12" s="10"/>
      <c r="G12" s="10"/>
      <c r="H12" s="10"/>
      <c r="I12" s="10"/>
      <c r="J12" s="37"/>
      <c r="K12" s="37"/>
      <c r="L12" s="37"/>
      <c r="M12" s="37"/>
      <c r="N12" s="76"/>
    </row>
    <row r="13" spans="1:14">
      <c r="A13" s="21">
        <v>1001</v>
      </c>
      <c r="B13" s="10"/>
      <c r="C13" s="10"/>
      <c r="D13" s="10"/>
      <c r="E13" s="10"/>
      <c r="F13" s="10"/>
      <c r="G13" s="10"/>
      <c r="H13" s="10"/>
      <c r="I13" s="10"/>
      <c r="J13" s="37"/>
      <c r="K13" s="37"/>
      <c r="L13" s="37"/>
      <c r="M13" s="37"/>
      <c r="N13" s="76"/>
    </row>
    <row r="14" spans="1:14">
      <c r="A14" s="21">
        <v>1010</v>
      </c>
      <c r="B14" s="10"/>
      <c r="C14" s="10"/>
      <c r="D14" s="10"/>
      <c r="E14" s="10"/>
      <c r="F14" s="10"/>
      <c r="G14" s="10"/>
      <c r="H14" s="10"/>
      <c r="I14" s="10"/>
      <c r="J14" s="37"/>
      <c r="K14" s="37"/>
      <c r="L14" s="37"/>
      <c r="M14" s="37"/>
      <c r="N14" s="76"/>
    </row>
    <row r="15" spans="1:14">
      <c r="A15" s="21">
        <v>1011</v>
      </c>
      <c r="B15" s="10"/>
      <c r="C15" s="10"/>
      <c r="D15" s="10"/>
      <c r="E15" s="10"/>
      <c r="F15" s="10"/>
      <c r="G15" s="10"/>
      <c r="H15" s="10"/>
      <c r="I15" s="10"/>
      <c r="J15" s="37"/>
      <c r="K15" s="37"/>
      <c r="L15" s="37"/>
      <c r="M15" s="37"/>
      <c r="N15" s="76"/>
    </row>
    <row r="16" spans="1:14">
      <c r="A16" s="21">
        <v>1100</v>
      </c>
      <c r="B16" s="10"/>
      <c r="C16" s="10"/>
      <c r="D16" s="10"/>
      <c r="E16" s="10"/>
      <c r="F16" s="10"/>
      <c r="G16" s="10"/>
      <c r="H16" s="10"/>
      <c r="I16" s="10"/>
      <c r="J16" s="37"/>
      <c r="K16" s="37"/>
      <c r="L16" s="37"/>
      <c r="M16" s="37"/>
      <c r="N16" s="76"/>
    </row>
    <row r="17" spans="1:14">
      <c r="A17" s="21">
        <v>1101</v>
      </c>
      <c r="B17" s="10"/>
      <c r="C17" s="10"/>
      <c r="D17" s="10"/>
      <c r="E17" s="10"/>
      <c r="F17" s="10"/>
      <c r="G17" s="10"/>
      <c r="H17" s="10"/>
      <c r="I17" s="10"/>
      <c r="J17" s="37"/>
      <c r="K17" s="37"/>
      <c r="L17" s="37"/>
      <c r="M17" s="37"/>
      <c r="N17" s="76"/>
    </row>
    <row r="18" spans="1:14">
      <c r="A18" s="21">
        <v>1110</v>
      </c>
      <c r="B18" s="10"/>
      <c r="C18" s="10"/>
      <c r="D18" s="10"/>
      <c r="E18" s="10"/>
      <c r="F18" s="10"/>
      <c r="G18" s="10"/>
      <c r="H18" s="10"/>
      <c r="I18" s="10"/>
      <c r="J18" s="37"/>
      <c r="K18" s="37"/>
      <c r="L18" s="37"/>
      <c r="M18" s="37"/>
      <c r="N18" s="76"/>
    </row>
    <row r="19" spans="1:14">
      <c r="A19" s="21">
        <v>1111</v>
      </c>
      <c r="B19" s="10"/>
      <c r="C19" s="10"/>
      <c r="D19" s="10"/>
      <c r="E19" s="10"/>
      <c r="F19" s="10"/>
      <c r="G19" s="10"/>
      <c r="H19" s="10"/>
      <c r="I19" s="10"/>
      <c r="J19" s="37"/>
      <c r="K19" s="37"/>
      <c r="L19" s="37"/>
      <c r="M19" s="37"/>
      <c r="N19" s="76"/>
    </row>
    <row r="20" spans="1:14">
      <c r="B20" s="9">
        <v>2</v>
      </c>
      <c r="C20" s="9">
        <v>1</v>
      </c>
      <c r="D20" s="9">
        <v>2</v>
      </c>
      <c r="E20" s="9">
        <v>2</v>
      </c>
      <c r="F20" s="9">
        <v>1</v>
      </c>
      <c r="G20" s="9">
        <v>1</v>
      </c>
      <c r="H20" s="9">
        <v>2</v>
      </c>
      <c r="I20" s="9">
        <v>3</v>
      </c>
      <c r="J20" s="38">
        <v>3</v>
      </c>
      <c r="K20" s="38">
        <v>2</v>
      </c>
      <c r="L20" s="38">
        <v>2</v>
      </c>
      <c r="M20" s="38">
        <v>2</v>
      </c>
      <c r="N20" s="57">
        <v>2</v>
      </c>
    </row>
    <row r="21" spans="1:14" s="57" customFormat="1">
      <c r="A21" s="57" t="s">
        <v>334</v>
      </c>
    </row>
    <row r="22" spans="1:14" s="38" customFormat="1" ht="35.4" customHeight="1">
      <c r="A22" s="58" t="s">
        <v>335</v>
      </c>
      <c r="B22" s="59" t="s">
        <v>474</v>
      </c>
      <c r="C22" s="59" t="s">
        <v>451</v>
      </c>
      <c r="D22" s="59" t="s">
        <v>488</v>
      </c>
      <c r="E22" s="59" t="s">
        <v>37</v>
      </c>
      <c r="F22" s="59" t="s">
        <v>48</v>
      </c>
      <c r="G22" s="59" t="s">
        <v>452</v>
      </c>
      <c r="H22" s="59" t="s">
        <v>47</v>
      </c>
      <c r="I22" s="153" t="s">
        <v>67</v>
      </c>
      <c r="J22" s="59" t="s">
        <v>357</v>
      </c>
      <c r="K22" s="59" t="s">
        <v>156</v>
      </c>
      <c r="L22" s="59" t="s">
        <v>508</v>
      </c>
      <c r="M22" s="59">
        <v>0</v>
      </c>
      <c r="N22" s="60">
        <v>2</v>
      </c>
    </row>
    <row r="23" spans="1:14" s="38" customFormat="1" ht="45.6" customHeight="1">
      <c r="A23" s="58" t="s">
        <v>336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62">
        <v>10</v>
      </c>
    </row>
    <row r="24" spans="1:14" s="38" customFormat="1" ht="24.6" customHeight="1">
      <c r="A24" s="63" t="s">
        <v>337</v>
      </c>
      <c r="B24" s="64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64" t="str">
        <f t="shared" ref="C24:M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64" t="str">
        <f t="shared" si="0"/>
        <v>OK</v>
      </c>
      <c r="E24" s="65" t="str">
        <f t="shared" si="0"/>
        <v>OK</v>
      </c>
      <c r="F24" s="65" t="str">
        <f t="shared" si="0"/>
        <v>OK</v>
      </c>
      <c r="G24" s="65" t="str">
        <f t="shared" si="0"/>
        <v>OK</v>
      </c>
      <c r="H24" s="65" t="str">
        <f t="shared" si="0"/>
        <v>OK</v>
      </c>
      <c r="I24" s="65" t="str">
        <f t="shared" si="0"/>
        <v>OK</v>
      </c>
      <c r="J24" s="65" t="str">
        <f t="shared" si="0"/>
        <v>OK</v>
      </c>
      <c r="K24" s="65" t="str">
        <f t="shared" si="0"/>
        <v>OK</v>
      </c>
      <c r="L24" s="65" t="str">
        <f t="shared" si="0"/>
        <v>OK</v>
      </c>
      <c r="M24" s="65" t="str">
        <f t="shared" si="0"/>
        <v>OK</v>
      </c>
      <c r="N24" s="65" t="str">
        <f t="shared" ref="N24" si="1">IF(AND(N26&lt;&gt;"",N26&gt;(COUNTA(N4:N19)-1)),"選択された項目が不正",IF(AND(N23&lt;&gt;"",BIN2DEC(N23)&gt;(COUNTA(N4:N19)-1)),"２進数値がオーバー",IF(AND(N23&lt;&gt;"",N26&lt;&gt;"",BIN2DEC(N23)&lt;&gt;N26),"両方入力したが不一致",IF(AND(N23="", N26=""),"未入力","OK"))))</f>
        <v>OK</v>
      </c>
    </row>
    <row r="25" spans="1:14" s="38" customFormat="1" hidden="1">
      <c r="A25" s="66" t="s">
        <v>338</v>
      </c>
    </row>
    <row r="26" spans="1:14" s="38" customFormat="1" hidden="1">
      <c r="A26" s="67" t="s">
        <v>339</v>
      </c>
      <c r="B26" s="57">
        <f>IF(B22="","",MATCH(B22,B4:B19,0)-1)</f>
        <v>0</v>
      </c>
      <c r="C26" s="57">
        <f t="shared" ref="C26:M26" si="2">IF(C22="","",MATCH(C22,C4:C19,0)-1)</f>
        <v>0</v>
      </c>
      <c r="D26" s="57">
        <f t="shared" si="2"/>
        <v>1</v>
      </c>
      <c r="E26" s="57">
        <f t="shared" si="2"/>
        <v>3</v>
      </c>
      <c r="F26" s="57">
        <f t="shared" si="2"/>
        <v>0</v>
      </c>
      <c r="G26" s="57">
        <f t="shared" si="2"/>
        <v>0</v>
      </c>
      <c r="H26" s="57">
        <f t="shared" si="2"/>
        <v>0</v>
      </c>
      <c r="I26" s="57">
        <f t="shared" si="2"/>
        <v>1</v>
      </c>
      <c r="J26" s="57">
        <f t="shared" si="2"/>
        <v>0</v>
      </c>
      <c r="K26" s="57">
        <f t="shared" si="2"/>
        <v>0</v>
      </c>
      <c r="L26" s="57">
        <f t="shared" si="2"/>
        <v>2</v>
      </c>
      <c r="M26" s="57">
        <f t="shared" si="2"/>
        <v>0</v>
      </c>
      <c r="N26" s="57">
        <f t="shared" ref="N26" si="3">IF(N22="","",MATCH(N22,N4:N19,0)-1)</f>
        <v>2</v>
      </c>
    </row>
    <row r="27" spans="1:14" s="38" customFormat="1" hidden="1">
      <c r="A27" s="67" t="s">
        <v>340</v>
      </c>
      <c r="B27" s="57">
        <f t="shared" ref="B27:M27" si="4">ROUNDUP(LOG(COUNTA(B4:B19),2),0)</f>
        <v>2</v>
      </c>
      <c r="C27" s="57">
        <f t="shared" si="4"/>
        <v>1</v>
      </c>
      <c r="D27" s="57">
        <f t="shared" si="4"/>
        <v>2</v>
      </c>
      <c r="E27" s="57">
        <f t="shared" si="4"/>
        <v>2</v>
      </c>
      <c r="F27" s="57">
        <f t="shared" si="4"/>
        <v>1</v>
      </c>
      <c r="G27" s="57">
        <f t="shared" si="4"/>
        <v>1</v>
      </c>
      <c r="H27" s="57">
        <f t="shared" si="4"/>
        <v>2</v>
      </c>
      <c r="I27" s="57">
        <f t="shared" si="4"/>
        <v>3</v>
      </c>
      <c r="J27" s="57">
        <f t="shared" si="4"/>
        <v>3</v>
      </c>
      <c r="K27" s="57">
        <f t="shared" si="4"/>
        <v>2</v>
      </c>
      <c r="L27" s="57">
        <f t="shared" si="4"/>
        <v>2</v>
      </c>
      <c r="M27" s="57">
        <f t="shared" si="4"/>
        <v>2</v>
      </c>
      <c r="N27" s="57">
        <v>2</v>
      </c>
    </row>
    <row r="28" spans="1:14" s="38" customFormat="1" hidden="1">
      <c r="A28" s="68" t="s">
        <v>341</v>
      </c>
      <c r="B28" s="69">
        <f>POWER(2,B27)*C28</f>
        <v>33554432</v>
      </c>
      <c r="C28" s="38">
        <f>POWER(2,C27)*D28</f>
        <v>8388608</v>
      </c>
      <c r="D28" s="38">
        <f>POWER(2,D27)*E28</f>
        <v>4194304</v>
      </c>
      <c r="E28" s="38">
        <f>POWER(2,E27)*F28</f>
        <v>1048576</v>
      </c>
      <c r="F28" s="38">
        <f t="shared" ref="F28:M28" si="5">POWER(2,F27)*G28</f>
        <v>262144</v>
      </c>
      <c r="G28" s="38">
        <f t="shared" si="5"/>
        <v>131072</v>
      </c>
      <c r="H28" s="38">
        <f t="shared" si="5"/>
        <v>65536</v>
      </c>
      <c r="I28" s="38">
        <f t="shared" si="5"/>
        <v>16384</v>
      </c>
      <c r="J28" s="38">
        <f t="shared" si="5"/>
        <v>2048</v>
      </c>
      <c r="K28" s="38">
        <f t="shared" si="5"/>
        <v>256</v>
      </c>
      <c r="L28" s="38">
        <f>POWER(2,L27)*M28</f>
        <v>64</v>
      </c>
      <c r="M28" s="38">
        <f t="shared" si="5"/>
        <v>16</v>
      </c>
      <c r="N28" s="38">
        <f>POWER(2,N27)*1</f>
        <v>4</v>
      </c>
    </row>
    <row r="29" spans="1:14" s="38" customFormat="1" hidden="1">
      <c r="A29" s="68" t="s">
        <v>342</v>
      </c>
      <c r="B29" s="38">
        <f t="shared" ref="B29:M29" si="6">IF(B23="",B26,BIN2DEC(B23))*C28</f>
        <v>0</v>
      </c>
      <c r="C29" s="38">
        <f t="shared" si="6"/>
        <v>0</v>
      </c>
      <c r="D29" s="38">
        <f t="shared" si="6"/>
        <v>1048576</v>
      </c>
      <c r="E29" s="38">
        <f t="shared" si="6"/>
        <v>786432</v>
      </c>
      <c r="F29" s="38">
        <f t="shared" si="6"/>
        <v>0</v>
      </c>
      <c r="G29" s="38">
        <f t="shared" si="6"/>
        <v>0</v>
      </c>
      <c r="H29" s="38">
        <f t="shared" si="6"/>
        <v>0</v>
      </c>
      <c r="I29" s="38">
        <f t="shared" si="6"/>
        <v>2048</v>
      </c>
      <c r="J29" s="38">
        <f t="shared" si="6"/>
        <v>0</v>
      </c>
      <c r="K29" s="38">
        <f t="shared" si="6"/>
        <v>0</v>
      </c>
      <c r="L29" s="38">
        <f t="shared" si="6"/>
        <v>32</v>
      </c>
      <c r="M29" s="38">
        <f t="shared" si="6"/>
        <v>0</v>
      </c>
      <c r="N29" s="38">
        <f>IF(N23="",N26,BIN2DEC(N23))*1</f>
        <v>2</v>
      </c>
    </row>
    <row r="30" spans="1:14" s="38" customFormat="1">
      <c r="A30" s="66" t="s">
        <v>343</v>
      </c>
    </row>
    <row r="31" spans="1:14" s="38" customFormat="1" ht="28.95" customHeight="1">
      <c r="A31" s="74" t="s">
        <v>349</v>
      </c>
      <c r="B31" s="71" t="str">
        <f>REPT("0",11-LEN(SUM(B29:N29)))   &amp; SUM(B29:N29)</f>
        <v>00001837090</v>
      </c>
      <c r="I31" s="9"/>
      <c r="J31" s="9"/>
    </row>
    <row r="32" spans="1:14" s="38" customFormat="1" ht="19.8" hidden="1">
      <c r="A32" s="72" t="s">
        <v>345</v>
      </c>
      <c r="B32" s="73" cm="1">
        <f t="array" ref="B32">MOD(10 - MOD(SUMPRODUCT(MID("6"&amp;B31, {2,4,6,8,10,12}, 1) + 0) * 3 + SUMPRODUCT(MID("6"&amp;B31, {1,3,5,7,9,11}, 1) + 0), 10), 10)</f>
        <v>8</v>
      </c>
      <c r="I32" s="9"/>
      <c r="J32" s="9"/>
    </row>
    <row r="33" spans="1:36" s="38" customFormat="1" ht="36.6" customHeight="1">
      <c r="A33" s="74" t="s">
        <v>346</v>
      </c>
      <c r="B33" s="79" t="str">
        <f>"6"&amp;B31&amp;B32&amp;""</f>
        <v>6000018370908</v>
      </c>
      <c r="I33" s="9"/>
      <c r="J33" s="9"/>
    </row>
    <row r="34" spans="1:36" ht="45" customHeight="1">
      <c r="A34" s="74" t="s">
        <v>478</v>
      </c>
      <c r="B34" s="137" t="str">
        <f>"b"&amp; B33 &amp; "b"</f>
        <v>b6000018370908b</v>
      </c>
    </row>
    <row r="36" spans="1:36" s="38" customFormat="1" ht="22.2">
      <c r="A36" s="138" t="s">
        <v>489</v>
      </c>
      <c r="B36" s="139"/>
      <c r="D36" s="9"/>
      <c r="I36" s="9"/>
      <c r="J36" s="9"/>
      <c r="K36" s="9"/>
      <c r="O36" s="57"/>
    </row>
    <row r="37" spans="1:36" s="38" customFormat="1" ht="20.399999999999999" thickBot="1">
      <c r="A37" s="140"/>
      <c r="B37" s="141" t="s">
        <v>490</v>
      </c>
      <c r="D37" s="9"/>
      <c r="I37" s="9"/>
      <c r="J37" s="9"/>
      <c r="K37" s="9"/>
      <c r="O37" s="57"/>
    </row>
    <row r="38" spans="1:36" s="38" customFormat="1" ht="38.4" customHeight="1" thickBot="1">
      <c r="A38" s="74" t="s">
        <v>491</v>
      </c>
      <c r="B38" s="142"/>
      <c r="D38" s="9"/>
      <c r="I38" s="9"/>
      <c r="J38" s="9"/>
      <c r="K38" s="9"/>
      <c r="O38" s="57"/>
    </row>
    <row r="39" spans="1:36" s="38" customFormat="1" ht="33.6" customHeight="1">
      <c r="A39" s="158" t="s">
        <v>509</v>
      </c>
      <c r="B39" s="140" t="str">
        <f>IF(LEN(B38)=0,"バーコードは未入力。",IF(LEN(B38)&lt;&gt;13,"バーコードの桁数が不正。",IF(RIGHT(B49,2)&lt;&gt;"10","No."&amp; BIN2DEC(RIGHT(B49,2)) +1 &amp; "マッピングに参照してください。","")))</f>
        <v>バーコードは未入力。</v>
      </c>
      <c r="D39" s="9"/>
      <c r="I39" s="9"/>
      <c r="J39" s="9"/>
      <c r="K39" s="9"/>
      <c r="O39" s="57"/>
    </row>
    <row r="40" spans="1:36" s="38" customFormat="1" ht="34.200000000000003" customHeight="1">
      <c r="A40" s="192" t="s">
        <v>492</v>
      </c>
      <c r="B40" s="194" t="str">
        <f xml:space="preserve"> "レスポンスパターン" &amp; "（" &amp; SUM(B58:M58) &amp; "ビット）"</f>
        <v>レスポンスパターン（0ビット）</v>
      </c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88" t="s">
        <v>347</v>
      </c>
    </row>
    <row r="41" spans="1:36" s="38" customFormat="1" ht="34.200000000000003" customHeight="1">
      <c r="A41" s="192"/>
      <c r="B41" s="189" t="str">
        <f xml:space="preserve"> "問合せレスポンスパターン" &amp; "（" &amp; SUM(B58:I58) &amp; "ビット）"</f>
        <v>問合せレスポンスパターン（0ビット）</v>
      </c>
      <c r="C41" s="195"/>
      <c r="D41" s="195"/>
      <c r="E41" s="195"/>
      <c r="F41" s="195"/>
      <c r="G41" s="195"/>
      <c r="H41" s="195"/>
      <c r="I41" s="196"/>
      <c r="J41" s="197" t="str">
        <f xml:space="preserve"> "完了通知実施レスポンス" &amp; "（" &amp; SUM(J58:M58) &amp; "ビット）"</f>
        <v>完了通知実施レスポンス（0ビット）</v>
      </c>
      <c r="K41" s="198"/>
      <c r="L41" s="198"/>
      <c r="M41" s="198"/>
      <c r="N41" s="188"/>
    </row>
    <row r="42" spans="1:36" s="38" customFormat="1" ht="41.4" customHeight="1">
      <c r="A42" s="192"/>
      <c r="B42" s="12" t="str">
        <f xml:space="preserve"> "支払種別" &amp; CHAR(10) &amp; "（" &amp; B58 &amp; "ビット）"</f>
        <v>支払種別
（ビット）</v>
      </c>
      <c r="C42" s="12" t="str">
        <f xml:space="preserve"> "納品種別" &amp; CHAR(10) &amp; "（" &amp; C58 &amp; "ビット）"</f>
        <v>納品種別
（ビット）</v>
      </c>
      <c r="D42" s="12" t="str">
        <f xml:space="preserve"> "売上計上区分" &amp; CHAR(10) &amp; "（" &amp; D58 &amp; "ビット）"</f>
        <v>売上計上区分
（ビット）</v>
      </c>
      <c r="E42" s="12" t="str">
        <f xml:space="preserve"> "印紙基準額/収納金額" &amp; CHAR(10) &amp; "（" &amp; E58 &amp; "ビット）"</f>
        <v>印紙基準額/収納金額
（ビット）</v>
      </c>
      <c r="F42" s="12" t="str">
        <f xml:space="preserve"> "価格変更フラグ" &amp; CHAR(10) &amp; "（" &amp; F58 &amp; "ビット）"</f>
        <v>価格変更フラグ
（ビット）</v>
      </c>
      <c r="G42" s="12" t="str">
        <f xml:space="preserve"> "機能区分" &amp; CHAR(10) &amp; "（" &amp; G58 &amp; "ビット）"</f>
        <v>機能区分
（ビット）</v>
      </c>
      <c r="H42" s="12" t="str">
        <f xml:space="preserve"> "SHOPCD" &amp; CHAR(10) &amp; "（" &amp; H58 &amp; "ビット）"</f>
        <v>SHOPCD
（ビット）</v>
      </c>
      <c r="I42" s="12" t="str">
        <f xml:space="preserve"> "チケット発券個別情報" &amp; CHAR(10) &amp; "（" &amp; I58 &amp; "ビット）"</f>
        <v>チケット発券個別情報
（ビット）</v>
      </c>
      <c r="J42" s="35" t="str">
        <f xml:space="preserve"> "処理結果" &amp; CHAR(10) &amp; "（" &amp; J58 &amp; "ビット）"</f>
        <v>処理結果
（ビット）</v>
      </c>
      <c r="K42" s="35" t="str">
        <f xml:space="preserve"> "応答結果" &amp; CHAR(10) &amp; "（" &amp; K58 &amp; "ビット）"</f>
        <v>応答結果
（ビット）</v>
      </c>
      <c r="L42" s="35" t="str">
        <f xml:space="preserve"> "支払方法区分" &amp; CHAR(10) &amp; "（" &amp; L58 &amp; "ビット）"</f>
        <v>支払方法区分
（ビット）</v>
      </c>
      <c r="M42" s="35" t="str">
        <f xml:space="preserve"> "成功まで失敗回数" &amp; CHAR(10) &amp; "（" &amp; M58 &amp; "ビット）"</f>
        <v>成功まで失敗回数
（ビット）</v>
      </c>
      <c r="N42" s="188"/>
    </row>
    <row r="43" spans="1:36" s="38" customFormat="1" ht="31.8" customHeight="1">
      <c r="A43" s="144" t="s">
        <v>493</v>
      </c>
      <c r="B43" s="145" t="str">
        <f t="shared" ref="B43:N43" si="7">IF($B$39="",IF(LOOKUP(B51,$A$4:$A$19,B4:B19)=0,LOOKUP(0,$A$4:$A$19,B4:B19),LOOKUP(B51,$A$4:$A$19,B4:B19)),"")</f>
        <v/>
      </c>
      <c r="C43" s="145" t="str">
        <f t="shared" si="7"/>
        <v/>
      </c>
      <c r="D43" s="145" t="str">
        <f t="shared" si="7"/>
        <v/>
      </c>
      <c r="E43" s="145" t="str">
        <f t="shared" si="7"/>
        <v/>
      </c>
      <c r="F43" s="145" t="str">
        <f t="shared" si="7"/>
        <v/>
      </c>
      <c r="G43" s="145" t="str">
        <f t="shared" si="7"/>
        <v/>
      </c>
      <c r="H43" s="145" t="str">
        <f t="shared" si="7"/>
        <v/>
      </c>
      <c r="I43" s="145" t="str">
        <f t="shared" si="7"/>
        <v/>
      </c>
      <c r="J43" s="145" t="str">
        <f t="shared" si="7"/>
        <v/>
      </c>
      <c r="K43" s="145" t="str">
        <f t="shared" si="7"/>
        <v/>
      </c>
      <c r="L43" s="145" t="str">
        <f t="shared" si="7"/>
        <v/>
      </c>
      <c r="M43" s="145" t="str">
        <f t="shared" si="7"/>
        <v/>
      </c>
      <c r="N43" s="146" t="str">
        <f t="shared" si="7"/>
        <v/>
      </c>
    </row>
    <row r="44" spans="1:36" s="38" customFormat="1"/>
    <row r="45" spans="1:36" customFormat="1" hidden="1">
      <c r="A45" s="147" t="s">
        <v>494</v>
      </c>
      <c r="B45" s="148">
        <f>_xlfn.NUMBERVALUE(MID(B38,2,11))</f>
        <v>0</v>
      </c>
      <c r="C45" s="143" t="s">
        <v>495</v>
      </c>
      <c r="D45" s="148">
        <f>SUM(27:27)</f>
        <v>25</v>
      </c>
    </row>
    <row r="46" spans="1:36" customFormat="1" hidden="1">
      <c r="A46" s="147"/>
      <c r="B46">
        <f>MOD(B45,2)</f>
        <v>0</v>
      </c>
      <c r="C46" t="str">
        <f>IF(MOD(B47,2)=1,1,IF(C47&gt;0,0,""))</f>
        <v/>
      </c>
      <c r="D46" t="str">
        <f t="shared" ref="D46:AJ46" si="8">IF(MOD(C47,2)=1,1,IF(D47&gt;0,0,""))</f>
        <v/>
      </c>
      <c r="E46" t="str">
        <f t="shared" si="8"/>
        <v/>
      </c>
      <c r="F46" t="str">
        <f t="shared" si="8"/>
        <v/>
      </c>
      <c r="G46" t="str">
        <f t="shared" si="8"/>
        <v/>
      </c>
      <c r="H46" t="str">
        <f t="shared" si="8"/>
        <v/>
      </c>
      <c r="I46" t="str">
        <f t="shared" si="8"/>
        <v/>
      </c>
      <c r="J46" t="str">
        <f t="shared" si="8"/>
        <v/>
      </c>
      <c r="K46" t="str">
        <f t="shared" si="8"/>
        <v/>
      </c>
      <c r="L46" t="str">
        <f t="shared" si="8"/>
        <v/>
      </c>
      <c r="M46" t="str">
        <f t="shared" si="8"/>
        <v/>
      </c>
      <c r="N46" t="str">
        <f t="shared" si="8"/>
        <v/>
      </c>
      <c r="O46" t="str">
        <f t="shared" si="8"/>
        <v/>
      </c>
      <c r="P46" t="str">
        <f t="shared" si="8"/>
        <v/>
      </c>
      <c r="Q46" t="str">
        <f t="shared" si="8"/>
        <v/>
      </c>
      <c r="R46" t="str">
        <f t="shared" si="8"/>
        <v/>
      </c>
      <c r="S46" t="str">
        <f t="shared" si="8"/>
        <v/>
      </c>
      <c r="T46" t="str">
        <f t="shared" si="8"/>
        <v/>
      </c>
      <c r="U46" t="str">
        <f t="shared" si="8"/>
        <v/>
      </c>
      <c r="V46" t="str">
        <f t="shared" si="8"/>
        <v/>
      </c>
      <c r="W46" t="str">
        <f t="shared" si="8"/>
        <v/>
      </c>
      <c r="X46" t="str">
        <f t="shared" si="8"/>
        <v/>
      </c>
      <c r="Y46" t="str">
        <f t="shared" si="8"/>
        <v/>
      </c>
      <c r="Z46" t="str">
        <f t="shared" si="8"/>
        <v/>
      </c>
      <c r="AA46" t="str">
        <f t="shared" si="8"/>
        <v/>
      </c>
      <c r="AB46" t="str">
        <f t="shared" si="8"/>
        <v/>
      </c>
      <c r="AC46" t="str">
        <f t="shared" si="8"/>
        <v/>
      </c>
      <c r="AD46" t="str">
        <f t="shared" si="8"/>
        <v/>
      </c>
      <c r="AE46" t="str">
        <f t="shared" si="8"/>
        <v/>
      </c>
      <c r="AF46" t="str">
        <f t="shared" si="8"/>
        <v/>
      </c>
      <c r="AG46" t="str">
        <f t="shared" si="8"/>
        <v/>
      </c>
      <c r="AH46" t="str">
        <f t="shared" si="8"/>
        <v/>
      </c>
      <c r="AI46" t="str">
        <f t="shared" si="8"/>
        <v/>
      </c>
      <c r="AJ46" t="str">
        <f t="shared" si="8"/>
        <v/>
      </c>
    </row>
    <row r="47" spans="1:36" customFormat="1" hidden="1">
      <c r="A47" s="147" t="s">
        <v>494</v>
      </c>
      <c r="B47">
        <f>INT(B45/2)</f>
        <v>0</v>
      </c>
      <c r="C47">
        <f>INT(B47/2)</f>
        <v>0</v>
      </c>
      <c r="D47">
        <f t="shared" ref="D47:AJ47" si="9">INT(C47/2)</f>
        <v>0</v>
      </c>
      <c r="E47">
        <f t="shared" si="9"/>
        <v>0</v>
      </c>
      <c r="F47">
        <f t="shared" si="9"/>
        <v>0</v>
      </c>
      <c r="G47">
        <f t="shared" si="9"/>
        <v>0</v>
      </c>
      <c r="H47">
        <f t="shared" si="9"/>
        <v>0</v>
      </c>
      <c r="I47">
        <f t="shared" si="9"/>
        <v>0</v>
      </c>
      <c r="J47">
        <f t="shared" si="9"/>
        <v>0</v>
      </c>
      <c r="K47">
        <f t="shared" si="9"/>
        <v>0</v>
      </c>
      <c r="L47">
        <f t="shared" si="9"/>
        <v>0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9"/>
        <v>0</v>
      </c>
      <c r="R47">
        <f t="shared" si="9"/>
        <v>0</v>
      </c>
      <c r="S47">
        <f t="shared" si="9"/>
        <v>0</v>
      </c>
      <c r="T47">
        <f t="shared" si="9"/>
        <v>0</v>
      </c>
      <c r="U47">
        <f t="shared" si="9"/>
        <v>0</v>
      </c>
      <c r="V47">
        <f t="shared" si="9"/>
        <v>0</v>
      </c>
      <c r="W47">
        <f t="shared" si="9"/>
        <v>0</v>
      </c>
      <c r="X47">
        <f t="shared" si="9"/>
        <v>0</v>
      </c>
      <c r="Y47">
        <f t="shared" si="9"/>
        <v>0</v>
      </c>
      <c r="Z47">
        <f t="shared" si="9"/>
        <v>0</v>
      </c>
      <c r="AA47">
        <f t="shared" si="9"/>
        <v>0</v>
      </c>
      <c r="AB47">
        <f t="shared" si="9"/>
        <v>0</v>
      </c>
      <c r="AC47">
        <f t="shared" si="9"/>
        <v>0</v>
      </c>
      <c r="AD47">
        <f t="shared" si="9"/>
        <v>0</v>
      </c>
      <c r="AE47">
        <f t="shared" si="9"/>
        <v>0</v>
      </c>
      <c r="AF47">
        <f t="shared" si="9"/>
        <v>0</v>
      </c>
      <c r="AG47">
        <f t="shared" si="9"/>
        <v>0</v>
      </c>
      <c r="AH47">
        <f t="shared" si="9"/>
        <v>0</v>
      </c>
      <c r="AI47">
        <f t="shared" si="9"/>
        <v>0</v>
      </c>
      <c r="AJ47">
        <f t="shared" si="9"/>
        <v>0</v>
      </c>
    </row>
    <row r="48" spans="1:36" s="38" customFormat="1" hidden="1">
      <c r="A48" s="143" t="s">
        <v>496</v>
      </c>
      <c r="B48" s="38" t="str" cm="1">
        <f t="array" ref="B48">_xlfn.TEXTJOIN("", TRUE, MID(_xlfn.CONCAT(46:46), _xlfn.SEQUENCE(LEN(_xlfn.CONCAT(46:46)), 1, LEN(_xlfn.CONCAT(46:46)), -1), 1))</f>
        <v>0</v>
      </c>
      <c r="I48" s="9"/>
      <c r="J48" s="9"/>
      <c r="K48" s="9"/>
      <c r="O48" s="57"/>
    </row>
    <row r="49" spans="1:17" s="38" customFormat="1" hidden="1">
      <c r="A49" s="149" t="s">
        <v>497</v>
      </c>
      <c r="B49" s="150" t="str">
        <f>REPT("0",IF(D45-LEN(B48)&lt;0,0,D45-LEN(B48))) &amp; B48</f>
        <v>0000000000000000000000000</v>
      </c>
      <c r="I49" s="9"/>
      <c r="J49" s="9"/>
      <c r="K49" s="9"/>
      <c r="O49" s="57"/>
    </row>
    <row r="50" spans="1:17" s="38" customFormat="1" hidden="1">
      <c r="A50" s="149" t="s">
        <v>498</v>
      </c>
      <c r="B50" s="38" t="str">
        <f t="shared" ref="B50:N50" ca="1" si="10">MID(RIGHT($B$49,$D$45),$D$45+1-SUM(OFFSET(B27, 0, 0, 1, 20)),B27)</f>
        <v>00</v>
      </c>
      <c r="C50" s="38" t="str">
        <f t="shared" ca="1" si="10"/>
        <v>0</v>
      </c>
      <c r="D50" s="38" t="str">
        <f t="shared" ca="1" si="10"/>
        <v>00</v>
      </c>
      <c r="E50" s="38" t="str">
        <f t="shared" ca="1" si="10"/>
        <v>00</v>
      </c>
      <c r="F50" s="38" t="str">
        <f t="shared" ca="1" si="10"/>
        <v>0</v>
      </c>
      <c r="G50" s="38" t="str">
        <f t="shared" ca="1" si="10"/>
        <v>0</v>
      </c>
      <c r="H50" s="38" t="str">
        <f t="shared" ca="1" si="10"/>
        <v>00</v>
      </c>
      <c r="I50" s="38" t="str">
        <f t="shared" ca="1" si="10"/>
        <v>000</v>
      </c>
      <c r="J50" s="38" t="str">
        <f t="shared" ca="1" si="10"/>
        <v>000</v>
      </c>
      <c r="K50" s="38" t="str">
        <f t="shared" ca="1" si="10"/>
        <v>00</v>
      </c>
      <c r="L50" s="38" t="str">
        <f t="shared" ca="1" si="10"/>
        <v>00</v>
      </c>
      <c r="M50" s="38" t="str">
        <f t="shared" ca="1" si="10"/>
        <v>00</v>
      </c>
      <c r="N50" s="38" t="str">
        <f t="shared" ca="1" si="10"/>
        <v>00</v>
      </c>
      <c r="O50" s="38" t="str">
        <f t="shared" ref="O50:Q50" ca="1" si="11">MID($B$49,$D$45+1-SUM(OFFSET(O27, 0, 0, 1, 20)),O27)</f>
        <v/>
      </c>
      <c r="P50" s="38" t="str">
        <f t="shared" ca="1" si="11"/>
        <v/>
      </c>
      <c r="Q50" s="38" t="str">
        <f t="shared" ca="1" si="11"/>
        <v/>
      </c>
    </row>
    <row r="51" spans="1:17" s="38" customFormat="1" hidden="1">
      <c r="A51" s="151" t="s">
        <v>499</v>
      </c>
      <c r="B51" s="38">
        <f ca="1">INT(DEC2BIN(BIN2DEC(B50)))</f>
        <v>0</v>
      </c>
      <c r="C51" s="38">
        <f t="shared" ref="C51:Q51" ca="1" si="12">INT(DEC2BIN(BIN2DEC(C50)))</f>
        <v>0</v>
      </c>
      <c r="D51" s="38">
        <f t="shared" ca="1" si="12"/>
        <v>0</v>
      </c>
      <c r="E51" s="38">
        <f t="shared" ca="1" si="12"/>
        <v>0</v>
      </c>
      <c r="F51" s="38">
        <f t="shared" ca="1" si="12"/>
        <v>0</v>
      </c>
      <c r="G51" s="38">
        <f t="shared" ca="1" si="12"/>
        <v>0</v>
      </c>
      <c r="H51" s="38">
        <f t="shared" ca="1" si="12"/>
        <v>0</v>
      </c>
      <c r="I51" s="38">
        <f t="shared" ca="1" si="12"/>
        <v>0</v>
      </c>
      <c r="J51" s="38">
        <f t="shared" ca="1" si="12"/>
        <v>0</v>
      </c>
      <c r="K51" s="38">
        <f t="shared" ca="1" si="12"/>
        <v>0</v>
      </c>
      <c r="L51" s="38">
        <f t="shared" ca="1" si="12"/>
        <v>0</v>
      </c>
      <c r="M51" s="38">
        <f t="shared" ca="1" si="12"/>
        <v>0</v>
      </c>
      <c r="N51" s="38">
        <f t="shared" ca="1" si="12"/>
        <v>0</v>
      </c>
      <c r="O51" s="38">
        <f t="shared" ca="1" si="12"/>
        <v>0</v>
      </c>
      <c r="P51" s="38">
        <f t="shared" ca="1" si="12"/>
        <v>0</v>
      </c>
      <c r="Q51" s="38">
        <f t="shared" ca="1" si="12"/>
        <v>0</v>
      </c>
    </row>
    <row r="52" spans="1:17">
      <c r="B52" s="159"/>
    </row>
    <row r="53" spans="1:17">
      <c r="B53" s="159"/>
    </row>
    <row r="54" spans="1:17">
      <c r="B54" s="159"/>
    </row>
    <row r="61" spans="1:17">
      <c r="B61" s="159"/>
    </row>
  </sheetData>
  <mergeCells count="10">
    <mergeCell ref="J2:M2"/>
    <mergeCell ref="B2:I2"/>
    <mergeCell ref="N1:N3"/>
    <mergeCell ref="A1:A3"/>
    <mergeCell ref="B1:M1"/>
    <mergeCell ref="A40:A42"/>
    <mergeCell ref="B40:M40"/>
    <mergeCell ref="N40:N42"/>
    <mergeCell ref="B41:I41"/>
    <mergeCell ref="J41:M41"/>
  </mergeCells>
  <phoneticPr fontId="27"/>
  <conditionalFormatting sqref="B33">
    <cfRule type="cellIs" dxfId="13" priority="3" operator="equal">
      <formula>"OK"</formula>
    </cfRule>
  </conditionalFormatting>
  <conditionalFormatting sqref="B38">
    <cfRule type="cellIs" dxfId="12" priority="1" operator="equal">
      <formula>"OK"</formula>
    </cfRule>
  </conditionalFormatting>
  <conditionalFormatting sqref="B28:M28">
    <cfRule type="cellIs" dxfId="11" priority="6" operator="equal">
      <formula>"OK"</formula>
    </cfRule>
    <cfRule type="containsText" dxfId="10" priority="7" operator="containsText" text="&lt;&gt;&quot;OK&quot;">
      <formula>NOT(ISERROR(SEARCH("&lt;&gt;""OK""",B28)))</formula>
    </cfRule>
  </conditionalFormatting>
  <conditionalFormatting sqref="B24:N24">
    <cfRule type="cellIs" dxfId="9" priority="4" operator="equal">
      <formula>"OK"</formula>
    </cfRule>
    <cfRule type="containsText" dxfId="8" priority="5" operator="containsText" text="&lt;&gt;&quot;OK&quot;">
      <formula>NOT(ISERROR(SEARCH("&lt;&gt;""OK""",B24)))</formula>
    </cfRule>
  </conditionalFormatting>
  <conditionalFormatting sqref="B43:N43">
    <cfRule type="expression" dxfId="7" priority="36">
      <formula>BIN2DEC(B$50)&gt;COUNTA(B$3:B$25)-1</formula>
    </cfRule>
  </conditionalFormatting>
  <dataValidations disablePrompts="1" count="12">
    <dataValidation type="list" allowBlank="1" showInputMessage="1" showErrorMessage="1" sqref="L22" xr:uid="{685DBFC0-559C-4D03-8780-7C791040AA31}">
      <formula1>$L$4:$L$7</formula1>
    </dataValidation>
    <dataValidation type="list" allowBlank="1" showInputMessage="1" showErrorMessage="1" sqref="J22" xr:uid="{65C1C2FE-6B89-4868-AAA8-DBAED363CD38}">
      <formula1>$J$4:$J$12</formula1>
    </dataValidation>
    <dataValidation type="list" allowBlank="1" showInputMessage="1" showErrorMessage="1" sqref="I22" xr:uid="{E068A7B7-B7C2-4E6D-82B1-7E3FF2747524}">
      <formula1>$I$4:$I$11</formula1>
    </dataValidation>
    <dataValidation type="list" allowBlank="1" showInputMessage="1" showErrorMessage="1" sqref="H22" xr:uid="{F01B3B8B-9F81-4974-8B35-E026AA8E1CBB}">
      <formula1>$H$4:$H$7</formula1>
    </dataValidation>
    <dataValidation type="list" allowBlank="1" showInputMessage="1" showErrorMessage="1" sqref="G22" xr:uid="{07C2C6B5-430E-45D6-8F6A-B0780C4EAA01}">
      <formula1>$G$4:$G$5</formula1>
    </dataValidation>
    <dataValidation type="list" allowBlank="1" showInputMessage="1" showErrorMessage="1" sqref="F22" xr:uid="{5EC19136-DE91-415D-8584-E2EF943A384C}">
      <formula1>$F$4:$F$5</formula1>
    </dataValidation>
    <dataValidation type="list" allowBlank="1" showInputMessage="1" showErrorMessage="1" sqref="E22" xr:uid="{96D13603-C997-4CAC-863F-BB793A3612EC}">
      <formula1>$E$4:$E$7</formula1>
    </dataValidation>
    <dataValidation type="list" allowBlank="1" showInputMessage="1" showErrorMessage="1" sqref="D22" xr:uid="{69849A5F-D02E-4D82-97AD-B700E61CBFDF}">
      <formula1>$D$4:$D$7</formula1>
    </dataValidation>
    <dataValidation type="list" allowBlank="1" showInputMessage="1" showErrorMessage="1" sqref="C22" xr:uid="{67EFD2CF-DD1A-49A4-8B87-F9F5B4B188F6}">
      <formula1>$C$4:$C$5</formula1>
    </dataValidation>
    <dataValidation type="list" allowBlank="1" showInputMessage="1" showErrorMessage="1" sqref="B22" xr:uid="{7C225B62-9963-4820-9B30-B1AD55FE508E}">
      <formula1>$B$4:$B$7</formula1>
    </dataValidation>
    <dataValidation type="list" allowBlank="1" showInputMessage="1" showErrorMessage="1" sqref="K22" xr:uid="{BE21571D-85F2-4684-A4F4-5C569BD1B39B}">
      <formula1>$K$4:$K$7</formula1>
    </dataValidation>
    <dataValidation type="list" allowBlank="1" showInputMessage="1" showErrorMessage="1" sqref="M22" xr:uid="{83CFDC9B-BBE8-43C4-B947-F751C45C1759}">
      <formula1>$M$4:$M$7</formula1>
    </dataValidation>
  </dataValidations>
  <pageMargins left="0.70866141732283472" right="0.70866141732283472" top="0.74803149606299213" bottom="0.74803149606299213" header="0.31496062992125984" footer="0.31496062992125984"/>
  <pageSetup paperSize="8" scale="47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D903-115D-45C0-8F75-BE36A7D3252A}">
  <sheetPr>
    <pageSetUpPr fitToPage="1"/>
  </sheetPr>
  <dimension ref="A1:E73"/>
  <sheetViews>
    <sheetView view="pageBreakPreview" topLeftCell="A46" zoomScale="85" zoomScaleNormal="85" zoomScaleSheetLayoutView="85" workbookViewId="0">
      <selection activeCell="E67" sqref="E67"/>
    </sheetView>
  </sheetViews>
  <sheetFormatPr defaultColWidth="8.69921875" defaultRowHeight="18"/>
  <cols>
    <col min="1" max="1" width="11" style="3" bestFit="1" customWidth="1"/>
    <col min="2" max="2" width="8.69921875" style="3"/>
    <col min="3" max="3" width="35.3984375" style="3" bestFit="1" customWidth="1"/>
    <col min="4" max="4" width="21.19921875" style="38" customWidth="1"/>
    <col min="5" max="5" width="55.09765625" style="3" customWidth="1"/>
    <col min="6" max="16384" width="8.69921875" style="3"/>
  </cols>
  <sheetData>
    <row r="1" spans="1:5">
      <c r="A1" s="181" t="s">
        <v>449</v>
      </c>
      <c r="B1" s="181"/>
      <c r="C1" s="181"/>
      <c r="D1" s="46" t="s">
        <v>190</v>
      </c>
      <c r="E1" s="2" t="s">
        <v>74</v>
      </c>
    </row>
    <row r="2" spans="1:5">
      <c r="A2" s="182" t="s">
        <v>2</v>
      </c>
      <c r="B2" s="4"/>
      <c r="C2" s="4"/>
      <c r="D2" s="47"/>
      <c r="E2" s="4"/>
    </row>
    <row r="3" spans="1:5">
      <c r="A3" s="183"/>
      <c r="B3" s="182" t="s">
        <v>3</v>
      </c>
      <c r="C3" s="4"/>
      <c r="D3" s="51" t="s">
        <v>321</v>
      </c>
      <c r="E3" s="4"/>
    </row>
    <row r="4" spans="1:5" ht="18.75" customHeight="1">
      <c r="A4" s="183"/>
      <c r="B4" s="183"/>
      <c r="C4" s="4" t="s">
        <v>4</v>
      </c>
      <c r="D4" s="48" t="s">
        <v>192</v>
      </c>
      <c r="E4" s="15" t="s">
        <v>61</v>
      </c>
    </row>
    <row r="5" spans="1:5" ht="18.75" customHeight="1">
      <c r="A5" s="183"/>
      <c r="B5" s="183"/>
      <c r="C5" s="6" t="s">
        <v>5</v>
      </c>
      <c r="D5" s="48" t="s">
        <v>193</v>
      </c>
      <c r="E5" s="82" t="s">
        <v>368</v>
      </c>
    </row>
    <row r="6" spans="1:5">
      <c r="A6" s="183"/>
      <c r="B6" s="183"/>
      <c r="C6" s="4" t="s">
        <v>6</v>
      </c>
      <c r="D6" s="48" t="s">
        <v>194</v>
      </c>
      <c r="E6" s="15" t="s">
        <v>59</v>
      </c>
    </row>
    <row r="7" spans="1:5">
      <c r="A7" s="183"/>
      <c r="B7" s="183"/>
      <c r="C7" s="4" t="s">
        <v>7</v>
      </c>
      <c r="D7" s="48" t="s">
        <v>195</v>
      </c>
      <c r="E7" s="5" t="s">
        <v>60</v>
      </c>
    </row>
    <row r="8" spans="1:5">
      <c r="A8" s="183"/>
      <c r="B8" s="183"/>
      <c r="C8" s="8" t="s">
        <v>69</v>
      </c>
      <c r="D8" s="48" t="s">
        <v>196</v>
      </c>
      <c r="E8" s="1" t="str">
        <f>"リクエスト「" &amp; C8  &amp; "」の値を設定"</f>
        <v>リクエスト「店　番」の値を設定</v>
      </c>
    </row>
    <row r="9" spans="1:5">
      <c r="A9" s="183"/>
      <c r="B9" s="183"/>
      <c r="C9" s="8" t="s">
        <v>8</v>
      </c>
      <c r="D9" s="48" t="s">
        <v>197</v>
      </c>
      <c r="E9" s="1" t="s">
        <v>62</v>
      </c>
    </row>
    <row r="10" spans="1:5">
      <c r="A10" s="183"/>
      <c r="B10" s="183"/>
      <c r="C10" s="8" t="s">
        <v>9</v>
      </c>
      <c r="D10" s="48" t="s">
        <v>198</v>
      </c>
      <c r="E10" s="1" t="str">
        <f t="shared" ref="E10:E11" si="0">"リクエスト「" &amp; C10  &amp; "」の値を設定"</f>
        <v>リクエスト「レジ　No.」の値を設定</v>
      </c>
    </row>
    <row r="11" spans="1:5">
      <c r="A11" s="183"/>
      <c r="B11" s="183"/>
      <c r="C11" s="4" t="s">
        <v>10</v>
      </c>
      <c r="D11" s="48" t="s">
        <v>199</v>
      </c>
      <c r="E11" s="1" t="str">
        <f t="shared" si="0"/>
        <v>リクエスト「チケット発券操作レジＮｏ．」の値を設定</v>
      </c>
    </row>
    <row r="12" spans="1:5">
      <c r="A12" s="183"/>
      <c r="B12" s="183"/>
      <c r="C12" s="4" t="s">
        <v>11</v>
      </c>
      <c r="D12" s="48" t="s">
        <v>200</v>
      </c>
      <c r="E12" s="15" t="s">
        <v>58</v>
      </c>
    </row>
    <row r="13" spans="1:5">
      <c r="A13" s="183"/>
      <c r="B13" s="183"/>
      <c r="C13" s="8" t="s">
        <v>12</v>
      </c>
      <c r="D13" s="48" t="s">
        <v>201</v>
      </c>
      <c r="E13" s="15" t="s">
        <v>58</v>
      </c>
    </row>
    <row r="14" spans="1:5">
      <c r="A14" s="183"/>
      <c r="B14" s="183"/>
      <c r="C14" s="8" t="s">
        <v>13</v>
      </c>
      <c r="D14" s="48" t="s">
        <v>202</v>
      </c>
      <c r="E14" s="1" t="str">
        <f t="shared" ref="E14:E17" si="1">"リクエスト「" &amp; C14  &amp; "」の値を設定"</f>
        <v>リクエスト「利用年月日時分秒」の値を設定</v>
      </c>
    </row>
    <row r="15" spans="1:5" ht="18.75" customHeight="1">
      <c r="A15" s="183"/>
      <c r="B15" s="183"/>
      <c r="C15" s="8" t="s">
        <v>14</v>
      </c>
      <c r="D15" s="48" t="s">
        <v>203</v>
      </c>
      <c r="E15" s="1" t="str">
        <f t="shared" si="1"/>
        <v>リクエスト「処理通番」の値を設定</v>
      </c>
    </row>
    <row r="16" spans="1:5">
      <c r="A16" s="183"/>
      <c r="B16" s="183"/>
      <c r="C16" s="8" t="s">
        <v>177</v>
      </c>
      <c r="D16" s="48" t="s">
        <v>204</v>
      </c>
      <c r="E16" s="1" t="str">
        <f t="shared" si="1"/>
        <v>リクエスト「再送区分」の値を設定</v>
      </c>
    </row>
    <row r="17" spans="1:5" ht="18.75" customHeight="1">
      <c r="A17" s="183"/>
      <c r="B17" s="183"/>
      <c r="C17" s="8" t="s">
        <v>16</v>
      </c>
      <c r="D17" s="48" t="s">
        <v>205</v>
      </c>
      <c r="E17" s="1" t="str">
        <f t="shared" si="1"/>
        <v>リクエスト「要求区分」の値を設定</v>
      </c>
    </row>
    <row r="18" spans="1:5" ht="18.75" customHeight="1">
      <c r="A18" s="183"/>
      <c r="B18" s="184"/>
      <c r="C18" s="8" t="s">
        <v>17</v>
      </c>
      <c r="D18" s="48" t="s">
        <v>206</v>
      </c>
      <c r="E18" s="1" t="str">
        <f>"リクエスト「" &amp; C18  &amp; "」の値を設定"</f>
        <v>リクエスト「問合せ・完了区分」の値を設定</v>
      </c>
    </row>
    <row r="19" spans="1:5" ht="18.75" customHeight="1">
      <c r="A19" s="183"/>
      <c r="B19" s="182" t="s">
        <v>18</v>
      </c>
      <c r="C19" s="8"/>
      <c r="D19" s="48" t="s">
        <v>208</v>
      </c>
      <c r="E19" s="1"/>
    </row>
    <row r="20" spans="1:5">
      <c r="A20" s="183"/>
      <c r="B20" s="183"/>
      <c r="C20" s="8" t="s">
        <v>19</v>
      </c>
      <c r="D20" s="48" t="s">
        <v>209</v>
      </c>
      <c r="E20" s="1" t="str">
        <f>"リクエスト「" &amp; C20  &amp; "」の値を設定"</f>
        <v>リクエスト「決済ＩＤ(検索キー）」の値を設定</v>
      </c>
    </row>
    <row r="21" spans="1:5" ht="18.75" customHeight="1">
      <c r="A21" s="183"/>
      <c r="B21" s="183"/>
      <c r="C21" s="8" t="s">
        <v>20</v>
      </c>
      <c r="D21" s="48" t="s">
        <v>210</v>
      </c>
      <c r="E21" s="5" t="s">
        <v>81</v>
      </c>
    </row>
    <row r="22" spans="1:5" ht="18.75" customHeight="1">
      <c r="A22" s="183"/>
      <c r="B22" s="183"/>
      <c r="C22" s="6" t="s">
        <v>1</v>
      </c>
      <c r="D22" s="52" t="s">
        <v>325</v>
      </c>
      <c r="E22" s="82" t="s">
        <v>368</v>
      </c>
    </row>
    <row r="23" spans="1:5" ht="18.75" customHeight="1">
      <c r="A23" s="183"/>
      <c r="B23" s="183"/>
      <c r="C23" s="6" t="s">
        <v>21</v>
      </c>
      <c r="D23" s="52" t="s">
        <v>323</v>
      </c>
      <c r="E23" s="7" t="s">
        <v>369</v>
      </c>
    </row>
    <row r="24" spans="1:5" ht="18.75" customHeight="1">
      <c r="A24" s="183"/>
      <c r="B24" s="183"/>
      <c r="C24" s="6" t="s">
        <v>22</v>
      </c>
      <c r="D24" s="52" t="s">
        <v>212</v>
      </c>
      <c r="E24" s="7" t="s">
        <v>369</v>
      </c>
    </row>
    <row r="25" spans="1:5" ht="18.75" customHeight="1">
      <c r="A25" s="183"/>
      <c r="B25" s="183"/>
      <c r="C25" s="4" t="s">
        <v>23</v>
      </c>
      <c r="D25" s="48" t="s">
        <v>213</v>
      </c>
      <c r="E25" s="5" t="s">
        <v>70</v>
      </c>
    </row>
    <row r="26" spans="1:5">
      <c r="A26" s="183"/>
      <c r="B26" s="183"/>
      <c r="C26" s="4" t="s">
        <v>24</v>
      </c>
      <c r="D26" s="48" t="s">
        <v>214</v>
      </c>
      <c r="E26" s="5" t="s">
        <v>78</v>
      </c>
    </row>
    <row r="27" spans="1:5">
      <c r="A27" s="183"/>
      <c r="B27" s="183"/>
      <c r="C27" s="4" t="s">
        <v>25</v>
      </c>
      <c r="D27" s="48" t="s">
        <v>215</v>
      </c>
      <c r="E27" s="5" t="s">
        <v>79</v>
      </c>
    </row>
    <row r="28" spans="1:5">
      <c r="A28" s="183"/>
      <c r="B28" s="183"/>
      <c r="C28" s="4" t="s">
        <v>26</v>
      </c>
      <c r="D28" s="48" t="s">
        <v>216</v>
      </c>
      <c r="E28" s="5" t="s">
        <v>80</v>
      </c>
    </row>
    <row r="29" spans="1:5">
      <c r="A29" s="183"/>
      <c r="B29" s="183"/>
      <c r="C29" s="6" t="s">
        <v>27</v>
      </c>
      <c r="D29" s="52" t="s">
        <v>217</v>
      </c>
      <c r="E29" s="7" t="s">
        <v>369</v>
      </c>
    </row>
    <row r="30" spans="1:5">
      <c r="A30" s="183"/>
      <c r="B30" s="183"/>
      <c r="C30" s="6" t="s">
        <v>28</v>
      </c>
      <c r="D30" s="52" t="s">
        <v>218</v>
      </c>
      <c r="E30" s="7" t="s">
        <v>369</v>
      </c>
    </row>
    <row r="31" spans="1:5">
      <c r="A31" s="183"/>
      <c r="B31" s="183"/>
      <c r="C31" s="6" t="s">
        <v>29</v>
      </c>
      <c r="D31" s="52" t="s">
        <v>219</v>
      </c>
      <c r="E31" s="7" t="s">
        <v>369</v>
      </c>
    </row>
    <row r="32" spans="1:5">
      <c r="A32" s="183"/>
      <c r="B32" s="183"/>
      <c r="C32" s="6" t="s">
        <v>71</v>
      </c>
      <c r="D32" s="52" t="s">
        <v>220</v>
      </c>
      <c r="E32" s="7" t="s">
        <v>369</v>
      </c>
    </row>
    <row r="33" spans="1:5">
      <c r="A33" s="183"/>
      <c r="B33" s="183"/>
      <c r="C33" s="4" t="s">
        <v>30</v>
      </c>
      <c r="D33" s="48" t="s">
        <v>221</v>
      </c>
      <c r="E33" s="5" t="s">
        <v>64</v>
      </c>
    </row>
    <row r="34" spans="1:5">
      <c r="A34" s="183"/>
      <c r="B34" s="183"/>
      <c r="C34" s="6" t="s">
        <v>31</v>
      </c>
      <c r="D34" s="52" t="s">
        <v>222</v>
      </c>
      <c r="E34" s="7" t="s">
        <v>369</v>
      </c>
    </row>
    <row r="35" spans="1:5">
      <c r="A35" s="183"/>
      <c r="B35" s="183"/>
      <c r="C35" s="6" t="s">
        <v>118</v>
      </c>
      <c r="D35" s="52" t="s">
        <v>223</v>
      </c>
      <c r="E35" s="7" t="s">
        <v>369</v>
      </c>
    </row>
    <row r="36" spans="1:5">
      <c r="A36" s="183"/>
      <c r="B36" s="183"/>
      <c r="C36" s="20" t="s">
        <v>32</v>
      </c>
      <c r="D36" s="48" t="s">
        <v>224</v>
      </c>
      <c r="E36" s="5" t="s">
        <v>73</v>
      </c>
    </row>
    <row r="37" spans="1:5">
      <c r="A37" s="183"/>
      <c r="B37" s="183"/>
      <c r="C37" s="4" t="s">
        <v>33</v>
      </c>
      <c r="D37" s="48" t="s">
        <v>225</v>
      </c>
      <c r="E37" s="5" t="s">
        <v>75</v>
      </c>
    </row>
    <row r="38" spans="1:5">
      <c r="A38" s="183"/>
      <c r="B38" s="183"/>
      <c r="C38" s="4" t="s">
        <v>34</v>
      </c>
      <c r="D38" s="48" t="s">
        <v>226</v>
      </c>
      <c r="E38" s="5" t="s">
        <v>76</v>
      </c>
    </row>
    <row r="39" spans="1:5">
      <c r="A39" s="183"/>
      <c r="B39" s="184"/>
      <c r="C39" s="4" t="s">
        <v>35</v>
      </c>
      <c r="D39" s="48" t="s">
        <v>227</v>
      </c>
      <c r="E39" s="5" t="s">
        <v>77</v>
      </c>
    </row>
    <row r="40" spans="1:5" ht="55.2" customHeight="1">
      <c r="A40" s="104"/>
      <c r="B40" s="104" t="s">
        <v>455</v>
      </c>
      <c r="C40" s="4" t="s">
        <v>455</v>
      </c>
      <c r="D40" s="113" t="s">
        <v>457</v>
      </c>
      <c r="E40" s="114" t="s">
        <v>484</v>
      </c>
    </row>
    <row r="41" spans="1:5" ht="66.599999999999994" customHeight="1">
      <c r="A41" s="104"/>
      <c r="B41" s="104"/>
      <c r="C41" s="18" t="s">
        <v>462</v>
      </c>
      <c r="D41" s="113" t="s">
        <v>461</v>
      </c>
      <c r="E41" s="86" t="s">
        <v>463</v>
      </c>
    </row>
    <row r="42" spans="1:5" ht="18" customHeight="1">
      <c r="A42" s="183"/>
      <c r="B42" s="185" t="s">
        <v>72</v>
      </c>
      <c r="C42" s="4" t="s">
        <v>485</v>
      </c>
      <c r="D42" s="51" t="s">
        <v>322</v>
      </c>
      <c r="E42" s="7" t="s">
        <v>369</v>
      </c>
    </row>
    <row r="43" spans="1:5">
      <c r="A43" s="183"/>
      <c r="B43" s="186"/>
      <c r="C43" s="18" t="s">
        <v>84</v>
      </c>
      <c r="D43" s="48" t="s">
        <v>228</v>
      </c>
      <c r="E43" s="7" t="s">
        <v>369</v>
      </c>
    </row>
    <row r="44" spans="1:5" ht="72">
      <c r="A44" s="183"/>
      <c r="B44" s="186"/>
      <c r="C44" s="18" t="s">
        <v>83</v>
      </c>
      <c r="D44" s="48" t="s">
        <v>229</v>
      </c>
      <c r="E44" s="40" t="s">
        <v>417</v>
      </c>
    </row>
    <row r="45" spans="1:5">
      <c r="A45" s="184"/>
      <c r="B45" s="187"/>
      <c r="C45" s="18" t="s">
        <v>82</v>
      </c>
      <c r="D45" s="48" t="s">
        <v>230</v>
      </c>
      <c r="E45" s="7" t="s">
        <v>369</v>
      </c>
    </row>
    <row r="46" spans="1:5">
      <c r="D46" s="3"/>
    </row>
    <row r="47" spans="1:5" s="23" customFormat="1">
      <c r="A47" s="179" t="s">
        <v>467</v>
      </c>
      <c r="B47" s="179"/>
      <c r="C47" s="179"/>
      <c r="D47" s="43"/>
      <c r="E47" s="22" t="s">
        <v>129</v>
      </c>
    </row>
    <row r="48" spans="1:5" s="23" customFormat="1">
      <c r="A48" s="180" t="s">
        <v>2</v>
      </c>
      <c r="B48" s="24"/>
      <c r="C48" s="24"/>
      <c r="D48" s="24"/>
      <c r="E48" s="24"/>
    </row>
    <row r="49" spans="1:5" s="23" customFormat="1">
      <c r="A49" s="180"/>
      <c r="B49" s="180" t="s">
        <v>3</v>
      </c>
      <c r="C49" s="24"/>
      <c r="D49" s="24" t="s">
        <v>232</v>
      </c>
      <c r="E49" s="24"/>
    </row>
    <row r="50" spans="1:5" s="23" customFormat="1">
      <c r="A50" s="180"/>
      <c r="B50" s="180"/>
      <c r="C50" s="24" t="s">
        <v>4</v>
      </c>
      <c r="D50" s="24" t="s">
        <v>233</v>
      </c>
      <c r="E50" s="25" t="s">
        <v>141</v>
      </c>
    </row>
    <row r="51" spans="1:5" s="23" customFormat="1">
      <c r="A51" s="180"/>
      <c r="B51" s="180"/>
      <c r="C51" s="26" t="s">
        <v>5</v>
      </c>
      <c r="D51" s="24" t="s">
        <v>252</v>
      </c>
      <c r="E51" s="118" t="s">
        <v>466</v>
      </c>
    </row>
    <row r="52" spans="1:5" s="23" customFormat="1">
      <c r="A52" s="180"/>
      <c r="B52" s="180"/>
      <c r="C52" s="24" t="s">
        <v>6</v>
      </c>
      <c r="D52" s="24" t="s">
        <v>234</v>
      </c>
      <c r="E52" s="28" t="s">
        <v>59</v>
      </c>
    </row>
    <row r="53" spans="1:5" s="23" customFormat="1">
      <c r="A53" s="180"/>
      <c r="B53" s="180"/>
      <c r="C53" s="24" t="s">
        <v>7</v>
      </c>
      <c r="D53" s="24" t="s">
        <v>235</v>
      </c>
      <c r="E53" s="25" t="s">
        <v>60</v>
      </c>
    </row>
    <row r="54" spans="1:5" s="23" customFormat="1">
      <c r="A54" s="180"/>
      <c r="B54" s="180"/>
      <c r="C54" s="24" t="s">
        <v>130</v>
      </c>
      <c r="D54" s="24" t="s">
        <v>196</v>
      </c>
      <c r="E54" s="1" t="str">
        <f>"リクエスト「" &amp; C54  &amp; "」の値を設定"</f>
        <v>リクエスト「店　番」の値を設定</v>
      </c>
    </row>
    <row r="55" spans="1:5" s="23" customFormat="1">
      <c r="A55" s="180"/>
      <c r="B55" s="180"/>
      <c r="C55" s="24" t="s">
        <v>8</v>
      </c>
      <c r="D55" s="24" t="s">
        <v>191</v>
      </c>
      <c r="E55" s="27" t="s">
        <v>62</v>
      </c>
    </row>
    <row r="56" spans="1:5" s="23" customFormat="1">
      <c r="A56" s="180"/>
      <c r="B56" s="180"/>
      <c r="C56" s="24" t="s">
        <v>131</v>
      </c>
      <c r="D56" s="24" t="s">
        <v>198</v>
      </c>
      <c r="E56" s="1" t="str">
        <f t="shared" ref="E56:E57" si="2">"リクエスト「" &amp; C56  &amp; "」の値を設定"</f>
        <v>リクエスト「レジNo.」の値を設定</v>
      </c>
    </row>
    <row r="57" spans="1:5" s="23" customFormat="1">
      <c r="A57" s="180"/>
      <c r="B57" s="180"/>
      <c r="C57" s="24" t="s">
        <v>132</v>
      </c>
      <c r="D57" s="24" t="s">
        <v>199</v>
      </c>
      <c r="E57" s="1" t="str">
        <f t="shared" si="2"/>
        <v>リクエスト「チケット発券操作レジNo.」の値を設定</v>
      </c>
    </row>
    <row r="58" spans="1:5" s="23" customFormat="1">
      <c r="A58" s="180"/>
      <c r="B58" s="180"/>
      <c r="C58" s="24" t="s">
        <v>133</v>
      </c>
      <c r="D58" s="24" t="s">
        <v>253</v>
      </c>
      <c r="E58" s="28" t="s">
        <v>142</v>
      </c>
    </row>
    <row r="59" spans="1:5" s="23" customFormat="1">
      <c r="A59" s="180"/>
      <c r="B59" s="180"/>
      <c r="C59" s="154" t="s">
        <v>506</v>
      </c>
      <c r="D59" s="24" t="s">
        <v>254</v>
      </c>
      <c r="E59" s="155" t="str">
        <f>"リクエスト「" &amp; C59  &amp; "」の値を設定"</f>
        <v>リクエスト「支払方法区分」の値を設定</v>
      </c>
    </row>
    <row r="60" spans="1:5" s="23" customFormat="1">
      <c r="A60" s="180"/>
      <c r="B60" s="180"/>
      <c r="C60" s="24" t="s">
        <v>13</v>
      </c>
      <c r="D60" s="24" t="s">
        <v>255</v>
      </c>
      <c r="E60" s="1" t="str">
        <f t="shared" ref="E60:E61" si="3">"リクエスト「" &amp; C60  &amp; "」の値を設定"</f>
        <v>リクエスト「利用年月日時分秒」の値を設定</v>
      </c>
    </row>
    <row r="61" spans="1:5" s="23" customFormat="1">
      <c r="A61" s="180"/>
      <c r="B61" s="180"/>
      <c r="C61" s="24" t="s">
        <v>14</v>
      </c>
      <c r="D61" s="24" t="s">
        <v>237</v>
      </c>
      <c r="E61" s="1" t="str">
        <f t="shared" si="3"/>
        <v>リクエスト「処理通番」の値を設定</v>
      </c>
    </row>
    <row r="62" spans="1:5" s="23" customFormat="1">
      <c r="A62" s="180"/>
      <c r="B62" s="180"/>
      <c r="C62" s="24" t="s">
        <v>15</v>
      </c>
      <c r="D62" s="24" t="s">
        <v>256</v>
      </c>
      <c r="E62" s="27" t="s">
        <v>143</v>
      </c>
    </row>
    <row r="63" spans="1:5" s="23" customFormat="1">
      <c r="A63" s="180"/>
      <c r="B63" s="180"/>
      <c r="C63" s="24" t="s">
        <v>16</v>
      </c>
      <c r="D63" s="24" t="s">
        <v>205</v>
      </c>
      <c r="E63" s="1" t="str">
        <f>"リクエスト「" &amp; C63  &amp; "」の値を設定"</f>
        <v>リクエスト「要求区分」の値を設定</v>
      </c>
    </row>
    <row r="64" spans="1:5" s="23" customFormat="1">
      <c r="A64" s="180"/>
      <c r="B64" s="180"/>
      <c r="C64" s="24" t="s">
        <v>17</v>
      </c>
      <c r="D64" s="24" t="s">
        <v>257</v>
      </c>
      <c r="E64" s="1" t="str">
        <f>"リクエスト「" &amp; C64  &amp; "」の値を設定"</f>
        <v>リクエスト「問合せ・完了区分」の値を設定</v>
      </c>
    </row>
    <row r="65" spans="1:5" s="23" customFormat="1">
      <c r="A65" s="180"/>
      <c r="B65" s="180" t="s">
        <v>135</v>
      </c>
      <c r="C65" s="24"/>
      <c r="D65" s="24" t="s">
        <v>207</v>
      </c>
      <c r="E65" s="25"/>
    </row>
    <row r="66" spans="1:5" s="23" customFormat="1">
      <c r="A66" s="180"/>
      <c r="B66" s="180"/>
      <c r="C66" s="24" t="s">
        <v>136</v>
      </c>
      <c r="D66" s="24" t="s">
        <v>258</v>
      </c>
      <c r="E66" s="1" t="str">
        <f>"リクエスト「" &amp; C66  &amp; "」の値を設定"</f>
        <v>リクエスト「決済ＩＤ（検索キー）」の値を設定</v>
      </c>
    </row>
    <row r="67" spans="1:5" s="23" customFormat="1" ht="17.399999999999999" customHeight="1">
      <c r="A67" s="180"/>
      <c r="B67" s="180"/>
      <c r="C67" s="24" t="s">
        <v>20</v>
      </c>
      <c r="D67" s="24" t="s">
        <v>259</v>
      </c>
      <c r="E67" s="155" t="str">
        <f>"リクエスト「" &amp; C67  &amp; "」の値を設定"</f>
        <v>リクエスト「バーコードNo.」の値を設定</v>
      </c>
    </row>
    <row r="68" spans="1:5" s="23" customFormat="1">
      <c r="A68" s="180"/>
      <c r="B68" s="180"/>
      <c r="C68" s="24" t="s">
        <v>137</v>
      </c>
      <c r="D68" s="24" t="s">
        <v>260</v>
      </c>
      <c r="E68" s="25" t="s">
        <v>144</v>
      </c>
    </row>
    <row r="69" spans="1:5" s="23" customFormat="1">
      <c r="A69" s="180"/>
      <c r="B69" s="180"/>
      <c r="C69" s="24" t="s">
        <v>138</v>
      </c>
      <c r="D69" s="24" t="s">
        <v>261</v>
      </c>
      <c r="E69" s="7" t="s">
        <v>369</v>
      </c>
    </row>
    <row r="70" spans="1:5" s="23" customFormat="1">
      <c r="A70" s="180"/>
      <c r="B70" s="180"/>
      <c r="C70" s="24" t="s">
        <v>31</v>
      </c>
      <c r="D70" s="24" t="s">
        <v>262</v>
      </c>
      <c r="E70" s="7" t="s">
        <v>369</v>
      </c>
    </row>
    <row r="71" spans="1:5" s="23" customFormat="1">
      <c r="A71" s="180"/>
      <c r="B71" s="180"/>
      <c r="C71" s="24" t="s">
        <v>139</v>
      </c>
      <c r="D71" s="24" t="s">
        <v>263</v>
      </c>
      <c r="E71" s="7" t="s">
        <v>369</v>
      </c>
    </row>
    <row r="72" spans="1:5" s="23" customFormat="1">
      <c r="A72" s="180"/>
      <c r="B72" s="180"/>
      <c r="C72" s="24" t="s">
        <v>140</v>
      </c>
      <c r="D72" s="116" t="s">
        <v>264</v>
      </c>
      <c r="E72" s="25" t="s">
        <v>146</v>
      </c>
    </row>
    <row r="73" spans="1:5" s="23" customFormat="1">
      <c r="A73" s="180"/>
      <c r="B73" s="180"/>
      <c r="C73" s="24" t="s">
        <v>1</v>
      </c>
      <c r="D73" s="24" t="s">
        <v>211</v>
      </c>
      <c r="E73" s="118" t="s">
        <v>466</v>
      </c>
    </row>
  </sheetData>
  <mergeCells count="10">
    <mergeCell ref="A47:C47"/>
    <mergeCell ref="A48:A73"/>
    <mergeCell ref="B49:B64"/>
    <mergeCell ref="B65:B73"/>
    <mergeCell ref="A1:C1"/>
    <mergeCell ref="A2:A39"/>
    <mergeCell ref="B3:B18"/>
    <mergeCell ref="B19:B39"/>
    <mergeCell ref="A42:A45"/>
    <mergeCell ref="B42:B45"/>
  </mergeCells>
  <phoneticPr fontId="27"/>
  <pageMargins left="0.70866141732283472" right="0.70866141732283472" top="0.74803149606299213" bottom="0.74803149606299213" header="0.31496062992125984" footer="0.31496062992125984"/>
  <pageSetup paperSize="8" scale="4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7A7C-D3E9-43ED-BCE9-5EEC23848C7B}">
  <sheetPr>
    <pageSetUpPr fitToPage="1"/>
  </sheetPr>
  <dimension ref="A1:AJ61"/>
  <sheetViews>
    <sheetView tabSelected="1" view="pageBreakPreview" zoomScale="70" zoomScaleNormal="70" zoomScaleSheetLayoutView="7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G49" sqref="G49"/>
    </sheetView>
  </sheetViews>
  <sheetFormatPr defaultColWidth="8.69921875" defaultRowHeight="18"/>
  <cols>
    <col min="1" max="1" width="25.5" style="9" customWidth="1"/>
    <col min="2" max="2" width="30.8984375" style="9" customWidth="1"/>
    <col min="3" max="3" width="18.5" style="9" customWidth="1"/>
    <col min="4" max="4" width="27.69921875" style="9" bestFit="1" customWidth="1"/>
    <col min="5" max="5" width="24.296875" style="9" customWidth="1"/>
    <col min="6" max="6" width="31.8984375" style="9" bestFit="1" customWidth="1"/>
    <col min="7" max="7" width="37" style="9" customWidth="1"/>
    <col min="8" max="8" width="35.09765625" style="9" bestFit="1" customWidth="1"/>
    <col min="9" max="9" width="30.19921875" style="9" bestFit="1" customWidth="1"/>
    <col min="10" max="10" width="29.19921875" style="9" bestFit="1" customWidth="1"/>
    <col min="11" max="11" width="23.5" style="9" bestFit="1" customWidth="1"/>
    <col min="12" max="12" width="15.09765625" style="57" customWidth="1"/>
    <col min="13" max="36" width="0" style="9" hidden="1" customWidth="1"/>
    <col min="37" max="16384" width="8.69921875" style="9"/>
  </cols>
  <sheetData>
    <row r="1" spans="1:12" ht="54" customHeight="1">
      <c r="A1" s="193" t="s">
        <v>53</v>
      </c>
      <c r="B1" s="189" t="str">
        <f xml:space="preserve"> "問合せレスポンスパターン" &amp; "（" &amp; SUM(B19:K19) &amp; "ビット）"</f>
        <v>問合せレスポンスパターン（23ビット）</v>
      </c>
      <c r="C1" s="190"/>
      <c r="D1" s="190"/>
      <c r="E1" s="190"/>
      <c r="F1" s="190"/>
      <c r="G1" s="190"/>
      <c r="H1" s="190"/>
      <c r="I1" s="190"/>
      <c r="J1" s="190"/>
      <c r="K1" s="190"/>
      <c r="L1" s="188" t="s">
        <v>347</v>
      </c>
    </row>
    <row r="2" spans="1:12" ht="36">
      <c r="A2" s="193"/>
      <c r="B2" s="12" t="str">
        <f xml:space="preserve"> "支払種別" &amp; CHAR(10) &amp; "（" &amp; B19 &amp; "ビット）"</f>
        <v>支払種別
（2ビット）</v>
      </c>
      <c r="C2" s="12" t="str">
        <f xml:space="preserve"> "納品種別" &amp; CHAR(10) &amp; "（" &amp; C19 &amp; "ビット）"</f>
        <v>納品種別
（1ビット）</v>
      </c>
      <c r="D2" s="12" t="str">
        <f xml:space="preserve"> "売上計上区分" &amp; CHAR(10) &amp; "（" &amp; D19 &amp; "ビット）"</f>
        <v>売上計上区分
（2ビット）</v>
      </c>
      <c r="E2" s="12" t="str">
        <f xml:space="preserve"> "印紙基準額" &amp; CHAR(10) &amp; "（" &amp; E19 &amp; "ビット）"</f>
        <v>印紙基準額
（2ビット）</v>
      </c>
      <c r="F2" s="12" t="str">
        <f xml:space="preserve"> "価格変更フラグ" &amp; CHAR(10) &amp; "（" &amp; F19 &amp; "ビット）"</f>
        <v>価格変更フラグ
（1ビット）</v>
      </c>
      <c r="G2" s="12" t="str">
        <f xml:space="preserve"> "機能区分" &amp; CHAR(10) &amp; "（" &amp; G19 &amp; "ビット）"</f>
        <v>機能区分
（1ビット）</v>
      </c>
      <c r="H2" s="12" t="str">
        <f xml:space="preserve"> "SHOPCD" &amp; CHAR(10) &amp; "（" &amp; H19 &amp; "ビット）"</f>
        <v>SHOPCD
（4ビット）</v>
      </c>
      <c r="I2" s="12" t="str">
        <f xml:space="preserve"> "収納金額" &amp; CHAR(10) &amp; "（" &amp;I19 &amp;  "ビット）"</f>
        <v>収納金額
（2ビット）</v>
      </c>
      <c r="J2" s="12" t="str">
        <f xml:space="preserve"> "チケット発券個別情報(枚数)" &amp; CHAR(10) &amp; "（" &amp;J19&amp; "ビット）"</f>
        <v>チケット発券個別情報(枚数)
（4ビット）</v>
      </c>
      <c r="K2" s="12" t="str">
        <f xml:space="preserve"> "券面情報データ" &amp; CHAR(10) &amp; "（" &amp; K19 &amp; "ビット）"</f>
        <v>券面情報データ
（4ビット）</v>
      </c>
      <c r="L2" s="188"/>
    </row>
    <row r="3" spans="1:12">
      <c r="A3" s="21">
        <v>0</v>
      </c>
      <c r="B3" s="88" t="s">
        <v>51</v>
      </c>
      <c r="C3" s="110" t="s">
        <v>329</v>
      </c>
      <c r="D3" s="88" t="s">
        <v>49</v>
      </c>
      <c r="E3" s="110" t="s">
        <v>453</v>
      </c>
      <c r="F3" s="88" t="s">
        <v>48</v>
      </c>
      <c r="G3" s="88" t="s">
        <v>38</v>
      </c>
      <c r="H3" s="88" t="s">
        <v>47</v>
      </c>
      <c r="I3" s="110" t="s">
        <v>453</v>
      </c>
      <c r="J3" s="89">
        <v>0</v>
      </c>
      <c r="K3" s="111" t="s">
        <v>380</v>
      </c>
      <c r="L3" s="76">
        <v>0</v>
      </c>
    </row>
    <row r="4" spans="1:12">
      <c r="A4" s="21">
        <v>1</v>
      </c>
      <c r="B4" s="88" t="s">
        <v>46</v>
      </c>
      <c r="C4" s="110" t="s">
        <v>328</v>
      </c>
      <c r="D4" s="88" t="s">
        <v>44</v>
      </c>
      <c r="E4" s="88" t="s">
        <v>41</v>
      </c>
      <c r="F4" s="88" t="s">
        <v>43</v>
      </c>
      <c r="G4" s="88" t="s">
        <v>36</v>
      </c>
      <c r="H4" s="91" t="s">
        <v>42</v>
      </c>
      <c r="I4" s="88" t="s">
        <v>41</v>
      </c>
      <c r="J4" s="89">
        <v>1</v>
      </c>
      <c r="K4" s="90" t="s">
        <v>370</v>
      </c>
      <c r="L4" s="76">
        <v>1</v>
      </c>
    </row>
    <row r="5" spans="1:12">
      <c r="A5" s="21">
        <v>10</v>
      </c>
      <c r="B5" s="88" t="s">
        <v>40</v>
      </c>
      <c r="C5" s="92"/>
      <c r="D5" s="88" t="s">
        <v>39</v>
      </c>
      <c r="E5" s="93" t="s">
        <v>63</v>
      </c>
      <c r="F5" s="92"/>
      <c r="G5" s="92"/>
      <c r="H5" s="99" t="s">
        <v>366</v>
      </c>
      <c r="I5" s="93" t="s">
        <v>63</v>
      </c>
      <c r="J5" s="89">
        <v>2</v>
      </c>
      <c r="K5" s="90" t="s">
        <v>371</v>
      </c>
      <c r="L5" s="76">
        <v>2</v>
      </c>
    </row>
    <row r="6" spans="1:12">
      <c r="A6" s="21">
        <v>11</v>
      </c>
      <c r="B6" s="92"/>
      <c r="C6" s="92"/>
      <c r="D6" s="92"/>
      <c r="E6" s="88" t="s">
        <v>37</v>
      </c>
      <c r="F6" s="92"/>
      <c r="G6" s="92"/>
      <c r="H6" s="98" t="s">
        <v>367</v>
      </c>
      <c r="I6" s="88" t="s">
        <v>37</v>
      </c>
      <c r="J6" s="89">
        <v>3</v>
      </c>
      <c r="K6" s="90" t="s">
        <v>372</v>
      </c>
      <c r="L6" s="77">
        <v>3</v>
      </c>
    </row>
    <row r="7" spans="1:12">
      <c r="A7" s="21">
        <v>100</v>
      </c>
      <c r="B7" s="92"/>
      <c r="C7" s="92"/>
      <c r="D7" s="92"/>
      <c r="E7" s="92"/>
      <c r="F7" s="92"/>
      <c r="G7" s="92"/>
      <c r="H7" s="99" t="s">
        <v>425</v>
      </c>
      <c r="I7" s="92"/>
      <c r="J7" s="89">
        <v>4</v>
      </c>
      <c r="K7" s="90" t="s">
        <v>373</v>
      </c>
      <c r="L7" s="76"/>
    </row>
    <row r="8" spans="1:12">
      <c r="A8" s="21">
        <v>101</v>
      </c>
      <c r="B8" s="92"/>
      <c r="C8" s="92"/>
      <c r="D8" s="92"/>
      <c r="E8" s="92"/>
      <c r="F8" s="92"/>
      <c r="G8" s="92"/>
      <c r="H8" s="99" t="s">
        <v>426</v>
      </c>
      <c r="I8" s="92"/>
      <c r="J8" s="89">
        <v>5</v>
      </c>
      <c r="K8" s="90" t="s">
        <v>374</v>
      </c>
      <c r="L8" s="76"/>
    </row>
    <row r="9" spans="1:12">
      <c r="A9" s="21">
        <v>110</v>
      </c>
      <c r="B9" s="92"/>
      <c r="C9" s="92"/>
      <c r="D9" s="92"/>
      <c r="E9" s="92"/>
      <c r="F9" s="92"/>
      <c r="G9" s="92"/>
      <c r="H9" s="99" t="s">
        <v>427</v>
      </c>
      <c r="I9" s="92"/>
      <c r="J9" s="89">
        <v>6</v>
      </c>
      <c r="K9" s="90" t="s">
        <v>375</v>
      </c>
      <c r="L9" s="76"/>
    </row>
    <row r="10" spans="1:12">
      <c r="A10" s="21">
        <v>111</v>
      </c>
      <c r="B10" s="92"/>
      <c r="C10" s="92"/>
      <c r="D10" s="92"/>
      <c r="E10" s="92"/>
      <c r="F10" s="92"/>
      <c r="G10" s="92"/>
      <c r="H10" s="99" t="s">
        <v>428</v>
      </c>
      <c r="I10" s="92"/>
      <c r="J10" s="89">
        <v>7</v>
      </c>
      <c r="K10" s="208" t="s">
        <v>511</v>
      </c>
      <c r="L10" s="76"/>
    </row>
    <row r="11" spans="1:12">
      <c r="A11" s="21">
        <v>1000</v>
      </c>
      <c r="B11" s="92"/>
      <c r="C11" s="92"/>
      <c r="D11" s="92"/>
      <c r="E11" s="92"/>
      <c r="F11" s="92"/>
      <c r="G11" s="92"/>
      <c r="H11" s="99" t="s">
        <v>429</v>
      </c>
      <c r="I11" s="92"/>
      <c r="J11" s="89">
        <v>8</v>
      </c>
      <c r="K11" s="209" t="s">
        <v>512</v>
      </c>
      <c r="L11" s="76"/>
    </row>
    <row r="12" spans="1:12">
      <c r="A12" s="21">
        <v>1001</v>
      </c>
      <c r="B12" s="92"/>
      <c r="C12" s="94"/>
      <c r="D12" s="92"/>
      <c r="E12" s="92"/>
      <c r="F12" s="92"/>
      <c r="G12" s="92"/>
      <c r="H12" s="92"/>
      <c r="I12" s="92"/>
      <c r="J12" s="89">
        <v>9</v>
      </c>
      <c r="K12" s="76"/>
      <c r="L12" s="76"/>
    </row>
    <row r="13" spans="1:12">
      <c r="A13" s="21">
        <v>1010</v>
      </c>
      <c r="B13" s="92"/>
      <c r="C13" s="94"/>
      <c r="D13" s="92"/>
      <c r="E13" s="92"/>
      <c r="F13" s="92"/>
      <c r="G13" s="92"/>
      <c r="H13" s="92"/>
      <c r="I13" s="92"/>
      <c r="J13" s="89">
        <v>10</v>
      </c>
      <c r="K13" s="76"/>
      <c r="L13" s="76"/>
    </row>
    <row r="14" spans="1:12">
      <c r="A14" s="21">
        <v>1011</v>
      </c>
      <c r="B14" s="92"/>
      <c r="C14" s="94"/>
      <c r="D14" s="92"/>
      <c r="E14" s="92"/>
      <c r="F14" s="92"/>
      <c r="G14" s="92"/>
      <c r="H14" s="92"/>
      <c r="I14" s="92"/>
      <c r="J14" s="89">
        <v>12</v>
      </c>
      <c r="K14" s="76"/>
      <c r="L14" s="76"/>
    </row>
    <row r="15" spans="1:12">
      <c r="A15" s="21">
        <v>1100</v>
      </c>
      <c r="B15" s="92"/>
      <c r="C15" s="94"/>
      <c r="D15" s="92"/>
      <c r="E15" s="92"/>
      <c r="F15" s="92"/>
      <c r="G15" s="92"/>
      <c r="H15" s="92"/>
      <c r="I15" s="92"/>
      <c r="J15" s="89">
        <v>14</v>
      </c>
      <c r="K15" s="76"/>
      <c r="L15" s="76"/>
    </row>
    <row r="16" spans="1:12">
      <c r="A16" s="21">
        <v>1101</v>
      </c>
      <c r="B16" s="92"/>
      <c r="C16" s="94"/>
      <c r="D16" s="92"/>
      <c r="E16" s="92"/>
      <c r="F16" s="92"/>
      <c r="G16" s="92"/>
      <c r="H16" s="92"/>
      <c r="I16" s="92"/>
      <c r="J16" s="89">
        <v>16</v>
      </c>
      <c r="K16" s="76"/>
      <c r="L16" s="76"/>
    </row>
    <row r="17" spans="1:13">
      <c r="A17" s="21">
        <v>1110</v>
      </c>
      <c r="B17" s="92"/>
      <c r="C17" s="94"/>
      <c r="D17" s="92"/>
      <c r="E17" s="92"/>
      <c r="F17" s="92"/>
      <c r="G17" s="92"/>
      <c r="H17" s="92"/>
      <c r="I17" s="92"/>
      <c r="J17" s="89">
        <v>18</v>
      </c>
      <c r="K17" s="76"/>
      <c r="L17" s="76"/>
    </row>
    <row r="18" spans="1:13">
      <c r="A18" s="21">
        <v>1111</v>
      </c>
      <c r="B18" s="92"/>
      <c r="C18" s="94"/>
      <c r="D18" s="92"/>
      <c r="E18" s="92"/>
      <c r="F18" s="92"/>
      <c r="G18" s="92"/>
      <c r="H18" s="92"/>
      <c r="I18" s="92"/>
      <c r="J18" s="89">
        <v>20</v>
      </c>
      <c r="K18" s="76"/>
      <c r="L18" s="76"/>
    </row>
    <row r="19" spans="1:13" s="53" customFormat="1">
      <c r="B19" s="53">
        <v>2</v>
      </c>
      <c r="C19" s="53">
        <v>1</v>
      </c>
      <c r="D19" s="53">
        <v>2</v>
      </c>
      <c r="E19" s="53">
        <v>2</v>
      </c>
      <c r="F19" s="53">
        <v>1</v>
      </c>
      <c r="G19" s="53">
        <v>1</v>
      </c>
      <c r="H19" s="53">
        <v>4</v>
      </c>
      <c r="I19" s="53">
        <v>2</v>
      </c>
      <c r="J19" s="53">
        <v>4</v>
      </c>
      <c r="K19" s="53">
        <v>4</v>
      </c>
      <c r="L19" s="57">
        <v>2</v>
      </c>
      <c r="M19" s="53">
        <f>SUM(B19:L19)</f>
        <v>25</v>
      </c>
    </row>
    <row r="20" spans="1:13" s="57" customFormat="1">
      <c r="A20" s="57" t="s">
        <v>334</v>
      </c>
    </row>
    <row r="21" spans="1:13" s="38" customFormat="1" ht="35.4" customHeight="1">
      <c r="A21" s="58" t="s">
        <v>335</v>
      </c>
      <c r="B21" s="59" t="s">
        <v>474</v>
      </c>
      <c r="C21" s="59" t="s">
        <v>451</v>
      </c>
      <c r="D21" s="59" t="s">
        <v>363</v>
      </c>
      <c r="E21" s="59" t="s">
        <v>63</v>
      </c>
      <c r="F21" s="59" t="s">
        <v>364</v>
      </c>
      <c r="G21" s="59" t="s">
        <v>452</v>
      </c>
      <c r="H21" s="59" t="s">
        <v>445</v>
      </c>
      <c r="I21" s="59" t="s">
        <v>63</v>
      </c>
      <c r="J21" s="59">
        <v>1</v>
      </c>
      <c r="K21" s="59" t="s">
        <v>502</v>
      </c>
      <c r="L21" s="60">
        <v>3</v>
      </c>
    </row>
    <row r="22" spans="1:13" s="38" customFormat="1" ht="40.200000000000003" customHeight="1">
      <c r="A22" s="58" t="s">
        <v>336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62" t="s">
        <v>405</v>
      </c>
    </row>
    <row r="23" spans="1:13" s="38" customFormat="1" ht="24.6" customHeight="1">
      <c r="A23" s="63" t="s">
        <v>337</v>
      </c>
      <c r="B23" s="64" t="str">
        <f>IF(AND(B25&lt;&gt;"",B25&gt;(COUNTA(B3:B5)-1)),"選択された項目が不正",IF(AND(B22&lt;&gt;"",BIN2DEC(B22)&gt;(COUNTA(B3:B5)-1)),"２進数値がオーバー",IF(AND(B22&lt;&gt;"",B25&lt;&gt;"",BIN2DEC(B22)&lt;&gt;B25),"両方入力したが不一致",IF(AND(B22="", B25=""),"未入力","OK"))))</f>
        <v>OK</v>
      </c>
      <c r="C23" s="64" t="str">
        <f>IF(AND(C25&lt;&gt;"",C25&gt;(COUNTA(C3:C4)-1)),"選択された項目が不正",IF(AND(C22&lt;&gt;"",BIN2DEC(C22)&gt;(COUNTA(C3:C4)-1)),"２進数値がオーバー",IF(AND(C22&lt;&gt;"",C25&lt;&gt;"",BIN2DEC(C22)&lt;&gt;C25),"両方入力したが不一致",IF(AND(C22="", C25=""),"未入力","OK"))))</f>
        <v>OK</v>
      </c>
      <c r="D23" s="64" t="str">
        <f t="shared" ref="D23:L23" si="0">IF(AND(D25&lt;&gt;"",D25&gt;(COUNTA(D3:D18)-1)),"選択された項目が不正",IF(AND(D22&lt;&gt;"",BIN2DEC(D22)&gt;(COUNTA(D3:D18)-1)),"２進数値がオーバー",IF(AND(D22&lt;&gt;"",D25&lt;&gt;"",BIN2DEC(D22)&lt;&gt;D25),"両方入力したが不一致",IF(AND(D22="", D25=""),"未入力","OK"))))</f>
        <v>OK</v>
      </c>
      <c r="E23" s="65" t="str">
        <f>IF(AND(E25&lt;&gt;"",E25&gt;(COUNTA(E3:E6)-1)),"選択された項目が不正",IF(AND(E22&lt;&gt;"",BIN2DEC(E22)&gt;(COUNTA(E3:E6)-1)),"２進数値がオーバー",IF(AND(E22&lt;&gt;"",E25&lt;&gt;"",BIN2DEC(E22)&lt;&gt;E25),"両方入力したが不一致",IF(AND(E22="", E25=""),"未入力","OK"))))</f>
        <v>OK</v>
      </c>
      <c r="F23" s="65" t="str">
        <f>IF(AND(F25&lt;&gt;"",F25&gt;(COUNTA(F3:F4)-1)),"選択された項目が不正",IF(AND(F22&lt;&gt;"",BIN2DEC(F22)&gt;(COUNTA(F3:F4)-1)),"２進数値がオーバー",IF(AND(F22&lt;&gt;"",F25&lt;&gt;"",BIN2DEC(F22)&lt;&gt;F25),"両方入力したが不一致",IF(AND(F22="", F25=""),"未入力","OK"))))</f>
        <v>OK</v>
      </c>
      <c r="G23" s="65" t="str">
        <f t="shared" si="0"/>
        <v>OK</v>
      </c>
      <c r="H23" s="65" t="str">
        <f t="shared" si="0"/>
        <v>OK</v>
      </c>
      <c r="I23" s="65" t="str">
        <f t="shared" si="0"/>
        <v>OK</v>
      </c>
      <c r="J23" s="65" t="str">
        <f t="shared" si="0"/>
        <v>OK</v>
      </c>
      <c r="K23" s="65" t="str">
        <f>IF(AND(K25&lt;&gt;"",K25&gt;(COUNTA(K3:K18)-1)),"選択された項目が不正",IF(AND(K22&lt;&gt;"",BIN2DEC(K22)&gt;(COUNTA(K3:K18)-1)),"２進数値がオーバー",IF(AND(K22&lt;&gt;"",K25&lt;&gt;"",BIN2DEC(K22)&lt;&gt;K25),"両方入力したが不一致",IF(AND(K22="", K25=""),"未入力","OK"))))</f>
        <v>OK</v>
      </c>
      <c r="L23" s="65" t="str">
        <f t="shared" si="0"/>
        <v>OK</v>
      </c>
    </row>
    <row r="24" spans="1:13" s="38" customFormat="1" hidden="1">
      <c r="A24" s="66" t="s">
        <v>338</v>
      </c>
    </row>
    <row r="25" spans="1:13" s="38" customFormat="1" hidden="1">
      <c r="A25" s="67" t="s">
        <v>339</v>
      </c>
      <c r="B25" s="57">
        <f t="shared" ref="B25:J25" si="1">IF(B21="","",MATCH(B21,B3:B18,0)-1)</f>
        <v>0</v>
      </c>
      <c r="C25" s="57">
        <f t="shared" si="1"/>
        <v>0</v>
      </c>
      <c r="D25" s="57">
        <f t="shared" si="1"/>
        <v>2</v>
      </c>
      <c r="E25" s="57">
        <f t="shared" si="1"/>
        <v>2</v>
      </c>
      <c r="F25" s="57">
        <f t="shared" si="1"/>
        <v>1</v>
      </c>
      <c r="G25" s="57">
        <f t="shared" si="1"/>
        <v>0</v>
      </c>
      <c r="H25" s="57">
        <f t="shared" si="1"/>
        <v>5</v>
      </c>
      <c r="I25" s="57">
        <f t="shared" si="1"/>
        <v>2</v>
      </c>
      <c r="J25" s="57">
        <f t="shared" si="1"/>
        <v>1</v>
      </c>
      <c r="K25" s="57">
        <f>IF(K21="","",MATCH(K21,K3:K18,0)-1)</f>
        <v>0</v>
      </c>
      <c r="L25" s="57">
        <f>IF(L21="","",MATCH(L21,L3:L18,0)-1)</f>
        <v>3</v>
      </c>
    </row>
    <row r="26" spans="1:13" s="38" customFormat="1" hidden="1">
      <c r="A26" s="67" t="s">
        <v>340</v>
      </c>
      <c r="B26" s="57">
        <f>ROUNDUP(LOG(COUNTA(B3:B18),2),0)</f>
        <v>2</v>
      </c>
      <c r="C26" s="57">
        <f t="shared" ref="C26:I26" si="2">ROUNDUP(LOG(COUNTA(C3:C18),2),0)</f>
        <v>1</v>
      </c>
      <c r="D26" s="57">
        <f t="shared" si="2"/>
        <v>2</v>
      </c>
      <c r="E26" s="57">
        <f t="shared" si="2"/>
        <v>2</v>
      </c>
      <c r="F26" s="57">
        <f t="shared" si="2"/>
        <v>1</v>
      </c>
      <c r="G26" s="57">
        <f t="shared" si="2"/>
        <v>1</v>
      </c>
      <c r="H26" s="57">
        <f>ROUNDUP(LOG(COUNTA(H3:H18),2),0)</f>
        <v>4</v>
      </c>
      <c r="I26" s="57">
        <f t="shared" si="2"/>
        <v>2</v>
      </c>
      <c r="J26" s="57">
        <f>ROUNDUP(LOG(COUNTA(J3:J18),2),0)</f>
        <v>4</v>
      </c>
      <c r="K26" s="57">
        <f>ROUNDUP(LOG(COUNTA(K3:K18),2),0)</f>
        <v>4</v>
      </c>
      <c r="L26" s="57">
        <v>2</v>
      </c>
    </row>
    <row r="27" spans="1:13" s="38" customFormat="1" hidden="1">
      <c r="A27" s="68" t="s">
        <v>341</v>
      </c>
      <c r="B27" s="38">
        <f>POWER(2,B26)*C27</f>
        <v>33554432</v>
      </c>
      <c r="C27" s="38">
        <f t="shared" ref="C27:J27" si="3">POWER(2,C26)*D27</f>
        <v>8388608</v>
      </c>
      <c r="D27" s="38">
        <f t="shared" si="3"/>
        <v>4194304</v>
      </c>
      <c r="E27" s="38">
        <f t="shared" si="3"/>
        <v>1048576</v>
      </c>
      <c r="F27" s="38">
        <f t="shared" si="3"/>
        <v>262144</v>
      </c>
      <c r="G27" s="38">
        <f t="shared" si="3"/>
        <v>131072</v>
      </c>
      <c r="H27" s="38">
        <f t="shared" si="3"/>
        <v>65536</v>
      </c>
      <c r="I27" s="38">
        <f t="shared" si="3"/>
        <v>4096</v>
      </c>
      <c r="J27" s="38">
        <f t="shared" si="3"/>
        <v>1024</v>
      </c>
      <c r="K27" s="38">
        <f>POWER(2,K26)*L27</f>
        <v>64</v>
      </c>
      <c r="L27" s="38">
        <f>POWER(2,L26)*1</f>
        <v>4</v>
      </c>
    </row>
    <row r="28" spans="1:13" s="38" customFormat="1" hidden="1">
      <c r="A28" s="68" t="s">
        <v>342</v>
      </c>
      <c r="B28" s="38">
        <f t="shared" ref="B28:J28" si="4">IF(B22="",B25,BIN2DEC(B22))*C27</f>
        <v>0</v>
      </c>
      <c r="C28" s="38">
        <f t="shared" si="4"/>
        <v>0</v>
      </c>
      <c r="D28" s="38">
        <f t="shared" si="4"/>
        <v>2097152</v>
      </c>
      <c r="E28" s="38">
        <f t="shared" si="4"/>
        <v>524288</v>
      </c>
      <c r="F28" s="38">
        <f t="shared" si="4"/>
        <v>131072</v>
      </c>
      <c r="G28" s="38">
        <f t="shared" si="4"/>
        <v>0</v>
      </c>
      <c r="H28" s="38">
        <f t="shared" si="4"/>
        <v>20480</v>
      </c>
      <c r="I28" s="38">
        <f t="shared" si="4"/>
        <v>2048</v>
      </c>
      <c r="J28" s="38">
        <f t="shared" si="4"/>
        <v>64</v>
      </c>
      <c r="K28" s="38">
        <f>IF(K22="",K25,BIN2DEC(K22))*L27</f>
        <v>0</v>
      </c>
      <c r="L28" s="38">
        <f>IF(L22="",L25,BIN2DEC(L22))*1</f>
        <v>3</v>
      </c>
    </row>
    <row r="29" spans="1:13" s="38" customFormat="1">
      <c r="A29" s="66" t="s">
        <v>343</v>
      </c>
    </row>
    <row r="30" spans="1:13" s="38" customFormat="1" ht="38.4" customHeight="1">
      <c r="A30" s="74" t="s">
        <v>349</v>
      </c>
      <c r="B30" s="71" t="str">
        <f>REPT("0",11-LEN(SUM(B28:L28)))   &amp; SUM(B28:L28)</f>
        <v>00002775107</v>
      </c>
      <c r="C30" s="102"/>
      <c r="I30" s="9"/>
      <c r="J30" s="101"/>
      <c r="K30" s="101"/>
    </row>
    <row r="31" spans="1:13" s="38" customFormat="1" ht="32.4" hidden="1" customHeight="1">
      <c r="A31" s="72" t="s">
        <v>345</v>
      </c>
      <c r="B31" s="73" cm="1">
        <f t="array" ref="B31">MOD(10 - MOD(SUMPRODUCT(MID("6"&amp;B30, {2,4,6,8,10,12}, 1) + 0) * 3 + SUMPRODUCT(MID("6"&amp;B30, {1,3,5,7,9,11}, 1) + 0), 10), 10)</f>
        <v>1</v>
      </c>
      <c r="I31" s="9"/>
      <c r="J31" s="9"/>
      <c r="K31" s="9"/>
    </row>
    <row r="32" spans="1:13" s="38" customFormat="1" ht="40.200000000000003" customHeight="1">
      <c r="A32" s="74" t="s">
        <v>346</v>
      </c>
      <c r="B32" s="79" t="str">
        <f>"6"&amp;B30&amp;B31&amp;""</f>
        <v>6000027751071</v>
      </c>
      <c r="I32" s="9"/>
      <c r="J32" s="9"/>
      <c r="K32" s="9"/>
    </row>
    <row r="33" spans="1:15" s="38" customFormat="1" ht="40.200000000000003" customHeight="1">
      <c r="A33" s="74" t="s">
        <v>478</v>
      </c>
      <c r="B33" s="137" t="str">
        <f>"b"&amp; B32 &amp; "b"</f>
        <v>b6000027751071b</v>
      </c>
      <c r="I33" s="9"/>
      <c r="J33" s="9"/>
      <c r="K33" s="9"/>
    </row>
    <row r="35" spans="1:15">
      <c r="A35" s="83" t="s">
        <v>376</v>
      </c>
    </row>
    <row r="36" spans="1:15">
      <c r="A36" s="84" t="s">
        <v>231</v>
      </c>
      <c r="B36" s="84" t="s">
        <v>377</v>
      </c>
      <c r="C36" s="84" t="s">
        <v>378</v>
      </c>
      <c r="D36" s="84" t="s">
        <v>418</v>
      </c>
      <c r="E36" s="84" t="s">
        <v>424</v>
      </c>
      <c r="F36" s="84" t="s">
        <v>446</v>
      </c>
      <c r="G36" s="84" t="s">
        <v>430</v>
      </c>
      <c r="H36" s="84" t="s">
        <v>379</v>
      </c>
    </row>
    <row r="37" spans="1:15">
      <c r="A37" s="85" t="s">
        <v>380</v>
      </c>
      <c r="B37" s="5" t="s">
        <v>387</v>
      </c>
      <c r="C37" s="86" t="s">
        <v>386</v>
      </c>
      <c r="D37" s="135">
        <v>30731</v>
      </c>
      <c r="E37" s="135" t="s">
        <v>419</v>
      </c>
      <c r="F37" s="87" t="s">
        <v>436</v>
      </c>
      <c r="G37" s="87" t="s">
        <v>464</v>
      </c>
      <c r="H37" s="117" t="s">
        <v>465</v>
      </c>
    </row>
    <row r="38" spans="1:15">
      <c r="A38" s="85" t="s">
        <v>381</v>
      </c>
      <c r="B38" s="203" t="s">
        <v>388</v>
      </c>
      <c r="C38" s="164" t="s">
        <v>400</v>
      </c>
      <c r="D38" s="203">
        <v>30771</v>
      </c>
      <c r="E38" s="205" t="s">
        <v>420</v>
      </c>
      <c r="F38" s="206" t="s">
        <v>431</v>
      </c>
      <c r="G38" s="100" t="s">
        <v>437</v>
      </c>
      <c r="H38" s="100" t="s">
        <v>398</v>
      </c>
    </row>
    <row r="39" spans="1:15">
      <c r="A39" s="85" t="s">
        <v>382</v>
      </c>
      <c r="B39" s="204"/>
      <c r="C39" s="166"/>
      <c r="D39" s="204"/>
      <c r="E39" s="205"/>
      <c r="F39" s="207"/>
      <c r="G39" s="100" t="s">
        <v>444</v>
      </c>
      <c r="H39" s="100" t="s">
        <v>399</v>
      </c>
    </row>
    <row r="40" spans="1:15">
      <c r="A40" s="85" t="s">
        <v>383</v>
      </c>
      <c r="B40" s="5" t="s">
        <v>389</v>
      </c>
      <c r="C40" s="86" t="s">
        <v>401</v>
      </c>
      <c r="D40" s="135">
        <v>30773</v>
      </c>
      <c r="E40" s="135" t="s">
        <v>421</v>
      </c>
      <c r="F40" s="136" t="s">
        <v>432</v>
      </c>
      <c r="G40" s="87" t="s">
        <v>438</v>
      </c>
      <c r="H40" s="87" t="s">
        <v>394</v>
      </c>
    </row>
    <row r="41" spans="1:15">
      <c r="A41" s="85" t="s">
        <v>384</v>
      </c>
      <c r="B41" s="5" t="s">
        <v>390</v>
      </c>
      <c r="C41" s="86" t="s">
        <v>402</v>
      </c>
      <c r="D41" s="135">
        <v>30773</v>
      </c>
      <c r="E41" s="135" t="s">
        <v>421</v>
      </c>
      <c r="F41" s="136" t="s">
        <v>433</v>
      </c>
      <c r="G41" s="87" t="s">
        <v>439</v>
      </c>
      <c r="H41" s="87" t="s">
        <v>395</v>
      </c>
    </row>
    <row r="42" spans="1:15" ht="36">
      <c r="A42" s="85" t="s">
        <v>385</v>
      </c>
      <c r="B42" s="5" t="s">
        <v>391</v>
      </c>
      <c r="C42" s="86" t="s">
        <v>403</v>
      </c>
      <c r="D42" s="135">
        <v>30775</v>
      </c>
      <c r="E42" s="135" t="s">
        <v>422</v>
      </c>
      <c r="F42" s="136" t="s">
        <v>434</v>
      </c>
      <c r="G42" s="87" t="s">
        <v>440</v>
      </c>
      <c r="H42" s="87" t="s">
        <v>396</v>
      </c>
    </row>
    <row r="43" spans="1:15">
      <c r="A43" s="85" t="s">
        <v>404</v>
      </c>
      <c r="B43" s="5" t="s">
        <v>393</v>
      </c>
      <c r="C43" s="5" t="s">
        <v>392</v>
      </c>
      <c r="D43" s="119" t="s">
        <v>473</v>
      </c>
      <c r="E43" s="135" t="s">
        <v>423</v>
      </c>
      <c r="F43" s="136" t="s">
        <v>435</v>
      </c>
      <c r="G43" s="87" t="s">
        <v>441</v>
      </c>
      <c r="H43" s="87" t="s">
        <v>397</v>
      </c>
    </row>
    <row r="44" spans="1:15">
      <c r="A44" s="85" t="s">
        <v>511</v>
      </c>
      <c r="B44" s="210" t="s">
        <v>513</v>
      </c>
      <c r="C44" s="210" t="s">
        <v>513</v>
      </c>
      <c r="D44" s="212" t="s">
        <v>517</v>
      </c>
      <c r="E44" s="213" t="s">
        <v>518</v>
      </c>
      <c r="F44" s="210" t="s">
        <v>513</v>
      </c>
      <c r="G44" s="211" t="s">
        <v>515</v>
      </c>
      <c r="H44" s="211"/>
    </row>
    <row r="45" spans="1:15">
      <c r="A45" s="85" t="s">
        <v>512</v>
      </c>
      <c r="B45" s="210" t="s">
        <v>514</v>
      </c>
      <c r="C45" s="210" t="s">
        <v>514</v>
      </c>
      <c r="D45" s="212" t="s">
        <v>517</v>
      </c>
      <c r="E45" s="213" t="s">
        <v>518</v>
      </c>
      <c r="F45" s="210" t="s">
        <v>514</v>
      </c>
      <c r="G45" s="211" t="s">
        <v>516</v>
      </c>
      <c r="H45" s="211"/>
    </row>
    <row r="47" spans="1:15" s="38" customFormat="1" ht="22.2">
      <c r="A47" s="138" t="s">
        <v>489</v>
      </c>
      <c r="B47" s="139"/>
      <c r="D47" s="9"/>
      <c r="I47" s="9"/>
      <c r="J47" s="9"/>
      <c r="K47" s="9"/>
      <c r="O47" s="57"/>
    </row>
    <row r="48" spans="1:15" s="38" customFormat="1" ht="19.8">
      <c r="A48" s="140"/>
      <c r="B48" s="141" t="s">
        <v>490</v>
      </c>
      <c r="D48" s="9"/>
      <c r="I48" s="9"/>
      <c r="J48" s="9"/>
      <c r="K48" s="9"/>
      <c r="O48" s="57"/>
    </row>
    <row r="49" spans="1:36" s="38" customFormat="1" ht="36" customHeight="1" thickBot="1">
      <c r="A49" s="74" t="s">
        <v>491</v>
      </c>
      <c r="B49" s="142"/>
      <c r="D49" s="9"/>
      <c r="I49" s="9"/>
      <c r="J49" s="9"/>
      <c r="K49" s="9"/>
      <c r="O49" s="57"/>
    </row>
    <row r="50" spans="1:36" s="38" customFormat="1" ht="33.6" customHeight="1">
      <c r="A50" s="158" t="s">
        <v>509</v>
      </c>
      <c r="B50" s="140" t="str">
        <f>IF(LEN(B49)=0,"バーコードは未入力。",IF(LEN(B49)&lt;&gt;13,"バーコードの桁数が不正。",IF(RIGHT(B59,2)&lt;&gt;"11","No."&amp; BIN2DEC(RIGHT(B59,2)) +1 &amp; "マッピングに参照してください。","")))</f>
        <v>バーコードは未入力。</v>
      </c>
      <c r="D50" s="9"/>
      <c r="I50" s="9"/>
      <c r="J50" s="9"/>
      <c r="K50" s="9"/>
      <c r="O50" s="57"/>
    </row>
    <row r="51" spans="1:36" ht="33" customHeight="1">
      <c r="A51" s="202" t="s">
        <v>501</v>
      </c>
      <c r="B51" s="189" t="str">
        <f xml:space="preserve"> "問合せレスポンスパターン" &amp; "（" &amp; SUM(B69:K69) &amp; "ビット）"</f>
        <v>問合せレスポンスパターン（0ビット）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88" t="s">
        <v>347</v>
      </c>
    </row>
    <row r="52" spans="1:36" ht="36">
      <c r="A52" s="202"/>
      <c r="B52" s="12" t="str">
        <f xml:space="preserve"> "支払種別" &amp; CHAR(10) &amp; "（" &amp; B69 &amp; "ビット）"</f>
        <v>支払種別
（ビット）</v>
      </c>
      <c r="C52" s="12" t="str">
        <f xml:space="preserve"> "納品種別" &amp; CHAR(10) &amp; "（" &amp; C69 &amp; "ビット）"</f>
        <v>納品種別
（ビット）</v>
      </c>
      <c r="D52" s="12" t="str">
        <f xml:space="preserve"> "売上計上区分" &amp; CHAR(10) &amp; "（" &amp; D69 &amp; "ビット）"</f>
        <v>売上計上区分
（ビット）</v>
      </c>
      <c r="E52" s="12" t="str">
        <f xml:space="preserve"> "印紙基準額" &amp; CHAR(10) &amp; "（" &amp; E69 &amp; "ビット）"</f>
        <v>印紙基準額
（ビット）</v>
      </c>
      <c r="F52" s="12" t="str">
        <f xml:space="preserve"> "価格変更フラグ" &amp; CHAR(10) &amp; "（" &amp; F69 &amp; "ビット）"</f>
        <v>価格変更フラグ
（ビット）</v>
      </c>
      <c r="G52" s="12" t="str">
        <f xml:space="preserve"> "機能区分" &amp; CHAR(10) &amp; "（" &amp; G69 &amp; "ビット）"</f>
        <v>機能区分
（ビット）</v>
      </c>
      <c r="H52" s="12" t="str">
        <f xml:space="preserve"> "SHOPCD" &amp; CHAR(10) &amp; "（" &amp; H69 &amp; "ビット）"</f>
        <v>SHOPCD
（ビット）</v>
      </c>
      <c r="I52" s="12" t="str">
        <f xml:space="preserve"> "収納金額" &amp; CHAR(10) &amp; "（" &amp;I69 &amp;  "ビット）"</f>
        <v>収納金額
（ビット）</v>
      </c>
      <c r="J52" s="12" t="str">
        <f xml:space="preserve"> "チケット発券個別情報(枚数)" &amp; CHAR(10) &amp; "（" &amp;J69&amp; "ビット）"</f>
        <v>チケット発券個別情報(枚数)
（ビット）</v>
      </c>
      <c r="K52" s="12" t="str">
        <f xml:space="preserve"> "券面情報データ" &amp; CHAR(10) &amp; "（" &amp; K69 &amp; "ビット）"</f>
        <v>券面情報データ
（ビット）</v>
      </c>
      <c r="L52" s="188"/>
    </row>
    <row r="53" spans="1:36" s="38" customFormat="1" ht="31.8" customHeight="1">
      <c r="A53" s="144" t="s">
        <v>493</v>
      </c>
      <c r="B53" s="145" t="str">
        <f>IF($B$50="",IF(LOOKUP(B61,$A$3:$A$19,B3:B19)=0,LOOKUP(0,$A$3:$A$19,B3:B19),LOOKUP(B61,$A$3:$A$19,B3:B19)),"")</f>
        <v/>
      </c>
      <c r="C53" s="145" t="str">
        <f>IF($B$50="",IF(LOOKUP(C61,$A$3:$A$19,C3:C19)=0,LOOKUP(0,$A$3:$A$19,C3:C19),LOOKUP(C61,$A$3:$A$19,C3:C19)),"")</f>
        <v/>
      </c>
      <c r="D53" s="145" t="str">
        <f>IF($B$50="",IF(LOOKUP(D61,$A$3:$A$19,D3:D19)=0,LOOKUP(0,$A$3:$A$19,D3:D19),LOOKUP(D61,$A$3:$A$19,D3:D19)),"")</f>
        <v/>
      </c>
      <c r="E53" s="145" t="str">
        <f>IF($B$50="",IF(LOOKUP(E61,$A$3:$A$19,E3:E19)=0,LOOKUP(0,$A$3:$A$19,E3:E19),LOOKUP(E61,$A$3:$A$19,E3:E19)),"")</f>
        <v/>
      </c>
      <c r="F53" s="145" t="str">
        <f>IF($B$50="",IF(LOOKUP(F61,$A$3:$A$19,F3:F19)=0,LOOKUP(0,$A$3:$A$19,F3:F19),LOOKUP(F61,$A$3:$A$19,F3:F19)),"")</f>
        <v/>
      </c>
      <c r="G53" s="145" t="str">
        <f>IF($B$50="",IF(LOOKUP(G61,$A$3:$A$19,G3:G19)=0,LOOKUP(0,$A$3:$A$19,G3:G19),LOOKUP(G61,$A$3:$A$19,G3:G19)),"")</f>
        <v/>
      </c>
      <c r="H53" s="145" t="str">
        <f>IF($B$50="",IF(LOOKUP(H61,$A$3:$A$19,H3:H19)=0,LOOKUP(0,$A$3:$A$19,H3:H19),LOOKUP(H61,$A$3:$A$19,H3:H19)),"")</f>
        <v/>
      </c>
      <c r="I53" s="145" t="str">
        <f>IF($B$50="",IF(LOOKUP(I61,$A$3:$A$19,I3:I19)=0,LOOKUP(0,$A$3:$A$19,I3:I19),LOOKUP(I61,$A$3:$A$19,I3:I19)),"")</f>
        <v/>
      </c>
      <c r="J53" s="145" t="str">
        <f>IF($B$50="",IF(LOOKUP(J61,$A$3:$A$19,J3:J19)=0,LOOKUP(0,$A$3:$A$19,J3:J19),LOOKUP(J61,$A$3:$A$19,J3:J19)),"")</f>
        <v/>
      </c>
      <c r="K53" s="145" t="str">
        <f>IF($B$50="",IF(LOOKUP(K61,$A$3:$A$19,K3:K19)=0,LOOKUP(6,$A$3:$A$19,K3:K19),LOOKUP(K61,$A$3:$A$19,K3:K19)),"")</f>
        <v/>
      </c>
      <c r="L53" s="146" t="str">
        <f>IF($B$50="",IF(LOOKUP(L61,$A$3:$A$19,L3:L19)=0,LOOKUP(0,$A$3:$A$19,L3:L19),LOOKUP(L61,$A$3:$A$19,L3:L19)),"")</f>
        <v/>
      </c>
    </row>
    <row r="54" spans="1:36" s="38" customFormat="1"/>
    <row r="55" spans="1:36" customFormat="1" hidden="1">
      <c r="A55" s="147" t="s">
        <v>494</v>
      </c>
      <c r="B55" s="148">
        <f>_xlfn.NUMBERVALUE(MID(B49,2,11))</f>
        <v>0</v>
      </c>
      <c r="C55" s="143" t="s">
        <v>495</v>
      </c>
      <c r="D55" s="148">
        <f>SUM(26:26)</f>
        <v>25</v>
      </c>
    </row>
    <row r="56" spans="1:36" customFormat="1" hidden="1">
      <c r="A56" s="147"/>
      <c r="B56">
        <f>MOD(B55,2)</f>
        <v>0</v>
      </c>
      <c r="C56" t="str">
        <f>IF(MOD(B57,2)=1,1,IF(C57&gt;0,0,""))</f>
        <v/>
      </c>
      <c r="D56" t="str">
        <f t="shared" ref="D56:AJ56" si="5">IF(MOD(C57,2)=1,1,IF(D57&gt;0,0,""))</f>
        <v/>
      </c>
      <c r="E56" t="str">
        <f t="shared" si="5"/>
        <v/>
      </c>
      <c r="F56" t="str">
        <f t="shared" si="5"/>
        <v/>
      </c>
      <c r="G56" t="str">
        <f t="shared" si="5"/>
        <v/>
      </c>
      <c r="H56" t="str">
        <f t="shared" si="5"/>
        <v/>
      </c>
      <c r="I56" t="str">
        <f t="shared" si="5"/>
        <v/>
      </c>
      <c r="J56" t="str">
        <f t="shared" si="5"/>
        <v/>
      </c>
      <c r="K56" t="str">
        <f t="shared" si="5"/>
        <v/>
      </c>
      <c r="L56" t="str">
        <f t="shared" si="5"/>
        <v/>
      </c>
      <c r="M56" t="str">
        <f t="shared" si="5"/>
        <v/>
      </c>
      <c r="N56" t="str">
        <f t="shared" si="5"/>
        <v/>
      </c>
      <c r="O56" t="str">
        <f t="shared" si="5"/>
        <v/>
      </c>
      <c r="P56" t="str">
        <f t="shared" si="5"/>
        <v/>
      </c>
      <c r="Q56" t="str">
        <f t="shared" si="5"/>
        <v/>
      </c>
      <c r="R56" t="str">
        <f t="shared" si="5"/>
        <v/>
      </c>
      <c r="S56" t="str">
        <f t="shared" si="5"/>
        <v/>
      </c>
      <c r="T56" t="str">
        <f t="shared" si="5"/>
        <v/>
      </c>
      <c r="U56" t="str">
        <f t="shared" si="5"/>
        <v/>
      </c>
      <c r="V56" t="str">
        <f t="shared" ref="V56" si="6">IF(MOD(U57,2)=1,1,IF(V57&gt;0,0,""))</f>
        <v/>
      </c>
      <c r="W56" t="str">
        <f t="shared" ref="W56" si="7">IF(MOD(V57,2)=1,1,IF(W57&gt;0,0,""))</f>
        <v/>
      </c>
      <c r="X56" t="str">
        <f t="shared" ref="X56" si="8">IF(MOD(W57,2)=1,1,IF(X57&gt;0,0,""))</f>
        <v/>
      </c>
      <c r="Y56" t="str">
        <f t="shared" ref="Y56" si="9">IF(MOD(X57,2)=1,1,IF(Y57&gt;0,0,""))</f>
        <v/>
      </c>
      <c r="Z56" t="str">
        <f t="shared" si="5"/>
        <v/>
      </c>
      <c r="AA56" t="str">
        <f t="shared" si="5"/>
        <v/>
      </c>
      <c r="AB56" t="str">
        <f t="shared" si="5"/>
        <v/>
      </c>
      <c r="AC56" t="str">
        <f t="shared" si="5"/>
        <v/>
      </c>
      <c r="AD56" t="str">
        <f t="shared" si="5"/>
        <v/>
      </c>
      <c r="AE56" t="str">
        <f t="shared" si="5"/>
        <v/>
      </c>
      <c r="AF56" t="str">
        <f t="shared" si="5"/>
        <v/>
      </c>
      <c r="AG56" t="str">
        <f t="shared" si="5"/>
        <v/>
      </c>
      <c r="AH56" t="str">
        <f t="shared" si="5"/>
        <v/>
      </c>
      <c r="AI56" t="str">
        <f t="shared" si="5"/>
        <v/>
      </c>
      <c r="AJ56" t="str">
        <f t="shared" si="5"/>
        <v/>
      </c>
    </row>
    <row r="57" spans="1:36" customFormat="1" hidden="1">
      <c r="A57" s="147" t="s">
        <v>494</v>
      </c>
      <c r="B57">
        <f>INT(B55/2)</f>
        <v>0</v>
      </c>
      <c r="C57">
        <f>INT(B57/2)</f>
        <v>0</v>
      </c>
      <c r="D57">
        <f t="shared" ref="D57:AJ57" si="10">INT(C57/2)</f>
        <v>0</v>
      </c>
      <c r="E57">
        <f t="shared" si="10"/>
        <v>0</v>
      </c>
      <c r="F57">
        <f t="shared" si="10"/>
        <v>0</v>
      </c>
      <c r="G57">
        <f t="shared" si="10"/>
        <v>0</v>
      </c>
      <c r="H57">
        <f t="shared" si="10"/>
        <v>0</v>
      </c>
      <c r="I57">
        <f t="shared" si="10"/>
        <v>0</v>
      </c>
      <c r="J57">
        <f t="shared" si="10"/>
        <v>0</v>
      </c>
      <c r="K57">
        <f t="shared" si="10"/>
        <v>0</v>
      </c>
      <c r="L57">
        <f t="shared" si="10"/>
        <v>0</v>
      </c>
      <c r="M57">
        <f t="shared" si="10"/>
        <v>0</v>
      </c>
      <c r="N57">
        <f t="shared" si="10"/>
        <v>0</v>
      </c>
      <c r="O57">
        <f t="shared" si="10"/>
        <v>0</v>
      </c>
      <c r="P57">
        <f t="shared" si="10"/>
        <v>0</v>
      </c>
      <c r="Q57">
        <f t="shared" si="10"/>
        <v>0</v>
      </c>
      <c r="R57">
        <f t="shared" si="10"/>
        <v>0</v>
      </c>
      <c r="S57">
        <f t="shared" si="10"/>
        <v>0</v>
      </c>
      <c r="T57">
        <f t="shared" si="10"/>
        <v>0</v>
      </c>
      <c r="U57">
        <f t="shared" si="10"/>
        <v>0</v>
      </c>
      <c r="V57">
        <f t="shared" si="10"/>
        <v>0</v>
      </c>
      <c r="W57">
        <f t="shared" si="10"/>
        <v>0</v>
      </c>
      <c r="X57">
        <f t="shared" si="10"/>
        <v>0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H57">
        <f t="shared" si="10"/>
        <v>0</v>
      </c>
      <c r="AI57">
        <f t="shared" si="10"/>
        <v>0</v>
      </c>
      <c r="AJ57">
        <f t="shared" si="10"/>
        <v>0</v>
      </c>
    </row>
    <row r="58" spans="1:36" s="38" customFormat="1" hidden="1">
      <c r="A58" s="143" t="s">
        <v>496</v>
      </c>
      <c r="B58" s="38" t="e" cm="1">
        <f t="array" aca="1" ref="B58" ca="1">_xlfn.TEXTJOIN("", TRUE, MID(_xlfn.CONCAT(56:56), _xlfn.SEQUENCE(LEN(_xlfn.CONCAT(56:56)), 1, LEN(_xlfn.CONCAT(56:56)), -1), 1))</f>
        <v>#NAME?</v>
      </c>
      <c r="I58" s="9"/>
      <c r="J58" s="9"/>
      <c r="K58" s="9"/>
      <c r="O58" s="57"/>
    </row>
    <row r="59" spans="1:36" s="38" customFormat="1" hidden="1">
      <c r="A59" s="149" t="s">
        <v>497</v>
      </c>
      <c r="B59" s="150" t="e">
        <f ca="1">REPT("0",IF(D55-LEN(B58)&lt;0,0,D55-LEN(B58))) &amp; B58</f>
        <v>#NAME?</v>
      </c>
      <c r="I59" s="9"/>
      <c r="J59" s="9"/>
      <c r="K59" s="9"/>
      <c r="O59" s="57"/>
    </row>
    <row r="60" spans="1:36" s="38" customFormat="1" hidden="1">
      <c r="A60" s="149" t="s">
        <v>498</v>
      </c>
      <c r="B60" s="38" t="e">
        <f ca="1">MID(RIGHT($B$59,$D$55),$D$55+1-SUM(OFFSET(B26, 0, 0, 1, 20)),B26)</f>
        <v>#NAME?</v>
      </c>
      <c r="C60" s="38" t="e">
        <f ca="1">MID(RIGHT($B$59,$D$55),$D$55+1-SUM(OFFSET(C26, 0, 0, 1, 20)),C26)</f>
        <v>#NAME?</v>
      </c>
      <c r="D60" s="38" t="e">
        <f ca="1">MID(RIGHT($B$59,$D$55),$D$55+1-SUM(OFFSET(D26, 0, 0, 1, 20)),D26)</f>
        <v>#NAME?</v>
      </c>
      <c r="E60" s="38" t="e">
        <f ca="1">MID(RIGHT($B$59,$D$55),$D$55+1-SUM(OFFSET(E26, 0, 0, 1, 20)),E26)</f>
        <v>#NAME?</v>
      </c>
      <c r="F60" s="38" t="e">
        <f ca="1">MID(RIGHT($B$59,$D$55),$D$55+1-SUM(OFFSET(F26, 0, 0, 1, 20)),F26)</f>
        <v>#NAME?</v>
      </c>
      <c r="G60" s="38" t="e">
        <f ca="1">MID(RIGHT($B$59,$D$55),$D$55+1-SUM(OFFSET(G26, 0, 0, 1, 20)),G26)</f>
        <v>#NAME?</v>
      </c>
      <c r="H60" s="38" t="e">
        <f ca="1">MID(RIGHT($B$59,$D$55),$D$55+1-SUM(OFFSET(H26, 0, 0, 1, 20)),H26)</f>
        <v>#NAME?</v>
      </c>
      <c r="I60" s="38" t="e">
        <f ca="1">MID(RIGHT($B$59,$D$55),$D$55+1-SUM(OFFSET(I26, 0, 0, 1, 20)),I26)</f>
        <v>#NAME?</v>
      </c>
      <c r="J60" s="38" t="e">
        <f ca="1">MID(RIGHT($B$59,$D$55),$D$55+1-SUM(OFFSET(J26, 0, 0, 1, 20)),J26)</f>
        <v>#NAME?</v>
      </c>
      <c r="K60" s="38" t="e">
        <f ca="1">MID(RIGHT($B$59,$D$55),$D$55+1-SUM(OFFSET(K26, 0, 0, 1, 20)),K26)</f>
        <v>#NAME?</v>
      </c>
      <c r="L60" s="38" t="e">
        <f ca="1">MID(RIGHT($B$59,$D$55),$D$55+1-SUM(OFFSET(L26, 0, 0, 1, 20)),L26)</f>
        <v>#NAME?</v>
      </c>
      <c r="M60" s="38" t="e">
        <f ca="1">MID($B$60,$D$56+1-SUM(OFFSET(M26, 0, 0, 1, 20)),M26)</f>
        <v>#NAME?</v>
      </c>
      <c r="N60" s="38" t="e">
        <f ca="1">MID($B$60,$D$56+1-SUM(OFFSET(N26, 0, 0, 1, 20)),N26)</f>
        <v>#NAME?</v>
      </c>
      <c r="O60" s="38" t="e">
        <f ca="1">MID($B$60,$D$56+1-SUM(OFFSET(O26, 0, 0, 1, 20)),O26)</f>
        <v>#NAME?</v>
      </c>
      <c r="P60" s="38" t="e">
        <f ca="1">MID($B$60,$D$56+1-SUM(OFFSET(P26, 0, 0, 1, 20)),P26)</f>
        <v>#NAME?</v>
      </c>
      <c r="Q60" s="38" t="e">
        <f ca="1">MID($B$60,$D$56+1-SUM(OFFSET(Q26, 0, 0, 1, 20)),Q26)</f>
        <v>#NAME?</v>
      </c>
      <c r="R60" s="38" t="e">
        <f ca="1">MID($B$60,$D$56+1-SUM(OFFSET(R26, 0, 0, 1, 20)),R26)</f>
        <v>#NAME?</v>
      </c>
    </row>
    <row r="61" spans="1:36" s="38" customFormat="1" hidden="1">
      <c r="A61" s="151" t="s">
        <v>499</v>
      </c>
      <c r="B61" s="38" t="e">
        <f ca="1">INT(DEC2BIN(BIN2DEC(B60)))</f>
        <v>#NAME?</v>
      </c>
      <c r="C61" s="38" t="e">
        <f t="shared" ref="C61:Q61" ca="1" si="11">INT(DEC2BIN(BIN2DEC(C60)))</f>
        <v>#NAME?</v>
      </c>
      <c r="D61" s="38" t="e">
        <f t="shared" ca="1" si="11"/>
        <v>#NAME?</v>
      </c>
      <c r="E61" s="38" t="e">
        <f t="shared" ca="1" si="11"/>
        <v>#NAME?</v>
      </c>
      <c r="F61" s="38" t="e">
        <f t="shared" ca="1" si="11"/>
        <v>#NAME?</v>
      </c>
      <c r="G61" s="38" t="e">
        <f t="shared" ca="1" si="11"/>
        <v>#NAME?</v>
      </c>
      <c r="H61" s="38" t="e">
        <f t="shared" ca="1" si="11"/>
        <v>#NAME?</v>
      </c>
      <c r="I61" s="38" t="e">
        <f t="shared" ca="1" si="11"/>
        <v>#NAME?</v>
      </c>
      <c r="J61" s="38" t="e">
        <f t="shared" ca="1" si="11"/>
        <v>#NAME?</v>
      </c>
      <c r="K61" s="38" t="e">
        <f t="shared" ca="1" si="11"/>
        <v>#NAME?</v>
      </c>
      <c r="L61" s="38" t="e">
        <f t="shared" ca="1" si="11"/>
        <v>#NAME?</v>
      </c>
      <c r="M61" s="38" t="e">
        <f t="shared" ca="1" si="11"/>
        <v>#NAME?</v>
      </c>
      <c r="N61" s="38" t="e">
        <f t="shared" ca="1" si="11"/>
        <v>#NAME?</v>
      </c>
      <c r="O61" s="38" t="e">
        <f t="shared" ca="1" si="11"/>
        <v>#NAME?</v>
      </c>
      <c r="P61" s="38" t="e">
        <f t="shared" ca="1" si="11"/>
        <v>#NAME?</v>
      </c>
      <c r="Q61" s="38" t="e">
        <f t="shared" ca="1" si="11"/>
        <v>#NAME?</v>
      </c>
    </row>
  </sheetData>
  <mergeCells count="11">
    <mergeCell ref="A51:A52"/>
    <mergeCell ref="B51:K51"/>
    <mergeCell ref="L51:L52"/>
    <mergeCell ref="A1:A2"/>
    <mergeCell ref="B1:K1"/>
    <mergeCell ref="L1:L2"/>
    <mergeCell ref="B38:B39"/>
    <mergeCell ref="C38:C39"/>
    <mergeCell ref="D38:D39"/>
    <mergeCell ref="E38:E39"/>
    <mergeCell ref="F38:F39"/>
  </mergeCells>
  <phoneticPr fontId="27"/>
  <conditionalFormatting sqref="B32">
    <cfRule type="cellIs" dxfId="6" priority="30" operator="equal">
      <formula>"OK"</formula>
    </cfRule>
  </conditionalFormatting>
  <conditionalFormatting sqref="B49">
    <cfRule type="cellIs" dxfId="5" priority="4" operator="equal">
      <formula>"OK"</formula>
    </cfRule>
  </conditionalFormatting>
  <conditionalFormatting sqref="B27:K27">
    <cfRule type="cellIs" dxfId="4" priority="20" operator="equal">
      <formula>"OK"</formula>
    </cfRule>
    <cfRule type="containsText" dxfId="3" priority="21" operator="containsText" text="&lt;&gt;&quot;OK&quot;">
      <formula>NOT(ISERROR(SEARCH("&lt;&gt;""OK""",B27)))</formula>
    </cfRule>
  </conditionalFormatting>
  <conditionalFormatting sqref="B23:L23">
    <cfRule type="cellIs" dxfId="2" priority="14" operator="equal">
      <formula>"OK"</formula>
    </cfRule>
    <cfRule type="containsText" dxfId="1" priority="15" operator="containsText" text="&lt;&gt;&quot;OK&quot;">
      <formula>NOT(ISERROR(SEARCH("&lt;&gt;""OK""",B23)))</formula>
    </cfRule>
  </conditionalFormatting>
  <conditionalFormatting sqref="B53:L53">
    <cfRule type="expression" dxfId="0" priority="37">
      <formula>BIN2DEC(B$60)&gt;COUNTA(B$3:B$25)-1</formula>
    </cfRule>
  </conditionalFormatting>
  <dataValidations count="10">
    <dataValidation type="list" allowBlank="1" showInputMessage="1" showErrorMessage="1" sqref="F21" xr:uid="{C202F8F4-C59A-4512-B23D-B549ECADF3E7}">
      <formula1>$F$3:$F$4</formula1>
    </dataValidation>
    <dataValidation type="list" allowBlank="1" showInputMessage="1" showErrorMessage="1" sqref="E21" xr:uid="{A5FD13FA-D5E6-471E-9DF9-BDC024D8CC8F}">
      <formula1>$E$3:$E$6</formula1>
    </dataValidation>
    <dataValidation type="list" allowBlank="1" showInputMessage="1" showErrorMessage="1" sqref="D21" xr:uid="{FF4B042F-31E0-4FAB-89D8-C370E016F7D3}">
      <formula1>$D$3:$D$5</formula1>
    </dataValidation>
    <dataValidation type="list" allowBlank="1" showInputMessage="1" showErrorMessage="1" sqref="C21" xr:uid="{EDA28BB4-FB7D-4844-B27D-B85BCDEBB6C8}">
      <formula1>$C$3:$C$4</formula1>
    </dataValidation>
    <dataValidation type="list" allowBlank="1" showInputMessage="1" showErrorMessage="1" sqref="B21" xr:uid="{28B9061F-A27D-434D-9B2E-E531FCDEC2AA}">
      <formula1>$B$3:$B$5</formula1>
    </dataValidation>
    <dataValidation type="list" allowBlank="1" showInputMessage="1" showErrorMessage="1" sqref="J21" xr:uid="{D8C88163-0884-457C-853A-13FD7E1650F5}">
      <formula1>$J$3:$J$18</formula1>
    </dataValidation>
    <dataValidation type="list" allowBlank="1" showInputMessage="1" showErrorMessage="1" sqref="H21" xr:uid="{B7544A98-2BFD-4E16-9DD0-610CFA70963A}">
      <formula1>$H$3:$H$11</formula1>
    </dataValidation>
    <dataValidation type="list" allowBlank="1" showInputMessage="1" showErrorMessage="1" sqref="G21" xr:uid="{BF66233C-E74C-4FA3-ABE4-E1C4FC5B863E}">
      <formula1>$G$3:$G$4</formula1>
    </dataValidation>
    <dataValidation type="list" allowBlank="1" showInputMessage="1" showErrorMessage="1" sqref="I21" xr:uid="{BCA6D28D-50A8-4C56-B078-B4AE1F83380C}">
      <formula1>$I$3:$I$6</formula1>
    </dataValidation>
    <dataValidation type="list" allowBlank="1" showInputMessage="1" showErrorMessage="1" sqref="K21" xr:uid="{380C54EB-B7B2-4669-9E59-D7A6B7D69740}">
      <formula1>$K$3:$K$18</formula1>
    </dataValidation>
  </dataValidations>
  <pageMargins left="0.70866141732283472" right="0.70866141732283472" top="0.74803149606299213" bottom="0.74803149606299213" header="0.31496062992125984" footer="0.31496062992125984"/>
  <pageSetup paperSize="8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シナリオ一覧</vt:lpstr>
      <vt:lpstr>No.1_EC関連問合せ応答</vt:lpstr>
      <vt:lpstr>No.1_EC関連問合せ応答_マッピング</vt:lpstr>
      <vt:lpstr>No.2_EC関連払戻し応答</vt:lpstr>
      <vt:lpstr>No.2_EC関連払戻し応答_マッピング</vt:lpstr>
      <vt:lpstr>No.3_EC関連完了応答</vt:lpstr>
      <vt:lpstr>No.3_EC関連完了応答_マッピング</vt:lpstr>
      <vt:lpstr>No.4_EC関連問合せ応答 </vt:lpstr>
      <vt:lpstr>No.4_EC関連問合せ応答_マッピング</vt:lpstr>
      <vt:lpstr>No.1_EC関連問合せ応答!Print_Area</vt:lpstr>
      <vt:lpstr>No.1_EC関連問合せ応答_マッピング!Print_Area</vt:lpstr>
      <vt:lpstr>No.2_EC関連払戻し応答!Print_Area</vt:lpstr>
      <vt:lpstr>No.2_EC関連払戻し応答_マッピング!Print_Area</vt:lpstr>
      <vt:lpstr>No.3_EC関連完了応答!Print_Area</vt:lpstr>
      <vt:lpstr>No.3_EC関連完了応答_マッピング!Print_Area</vt:lpstr>
      <vt:lpstr>'No.4_EC関連問合せ応答 '!Print_Area</vt:lpstr>
      <vt:lpstr>No.4_EC関連問合せ応答_マッピング!Print_Area</vt:lpstr>
      <vt:lpstr>シナリオ一覧!Print_Area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WONG</dc:creator>
  <cp:lastModifiedBy>秀晃 軽海</cp:lastModifiedBy>
  <cp:lastPrinted>2024-12-03T07:25:08Z</cp:lastPrinted>
  <dcterms:created xsi:type="dcterms:W3CDTF">2015-06-05T18:19:34Z</dcterms:created>
  <dcterms:modified xsi:type="dcterms:W3CDTF">2025-04-16T08:17:29Z</dcterms:modified>
</cp:coreProperties>
</file>