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work_516\mock-ticket\"/>
    </mc:Choice>
  </mc:AlternateContent>
  <xr:revisionPtr revIDLastSave="0" documentId="13_ncr:1_{BFE5B9C4-A39E-45E6-99C9-78617AA53496}" xr6:coauthVersionLast="47" xr6:coauthVersionMax="47" xr10:uidLastSave="{00000000-0000-0000-0000-000000000000}"/>
  <bookViews>
    <workbookView xWindow="-45" yWindow="-16320" windowWidth="29040" windowHeight="15720" tabRatio="812" firstSheet="3" activeTab="4" xr2:uid="{00000000-000D-0000-FFFF-FFFF00000000}"/>
  </bookViews>
  <sheets>
    <sheet name="シナリオ一覧" sheetId="1" r:id="rId1"/>
    <sheet name="No.1_購入・購入取消応答" sheetId="13" r:id="rId2"/>
    <sheet name="No.1_購入・購入取消応答_マッピング" sheetId="14" r:id="rId3"/>
    <sheet name="No.2_本投票・本投票障害取消応答" sheetId="11" r:id="rId4"/>
    <sheet name="No.2_本投票・本投票障害取消応答_マッピング" sheetId="12" r:id="rId5"/>
    <sheet name="No.3_払戻・払戻取消応答" sheetId="9" r:id="rId6"/>
    <sheet name="No.3_払戻・払戻取消応答_マッピング" sheetId="10" r:id="rId7"/>
    <sheet name="No.4_当せん返還消込応答" sheetId="7" r:id="rId8"/>
    <sheet name="別紙_本投票応答のエラー応答による後続処理分岐" sheetId="24" state="hidden" r:id="rId9"/>
    <sheet name="No.4_当せん返還消込応答_マッピング" sheetId="8" r:id="rId10"/>
    <sheet name="別紙_当せん返還消込応答のエラー応答による後続処理分岐" sheetId="25" r:id="rId11"/>
  </sheets>
  <definedNames>
    <definedName name="_xlnm._FilterDatabase" localSheetId="0" hidden="1">シナリオ一覧!$A$3:$L$89</definedName>
    <definedName name="_xlnm.Print_Area" localSheetId="1">No.1_購入・購入取消応答!$A$1:$F$18</definedName>
    <definedName name="_xlnm.Print_Area" localSheetId="2">No.1_購入・購入取消応答_マッピング!$A$1:$L$54</definedName>
    <definedName name="_xlnm.Print_Area" localSheetId="3">No.2_本投票・本投票障害取消応答!$A$1:$F$44</definedName>
    <definedName name="_xlnm.Print_Area" localSheetId="4">No.2_本投票・本投票障害取消応答_マッピング!$A$1:$N$63</definedName>
    <definedName name="_xlnm.Print_Area" localSheetId="5">No.3_払戻・払戻取消応答!$A$1:$F$17</definedName>
    <definedName name="_xlnm.Print_Area" localSheetId="6">No.3_払戻・払戻取消応答_マッピング!$A$1:$K$54</definedName>
    <definedName name="_xlnm.Print_Area" localSheetId="7">No.4_当せん返還消込応答!$A$1:$F$37</definedName>
    <definedName name="_xlnm.Print_Area" localSheetId="9">No.4_当せん返還消込応答_マッピング!$A$1:$I$54</definedName>
    <definedName name="_xlnm.Print_Area" localSheetId="0">シナリオ一覧!$A$1:$M$90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0" i="14" l="1"/>
  <c r="B48" i="14"/>
  <c r="D32" i="7"/>
  <c r="D31" i="7"/>
  <c r="D30" i="7"/>
  <c r="D29" i="7"/>
  <c r="D28" i="7"/>
  <c r="D27" i="7"/>
  <c r="D26" i="7"/>
  <c r="D25" i="7"/>
  <c r="D24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F12" i="13"/>
  <c r="F11" i="13"/>
  <c r="F10" i="13"/>
  <c r="F9" i="13"/>
  <c r="F8" i="13"/>
  <c r="F7" i="13"/>
  <c r="F6" i="13"/>
  <c r="F5" i="13"/>
  <c r="F4" i="13"/>
  <c r="F38" i="11"/>
  <c r="F37" i="11"/>
  <c r="F36" i="11"/>
  <c r="F35" i="11"/>
  <c r="F34" i="11"/>
  <c r="F33" i="11"/>
  <c r="F32" i="11"/>
  <c r="F31" i="11"/>
  <c r="F30" i="11"/>
  <c r="F10" i="9"/>
  <c r="F9" i="9"/>
  <c r="F8" i="9"/>
  <c r="F7" i="9"/>
  <c r="F6" i="9"/>
  <c r="F5" i="9"/>
  <c r="F4" i="9"/>
  <c r="F11" i="9"/>
  <c r="G43" i="14" l="1"/>
  <c r="B43" i="14"/>
  <c r="B42" i="14"/>
  <c r="K52" i="12"/>
  <c r="F52" i="12"/>
  <c r="D52" i="12"/>
  <c r="B52" i="12"/>
  <c r="B51" i="12"/>
  <c r="F43" i="10"/>
  <c r="B43" i="10"/>
  <c r="B42" i="10"/>
  <c r="B42" i="8"/>
  <c r="F43" i="8"/>
  <c r="C43" i="8"/>
  <c r="B43" i="8"/>
  <c r="M53" i="12"/>
  <c r="L53" i="12"/>
  <c r="K53" i="12"/>
  <c r="J53" i="12"/>
  <c r="I53" i="12"/>
  <c r="H53" i="12"/>
  <c r="G53" i="12"/>
  <c r="F53" i="12"/>
  <c r="E53" i="12"/>
  <c r="D53" i="12"/>
  <c r="C53" i="12"/>
  <c r="B53" i="12"/>
  <c r="H3" i="12"/>
  <c r="J44" i="10"/>
  <c r="I44" i="10"/>
  <c r="H44" i="10"/>
  <c r="G44" i="10"/>
  <c r="F44" i="10"/>
  <c r="E44" i="10"/>
  <c r="D44" i="10"/>
  <c r="C44" i="10"/>
  <c r="B44" i="10"/>
  <c r="H44" i="8"/>
  <c r="G44" i="8"/>
  <c r="F44" i="8"/>
  <c r="E44" i="8"/>
  <c r="D44" i="8"/>
  <c r="C44" i="8"/>
  <c r="B44" i="8"/>
  <c r="K44" i="14"/>
  <c r="J44" i="14"/>
  <c r="I44" i="14"/>
  <c r="H44" i="14"/>
  <c r="G44" i="14"/>
  <c r="F44" i="14"/>
  <c r="E44" i="14"/>
  <c r="D44" i="14"/>
  <c r="C44" i="14"/>
  <c r="B44" i="14"/>
  <c r="I3" i="12"/>
  <c r="F2" i="12"/>
  <c r="J27" i="12" l="1"/>
  <c r="I27" i="12"/>
  <c r="H27" i="12"/>
  <c r="G27" i="12"/>
  <c r="F27" i="12"/>
  <c r="E27" i="12"/>
  <c r="D27" i="12"/>
  <c r="C27" i="12"/>
  <c r="B27" i="12"/>
  <c r="J26" i="12"/>
  <c r="I26" i="12"/>
  <c r="I24" i="12" s="1"/>
  <c r="H26" i="12"/>
  <c r="H24" i="12" s="1"/>
  <c r="G26" i="12"/>
  <c r="F26" i="12"/>
  <c r="E26" i="12"/>
  <c r="D26" i="12"/>
  <c r="C26" i="12"/>
  <c r="B26" i="12"/>
  <c r="B3" i="8" l="1"/>
  <c r="D2" i="12" l="1"/>
  <c r="I29" i="8" l="1"/>
  <c r="I28" i="8"/>
  <c r="I26" i="8"/>
  <c r="I24" i="8"/>
  <c r="H27" i="8"/>
  <c r="G27" i="8"/>
  <c r="F27" i="8"/>
  <c r="E27" i="8"/>
  <c r="D27" i="8"/>
  <c r="C27" i="8"/>
  <c r="B27" i="8"/>
  <c r="D47" i="8" s="1"/>
  <c r="H26" i="8"/>
  <c r="H24" i="8" s="1"/>
  <c r="G26" i="8"/>
  <c r="G24" i="8" s="1"/>
  <c r="F26" i="8"/>
  <c r="F24" i="8" s="1"/>
  <c r="E26" i="8"/>
  <c r="E24" i="8" s="1"/>
  <c r="D26" i="8"/>
  <c r="D24" i="8" s="1"/>
  <c r="C26" i="8"/>
  <c r="C24" i="8" s="1"/>
  <c r="B26" i="8"/>
  <c r="B24" i="8" s="1"/>
  <c r="B1" i="8"/>
  <c r="K29" i="10"/>
  <c r="K28" i="10"/>
  <c r="K26" i="10"/>
  <c r="K24" i="10" s="1"/>
  <c r="J27" i="10"/>
  <c r="I27" i="10"/>
  <c r="H27" i="10"/>
  <c r="G27" i="10"/>
  <c r="F27" i="10"/>
  <c r="E27" i="10"/>
  <c r="D27" i="10"/>
  <c r="C27" i="10"/>
  <c r="B27" i="10"/>
  <c r="J26" i="10"/>
  <c r="J24" i="10" s="1"/>
  <c r="I26" i="10"/>
  <c r="I24" i="10" s="1"/>
  <c r="H26" i="10"/>
  <c r="H24" i="10" s="1"/>
  <c r="G26" i="10"/>
  <c r="G24" i="10" s="1"/>
  <c r="F26" i="10"/>
  <c r="F24" i="10" s="1"/>
  <c r="E26" i="10"/>
  <c r="E24" i="10" s="1"/>
  <c r="D26" i="10"/>
  <c r="D24" i="10" s="1"/>
  <c r="C26" i="10"/>
  <c r="C24" i="10" s="1"/>
  <c r="B26" i="10"/>
  <c r="B24" i="10" s="1"/>
  <c r="D47" i="10" l="1"/>
  <c r="H29" i="8"/>
  <c r="J29" i="10"/>
  <c r="J28" i="10"/>
  <c r="I29" i="10" s="1"/>
  <c r="H28" i="8" l="1"/>
  <c r="I28" i="10"/>
  <c r="H28" i="10" s="1"/>
  <c r="G28" i="10" s="1"/>
  <c r="B1" i="10"/>
  <c r="B1" i="12"/>
  <c r="N29" i="12"/>
  <c r="N26" i="12"/>
  <c r="N24" i="12" s="1"/>
  <c r="L24" i="14"/>
  <c r="M26" i="12"/>
  <c r="M24" i="12" s="1"/>
  <c r="M27" i="12"/>
  <c r="N28" i="12"/>
  <c r="L27" i="12"/>
  <c r="K27" i="12"/>
  <c r="L26" i="12"/>
  <c r="L24" i="12" s="1"/>
  <c r="K26" i="12"/>
  <c r="K24" i="12" s="1"/>
  <c r="J24" i="12"/>
  <c r="G24" i="12"/>
  <c r="F24" i="12"/>
  <c r="E24" i="12"/>
  <c r="D24" i="12"/>
  <c r="C24" i="12"/>
  <c r="D56" i="12" l="1"/>
  <c r="M28" i="12"/>
  <c r="L29" i="12" s="1"/>
  <c r="B24" i="12"/>
  <c r="G29" i="8"/>
  <c r="G28" i="8"/>
  <c r="G29" i="10"/>
  <c r="H29" i="10"/>
  <c r="F28" i="10"/>
  <c r="F29" i="10"/>
  <c r="M29" i="12"/>
  <c r="B1" i="14"/>
  <c r="K26" i="14"/>
  <c r="K24" i="14" s="1"/>
  <c r="J26" i="14"/>
  <c r="J24" i="14" s="1"/>
  <c r="I26" i="14"/>
  <c r="I24" i="14" s="1"/>
  <c r="H26" i="14"/>
  <c r="H24" i="14" s="1"/>
  <c r="G26" i="14"/>
  <c r="G24" i="14" s="1"/>
  <c r="F26" i="14"/>
  <c r="F24" i="14" s="1"/>
  <c r="E26" i="14"/>
  <c r="E24" i="14" s="1"/>
  <c r="D26" i="14"/>
  <c r="D24" i="14" s="1"/>
  <c r="C26" i="14"/>
  <c r="C24" i="14" s="1"/>
  <c r="B26" i="14"/>
  <c r="B24" i="14" s="1"/>
  <c r="L29" i="14"/>
  <c r="L28" i="14"/>
  <c r="K27" i="14"/>
  <c r="J27" i="14"/>
  <c r="I27" i="14"/>
  <c r="H27" i="14"/>
  <c r="G27" i="14"/>
  <c r="F27" i="14"/>
  <c r="E27" i="14"/>
  <c r="D27" i="14"/>
  <c r="C27" i="14"/>
  <c r="B27" i="14"/>
  <c r="F3" i="14"/>
  <c r="E3" i="10"/>
  <c r="J3" i="10"/>
  <c r="I3" i="10"/>
  <c r="J3" i="14"/>
  <c r="K3" i="14"/>
  <c r="D3" i="10"/>
  <c r="J3" i="12"/>
  <c r="H3" i="14"/>
  <c r="G3" i="14"/>
  <c r="E3" i="14"/>
  <c r="D3" i="14"/>
  <c r="C3" i="14"/>
  <c r="B3" i="14"/>
  <c r="D3" i="12"/>
  <c r="E3" i="12"/>
  <c r="F3" i="12"/>
  <c r="B2" i="12"/>
  <c r="D47" i="14" l="1"/>
  <c r="L28" i="12"/>
  <c r="K29" i="12" s="1"/>
  <c r="F29" i="8"/>
  <c r="F28" i="8"/>
  <c r="E28" i="10"/>
  <c r="E29" i="10"/>
  <c r="K28" i="14"/>
  <c r="J28" i="14" s="1"/>
  <c r="I28" i="14" s="1"/>
  <c r="H28" i="14" s="1"/>
  <c r="G28" i="14" s="1"/>
  <c r="F28" i="14" s="1"/>
  <c r="E28" i="14" s="1"/>
  <c r="D28" i="14" s="1"/>
  <c r="E3" i="8"/>
  <c r="D3" i="8"/>
  <c r="C3" i="8"/>
  <c r="C2" i="8"/>
  <c r="B2" i="8"/>
  <c r="C3" i="12"/>
  <c r="B3" i="12"/>
  <c r="F2" i="8"/>
  <c r="B2" i="10"/>
  <c r="B3" i="10"/>
  <c r="C3" i="10"/>
  <c r="F3" i="10"/>
  <c r="G3" i="12"/>
  <c r="H3" i="8"/>
  <c r="G3" i="8"/>
  <c r="F3" i="8"/>
  <c r="H3" i="10"/>
  <c r="G3" i="10"/>
  <c r="F2" i="10"/>
  <c r="M3" i="12"/>
  <c r="K2" i="12"/>
  <c r="L3" i="12"/>
  <c r="K3" i="12"/>
  <c r="G2" i="14"/>
  <c r="I3" i="14"/>
  <c r="K28" i="12" l="1"/>
  <c r="E29" i="8"/>
  <c r="E28" i="8"/>
  <c r="D28" i="10"/>
  <c r="D29" i="10"/>
  <c r="C28" i="14"/>
  <c r="B28" i="14" s="1"/>
  <c r="C29" i="14"/>
  <c r="K29" i="14"/>
  <c r="B2" i="14"/>
  <c r="J28" i="12" l="1"/>
  <c r="J29" i="12"/>
  <c r="D29" i="8"/>
  <c r="D28" i="8"/>
  <c r="C28" i="10"/>
  <c r="C29" i="10"/>
  <c r="J29" i="14"/>
  <c r="I29" i="12" l="1"/>
  <c r="I28" i="12"/>
  <c r="C29" i="8"/>
  <c r="C28" i="8"/>
  <c r="B28" i="10"/>
  <c r="B29" i="10"/>
  <c r="B31" i="10" s="1"/>
  <c r="I29" i="14"/>
  <c r="H28" i="12" l="1"/>
  <c r="H29" i="12"/>
  <c r="B32" i="10" a="1"/>
  <c r="B32" i="10" s="1"/>
  <c r="B33" i="10" s="1"/>
  <c r="B29" i="8"/>
  <c r="B31" i="8" s="1"/>
  <c r="B28" i="8"/>
  <c r="H29" i="14"/>
  <c r="B34" i="10" l="1"/>
  <c r="G28" i="12"/>
  <c r="G29" i="12"/>
  <c r="B32" i="8" a="1"/>
  <c r="B32" i="8" s="1"/>
  <c r="B33" i="8" s="1"/>
  <c r="G29" i="14"/>
  <c r="B47" i="10" l="1"/>
  <c r="B49" i="10" s="1"/>
  <c r="B34" i="8"/>
  <c r="F29" i="12"/>
  <c r="F28" i="12"/>
  <c r="F29" i="14"/>
  <c r="B48" i="10" l="1"/>
  <c r="B47" i="8"/>
  <c r="B49" i="8" s="1"/>
  <c r="C49" i="10"/>
  <c r="C48" i="10" s="1"/>
  <c r="E29" i="12"/>
  <c r="E28" i="12"/>
  <c r="E29" i="14"/>
  <c r="B48" i="8" l="1"/>
  <c r="C49" i="8"/>
  <c r="C48" i="8" s="1"/>
  <c r="D49" i="10"/>
  <c r="D48" i="10" s="1"/>
  <c r="D29" i="12"/>
  <c r="D28" i="12"/>
  <c r="D29" i="14"/>
  <c r="D49" i="8" l="1"/>
  <c r="D48" i="8" s="1"/>
  <c r="E49" i="10"/>
  <c r="E48" i="10" s="1"/>
  <c r="C29" i="12"/>
  <c r="C28" i="12"/>
  <c r="B28" i="12" s="1"/>
  <c r="B29" i="14"/>
  <c r="B31" i="14" s="1"/>
  <c r="E49" i="8" l="1"/>
  <c r="E48" i="8" s="1"/>
  <c r="F49" i="10"/>
  <c r="F48" i="10" s="1"/>
  <c r="B29" i="12"/>
  <c r="B31" i="12" s="1"/>
  <c r="B32" i="14" a="1"/>
  <c r="B32" i="14" s="1"/>
  <c r="B33" i="14" s="1"/>
  <c r="F49" i="8" l="1"/>
  <c r="F48" i="8" s="1"/>
  <c r="G49" i="10"/>
  <c r="G48" i="10" s="1"/>
  <c r="B34" i="14"/>
  <c r="B47" i="14"/>
  <c r="B32" i="12" a="1"/>
  <c r="B32" i="12" s="1"/>
  <c r="B33" i="12" s="1"/>
  <c r="D59" i="12" s="1"/>
  <c r="G49" i="8" l="1"/>
  <c r="G48" i="8" s="1"/>
  <c r="H49" i="10"/>
  <c r="H48" i="10" s="1"/>
  <c r="B34" i="12"/>
  <c r="B49" i="14"/>
  <c r="B56" i="12" l="1"/>
  <c r="B58" i="12" s="1"/>
  <c r="H49" i="8"/>
  <c r="H48" i="8" s="1"/>
  <c r="I49" i="10"/>
  <c r="I48" i="10" s="1"/>
  <c r="C49" i="14"/>
  <c r="C48" i="14" s="1"/>
  <c r="B57" i="12" l="1"/>
  <c r="I49" i="8"/>
  <c r="I48" i="8" s="1"/>
  <c r="J49" i="10"/>
  <c r="C58" i="12"/>
  <c r="C57" i="12" s="1"/>
  <c r="D49" i="14"/>
  <c r="D48" i="14" s="1"/>
  <c r="J49" i="8" l="1"/>
  <c r="K49" i="10"/>
  <c r="J48" i="10"/>
  <c r="D58" i="12"/>
  <c r="D57" i="12" s="1"/>
  <c r="E49" i="14"/>
  <c r="E48" i="14" s="1"/>
  <c r="K49" i="8" l="1"/>
  <c r="L49" i="8" s="1"/>
  <c r="J48" i="8"/>
  <c r="L49" i="10"/>
  <c r="L48" i="10" s="1"/>
  <c r="K48" i="10"/>
  <c r="E58" i="12"/>
  <c r="E57" i="12" s="1"/>
  <c r="F49" i="14"/>
  <c r="F48" i="14" s="1"/>
  <c r="K48" i="8" l="1"/>
  <c r="L48" i="8"/>
  <c r="M49" i="8"/>
  <c r="M48" i="8" s="1"/>
  <c r="M49" i="10"/>
  <c r="M48" i="10" s="1"/>
  <c r="F58" i="12"/>
  <c r="F57" i="12" s="1"/>
  <c r="G49" i="14"/>
  <c r="G48" i="14" s="1"/>
  <c r="N49" i="8" l="1"/>
  <c r="N48" i="8" s="1"/>
  <c r="N49" i="10"/>
  <c r="N48" i="10" s="1"/>
  <c r="G58" i="12"/>
  <c r="G57" i="12" s="1"/>
  <c r="H49" i="14"/>
  <c r="H48" i="14" s="1"/>
  <c r="O49" i="8" l="1"/>
  <c r="P49" i="8" s="1"/>
  <c r="O49" i="10"/>
  <c r="O48" i="10" s="1"/>
  <c r="H58" i="12"/>
  <c r="I49" i="14"/>
  <c r="I48" i="14" s="1"/>
  <c r="O48" i="8" l="1"/>
  <c r="P48" i="8"/>
  <c r="Q49" i="8"/>
  <c r="Q48" i="8" s="1"/>
  <c r="P49" i="10"/>
  <c r="P48" i="10" s="1"/>
  <c r="I58" i="12"/>
  <c r="H57" i="12"/>
  <c r="J49" i="14"/>
  <c r="J48" i="14" s="1"/>
  <c r="R49" i="8" l="1"/>
  <c r="R48" i="8" s="1"/>
  <c r="Q49" i="10"/>
  <c r="Q48" i="10" s="1"/>
  <c r="J58" i="12"/>
  <c r="J57" i="12" s="1"/>
  <c r="I57" i="12"/>
  <c r="K49" i="14"/>
  <c r="K48" i="14" s="1"/>
  <c r="S49" i="8" l="1"/>
  <c r="R49" i="10"/>
  <c r="K58" i="12"/>
  <c r="K57" i="12" s="1"/>
  <c r="L49" i="14"/>
  <c r="L48" i="14" s="1"/>
  <c r="T49" i="8" l="1"/>
  <c r="T48" i="8" s="1"/>
  <c r="S48" i="8"/>
  <c r="S49" i="10"/>
  <c r="S48" i="10" s="1"/>
  <c r="R48" i="10"/>
  <c r="L58" i="12"/>
  <c r="L57" i="12" s="1"/>
  <c r="M49" i="14"/>
  <c r="M48" i="14"/>
  <c r="U49" i="8" l="1"/>
  <c r="V49" i="8" s="1"/>
  <c r="T49" i="10"/>
  <c r="T48" i="10" s="1"/>
  <c r="M58" i="12"/>
  <c r="M57" i="12" s="1"/>
  <c r="N49" i="14"/>
  <c r="U48" i="8" l="1"/>
  <c r="V48" i="8"/>
  <c r="W49" i="8"/>
  <c r="U49" i="10"/>
  <c r="N58" i="12"/>
  <c r="N57" i="12" s="1"/>
  <c r="O49" i="14"/>
  <c r="O48" i="14" s="1"/>
  <c r="N48" i="14"/>
  <c r="W48" i="8" l="1"/>
  <c r="X49" i="8"/>
  <c r="X48" i="8" s="1"/>
  <c r="V49" i="10"/>
  <c r="V48" i="10" s="1"/>
  <c r="U48" i="10"/>
  <c r="O58" i="12"/>
  <c r="P58" i="12" s="1"/>
  <c r="P49" i="14"/>
  <c r="P48" i="14" s="1"/>
  <c r="Y49" i="8" l="1"/>
  <c r="Y48" i="8" s="1"/>
  <c r="W49" i="10"/>
  <c r="W48" i="10" s="1"/>
  <c r="P57" i="12"/>
  <c r="Q58" i="12"/>
  <c r="Q57" i="12" s="1"/>
  <c r="O57" i="12"/>
  <c r="Q49" i="14"/>
  <c r="Q48" i="14" s="1"/>
  <c r="Z49" i="8" l="1"/>
  <c r="AA49" i="8" s="1"/>
  <c r="X49" i="10"/>
  <c r="X48" i="10" s="1"/>
  <c r="R58" i="12"/>
  <c r="R57" i="12" s="1"/>
  <c r="R49" i="14"/>
  <c r="R48" i="14" s="1"/>
  <c r="Z48" i="8" l="1"/>
  <c r="AA48" i="8"/>
  <c r="AB49" i="8"/>
  <c r="Y49" i="10"/>
  <c r="Y48" i="10" s="1"/>
  <c r="S58" i="12"/>
  <c r="S57" i="12" s="1"/>
  <c r="S49" i="14"/>
  <c r="S48" i="14" s="1"/>
  <c r="AB48" i="8" l="1"/>
  <c r="AC49" i="8"/>
  <c r="AC48" i="8" s="1"/>
  <c r="Z49" i="10"/>
  <c r="Z48" i="10" s="1"/>
  <c r="T58" i="12"/>
  <c r="T57" i="12" s="1"/>
  <c r="T49" i="14"/>
  <c r="T48" i="14" s="1"/>
  <c r="AD49" i="8" l="1"/>
  <c r="AD48" i="8" s="1"/>
  <c r="AA49" i="10"/>
  <c r="U58" i="12"/>
  <c r="U57" i="12"/>
  <c r="U49" i="14"/>
  <c r="U48" i="14" s="1"/>
  <c r="AE49" i="8" l="1"/>
  <c r="AE48" i="8" s="1"/>
  <c r="AB49" i="10"/>
  <c r="AC49" i="10" s="1"/>
  <c r="AA48" i="10"/>
  <c r="V58" i="12"/>
  <c r="W58" i="12" s="1"/>
  <c r="V49" i="14"/>
  <c r="V48" i="14" s="1"/>
  <c r="V57" i="12" l="1"/>
  <c r="AF49" i="8"/>
  <c r="AF48" i="8" s="1"/>
  <c r="AB48" i="10"/>
  <c r="AC48" i="10"/>
  <c r="AD49" i="10"/>
  <c r="AD48" i="10" s="1"/>
  <c r="W57" i="12"/>
  <c r="X58" i="12"/>
  <c r="W49" i="14"/>
  <c r="W48" i="14" s="1"/>
  <c r="AG49" i="8" l="1"/>
  <c r="AH49" i="8" s="1"/>
  <c r="AE49" i="10"/>
  <c r="AF49" i="10" s="1"/>
  <c r="Y58" i="12"/>
  <c r="Y57" i="12" s="1"/>
  <c r="X57" i="12"/>
  <c r="X49" i="14"/>
  <c r="X48" i="14" s="1"/>
  <c r="AG48" i="8" l="1"/>
  <c r="AE48" i="10"/>
  <c r="AH48" i="8"/>
  <c r="AI49" i="8"/>
  <c r="AI48" i="8" s="1"/>
  <c r="AF48" i="10"/>
  <c r="AG49" i="10"/>
  <c r="AG48" i="10" s="1"/>
  <c r="Z58" i="12"/>
  <c r="Z57" i="12" s="1"/>
  <c r="Y49" i="14"/>
  <c r="AJ49" i="8" l="1"/>
  <c r="AJ48" i="8" s="1"/>
  <c r="B50" i="8" s="1" a="1"/>
  <c r="B50" i="8" s="1"/>
  <c r="B51" i="8" s="1"/>
  <c r="B41" i="8" s="1"/>
  <c r="AH49" i="10"/>
  <c r="AH48" i="10" s="1"/>
  <c r="AA58" i="12"/>
  <c r="AA57" i="12" s="1"/>
  <c r="Z49" i="14"/>
  <c r="Z48" i="14" s="1"/>
  <c r="Y48" i="14"/>
  <c r="I52" i="8" l="1"/>
  <c r="I53" i="8" s="1"/>
  <c r="G52" i="8"/>
  <c r="G53" i="8" s="1"/>
  <c r="F52" i="8"/>
  <c r="F53" i="8" s="1"/>
  <c r="E52" i="8"/>
  <c r="E53" i="8" s="1"/>
  <c r="H52" i="8"/>
  <c r="H53" i="8" s="1"/>
  <c r="D52" i="8"/>
  <c r="D53" i="8" s="1"/>
  <c r="C52" i="8"/>
  <c r="C53" i="8" s="1"/>
  <c r="B52" i="8"/>
  <c r="B53" i="8" s="1"/>
  <c r="M52" i="8"/>
  <c r="M53" i="8" s="1"/>
  <c r="L52" i="8"/>
  <c r="L53" i="8" s="1"/>
  <c r="K52" i="8"/>
  <c r="K53" i="8" s="1"/>
  <c r="Q52" i="8"/>
  <c r="Q53" i="8" s="1"/>
  <c r="O52" i="8"/>
  <c r="O53" i="8" s="1"/>
  <c r="J52" i="8"/>
  <c r="J53" i="8" s="1"/>
  <c r="P52" i="8"/>
  <c r="P53" i="8" s="1"/>
  <c r="N52" i="8"/>
  <c r="N53" i="8" s="1"/>
  <c r="AI49" i="10"/>
  <c r="AI48" i="10" s="1"/>
  <c r="AB58" i="12"/>
  <c r="AB57" i="12" s="1"/>
  <c r="AA49" i="14"/>
  <c r="AA48" i="14" s="1"/>
  <c r="E45" i="8" l="1"/>
  <c r="B45" i="8"/>
  <c r="G45" i="8"/>
  <c r="D45" i="8"/>
  <c r="H45" i="8"/>
  <c r="F45" i="8"/>
  <c r="I45" i="8"/>
  <c r="C45" i="8"/>
  <c r="AJ49" i="10"/>
  <c r="AJ48" i="10" s="1"/>
  <c r="B50" i="10" s="1" a="1"/>
  <c r="B50" i="10" s="1"/>
  <c r="B51" i="10" s="1"/>
  <c r="AC58" i="12"/>
  <c r="AC57" i="12" s="1"/>
  <c r="AB49" i="14"/>
  <c r="AB48" i="14" s="1"/>
  <c r="B41" i="10" l="1"/>
  <c r="J52" i="10"/>
  <c r="J53" i="10" s="1"/>
  <c r="I52" i="10"/>
  <c r="I53" i="10" s="1"/>
  <c r="K52" i="10"/>
  <c r="K53" i="10" s="1"/>
  <c r="H52" i="10"/>
  <c r="H53" i="10" s="1"/>
  <c r="G52" i="10"/>
  <c r="G53" i="10" s="1"/>
  <c r="F52" i="10"/>
  <c r="F53" i="10" s="1"/>
  <c r="E52" i="10"/>
  <c r="E53" i="10" s="1"/>
  <c r="D52" i="10"/>
  <c r="D53" i="10" s="1"/>
  <c r="D45" i="10" s="1"/>
  <c r="C52" i="10"/>
  <c r="C53" i="10" s="1"/>
  <c r="B52" i="10"/>
  <c r="B53" i="10" s="1"/>
  <c r="P52" i="10"/>
  <c r="P53" i="10" s="1"/>
  <c r="O52" i="10"/>
  <c r="O53" i="10" s="1"/>
  <c r="N52" i="10"/>
  <c r="N53" i="10" s="1"/>
  <c r="M52" i="10"/>
  <c r="M53" i="10" s="1"/>
  <c r="L52" i="10"/>
  <c r="L53" i="10" s="1"/>
  <c r="Q52" i="10"/>
  <c r="Q53" i="10" s="1"/>
  <c r="AD58" i="12"/>
  <c r="AD57" i="12" s="1"/>
  <c r="AC49" i="14"/>
  <c r="AC48" i="14" s="1"/>
  <c r="H45" i="10" l="1"/>
  <c r="C45" i="10"/>
  <c r="B45" i="10"/>
  <c r="K45" i="10"/>
  <c r="G45" i="10"/>
  <c r="I45" i="10"/>
  <c r="E45" i="10"/>
  <c r="F45" i="10"/>
  <c r="J45" i="10"/>
  <c r="AE58" i="12"/>
  <c r="AE57" i="12" s="1"/>
  <c r="AD49" i="14"/>
  <c r="AD48" i="14" s="1"/>
  <c r="AF58" i="12" l="1"/>
  <c r="AF57" i="12" s="1"/>
  <c r="AE49" i="14"/>
  <c r="AE48" i="14" s="1"/>
  <c r="AG58" i="12" l="1"/>
  <c r="AG57" i="12" s="1"/>
  <c r="AF49" i="14"/>
  <c r="AF48" i="14" s="1"/>
  <c r="AH58" i="12" l="1"/>
  <c r="AH57" i="12" s="1"/>
  <c r="AG49" i="14"/>
  <c r="AG48" i="14" s="1"/>
  <c r="AI58" i="12" l="1"/>
  <c r="AI57" i="12" s="1"/>
  <c r="AH49" i="14"/>
  <c r="AH48" i="14" s="1"/>
  <c r="AJ58" i="12" l="1"/>
  <c r="AJ57" i="12" s="1"/>
  <c r="B59" i="12" s="1" a="1"/>
  <c r="B59" i="12" s="1"/>
  <c r="AI49" i="14"/>
  <c r="AJ49" i="14" s="1"/>
  <c r="AJ48" i="14" s="1"/>
  <c r="B60" i="12" l="1"/>
  <c r="B50" i="12" s="1"/>
  <c r="AI48" i="14"/>
  <c r="B51" i="14" s="1"/>
  <c r="B41" i="14" s="1"/>
  <c r="P61" i="12" l="1"/>
  <c r="P62" i="12" s="1"/>
  <c r="C61" i="12"/>
  <c r="C62" i="12" s="1"/>
  <c r="E61" i="12"/>
  <c r="E62" i="12" s="1"/>
  <c r="E54" i="12" s="1"/>
  <c r="G61" i="12"/>
  <c r="G62" i="12" s="1"/>
  <c r="J61" i="12"/>
  <c r="J62" i="12" s="1"/>
  <c r="J54" i="12" s="1"/>
  <c r="L61" i="12"/>
  <c r="L62" i="12" s="1"/>
  <c r="L54" i="12" s="1"/>
  <c r="M61" i="12"/>
  <c r="M62" i="12" s="1"/>
  <c r="F61" i="12"/>
  <c r="F62" i="12" s="1"/>
  <c r="H61" i="12"/>
  <c r="H62" i="12" s="1"/>
  <c r="B61" i="12"/>
  <c r="B62" i="12" s="1"/>
  <c r="B54" i="12" s="1"/>
  <c r="D61" i="12"/>
  <c r="D62" i="12" s="1"/>
  <c r="D54" i="12" s="1"/>
  <c r="I61" i="12"/>
  <c r="I62" i="12" s="1"/>
  <c r="I54" i="12" s="1"/>
  <c r="K61" i="12"/>
  <c r="K62" i="12" s="1"/>
  <c r="K54" i="12" s="1"/>
  <c r="N61" i="12"/>
  <c r="N62" i="12" s="1"/>
  <c r="N54" i="12" s="1"/>
  <c r="C54" i="12"/>
  <c r="M54" i="12"/>
  <c r="O61" i="12"/>
  <c r="O62" i="12" s="1"/>
  <c r="H54" i="12"/>
  <c r="Q61" i="12"/>
  <c r="Q62" i="12" s="1"/>
  <c r="K52" i="14"/>
  <c r="K53" i="14" s="1"/>
  <c r="J52" i="14"/>
  <c r="J53" i="14" s="1"/>
  <c r="H52" i="14"/>
  <c r="H53" i="14" s="1"/>
  <c r="F52" i="14"/>
  <c r="F53" i="14" s="1"/>
  <c r="E52" i="14"/>
  <c r="E53" i="14" s="1"/>
  <c r="L52" i="14"/>
  <c r="L53" i="14" s="1"/>
  <c r="I52" i="14"/>
  <c r="I53" i="14" s="1"/>
  <c r="G52" i="14"/>
  <c r="G53" i="14" s="1"/>
  <c r="C52" i="14"/>
  <c r="C53" i="14" s="1"/>
  <c r="D52" i="14"/>
  <c r="D53" i="14" s="1"/>
  <c r="N52" i="14"/>
  <c r="N53" i="14" s="1"/>
  <c r="B52" i="14"/>
  <c r="B53" i="14" s="1"/>
  <c r="G54" i="12"/>
  <c r="F54" i="12"/>
  <c r="P52" i="14"/>
  <c r="P53" i="14" s="1"/>
  <c r="Q52" i="14"/>
  <c r="Q53" i="14" s="1"/>
  <c r="M52" i="14"/>
  <c r="M53" i="14" s="1"/>
  <c r="O52" i="14"/>
  <c r="O53" i="14" s="1"/>
  <c r="E45" i="14" l="1"/>
  <c r="J45" i="14"/>
  <c r="K45" i="14"/>
  <c r="B45" i="14"/>
  <c r="F45" i="14"/>
  <c r="H45" i="14"/>
  <c r="L45" i="14"/>
  <c r="C45" i="14"/>
  <c r="D45" i="14"/>
  <c r="G45" i="14"/>
  <c r="I45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F3" authorId="0" shapeId="0" xr:uid="{80861228-887C-4BB0-90FA-49B992A4A2EB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使用前提：
処理結果は正常以外に設定する場合有効
</t>
        </r>
      </text>
    </comment>
    <comment ref="J3" authorId="0" shapeId="0" xr:uid="{D8FDAA6D-AA20-40EF-BAB9-F66C631EBB18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使用前提：
処理結果は正常以外に設定する場合有効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E3" authorId="0" shapeId="0" xr:uid="{8C6DABD0-EB1C-4469-8DDE-577E9A3FFFC9}">
      <text>
        <r>
          <rPr>
            <sz val="9"/>
            <color indexed="81"/>
            <rFont val="MS P ゴシック"/>
            <family val="3"/>
            <charset val="128"/>
          </rPr>
          <t xml:space="preserve">使用前提：
処理結果は正常以外に設定する場合有効
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<sst xmlns="http://schemas.openxmlformats.org/spreadsheetml/2006/main" count="1676" uniqueCount="396">
  <si>
    <t>"00"：正常</t>
    <phoneticPr fontId="12"/>
  </si>
  <si>
    <t>"99"：その他エラー</t>
    <phoneticPr fontId="12"/>
  </si>
  <si>
    <t>"14"：サービス時間帯エラー</t>
    <phoneticPr fontId="12"/>
  </si>
  <si>
    <t>処理結果</t>
    <phoneticPr fontId="12"/>
  </si>
  <si>
    <t>期待されるレスポンス</t>
    <rPh sb="0" eb="2">
      <t>キタイ</t>
    </rPh>
    <phoneticPr fontId="12"/>
  </si>
  <si>
    <t>番号</t>
    <rPh sb="0" eb="2">
      <t>バンゴウ</t>
    </rPh>
    <phoneticPr fontId="13"/>
  </si>
  <si>
    <t>HTTPステータスコード</t>
    <phoneticPr fontId="12"/>
  </si>
  <si>
    <t>200：正常</t>
  </si>
  <si>
    <t>外部API</t>
    <rPh sb="0" eb="2">
      <t>ガイブ</t>
    </rPh>
    <phoneticPr fontId="12"/>
  </si>
  <si>
    <t>MSのAPI</t>
    <phoneticPr fontId="12"/>
  </si>
  <si>
    <t>バーコード情報</t>
    <phoneticPr fontId="12"/>
  </si>
  <si>
    <t>レスポンスの設定値</t>
    <rPh sb="6" eb="8">
      <t>セッテイ</t>
    </rPh>
    <rPh sb="8" eb="9">
      <t>アタイ</t>
    </rPh>
    <phoneticPr fontId="13"/>
  </si>
  <si>
    <t>ルートタグ</t>
  </si>
  <si>
    <t>企業ＩＤ</t>
  </si>
  <si>
    <t>店　番</t>
  </si>
  <si>
    <t>リクエストの値を設定</t>
    <rPh sb="6" eb="7">
      <t>アタイ</t>
    </rPh>
    <rPh sb="8" eb="10">
      <t>セッテイ</t>
    </rPh>
    <phoneticPr fontId="13"/>
  </si>
  <si>
    <t>レジ　No.</t>
  </si>
  <si>
    <t>利用年月日時分秒</t>
  </si>
  <si>
    <t>処理通番</t>
  </si>
  <si>
    <t>再送区分</t>
  </si>
  <si>
    <t>要求区分</t>
  </si>
  <si>
    <t>totoくじモックサーバレスポンス設定</t>
    <rPh sb="17" eb="19">
      <t>セッテイ</t>
    </rPh>
    <phoneticPr fontId="12"/>
  </si>
  <si>
    <t>スポーツ振興くじ当せん返還消込API</t>
    <phoneticPr fontId="12"/>
  </si>
  <si>
    <t>totoくじ - 当せん返還消込</t>
    <phoneticPr fontId="12"/>
  </si>
  <si>
    <t>応答結果</t>
    <phoneticPr fontId="12"/>
  </si>
  <si>
    <t>"01"：検索キーエラー</t>
    <phoneticPr fontId="12"/>
  </si>
  <si>
    <t>"06"：払戻済エラー</t>
    <rPh sb="5" eb="7">
      <t>ハライモドシ</t>
    </rPh>
    <rPh sb="7" eb="8">
      <t>ス</t>
    </rPh>
    <phoneticPr fontId="15"/>
  </si>
  <si>
    <t>"07"：払戻期限切れエラー</t>
    <rPh sb="5" eb="7">
      <t>ハライモドシ</t>
    </rPh>
    <rPh sb="7" eb="9">
      <t>キゲン</t>
    </rPh>
    <rPh sb="9" eb="10">
      <t>ギ</t>
    </rPh>
    <phoneticPr fontId="15"/>
  </si>
  <si>
    <t>"08"：取消済みエラー</t>
    <rPh sb="5" eb="7">
      <t>トリケシ</t>
    </rPh>
    <rPh sb="7" eb="8">
      <t>ス</t>
    </rPh>
    <phoneticPr fontId="15"/>
  </si>
  <si>
    <t>"11"：totoセンター接続エラー</t>
    <rPh sb="13" eb="15">
      <t>セツゾク</t>
    </rPh>
    <phoneticPr fontId="15"/>
  </si>
  <si>
    <t>"99"：その他エラー</t>
    <rPh sb="7" eb="8">
      <t>タ</t>
    </rPh>
    <phoneticPr fontId="15"/>
  </si>
  <si>
    <t>totoくじ - 払戻/払戻取消要求</t>
    <phoneticPr fontId="12"/>
  </si>
  <si>
    <t>該当なし</t>
    <rPh sb="0" eb="2">
      <t>ガイトウ</t>
    </rPh>
    <phoneticPr fontId="11"/>
  </si>
  <si>
    <t>"00"：正常応答</t>
    <phoneticPr fontId="12"/>
  </si>
  <si>
    <t>"02"：店舗チェックエラー</t>
    <rPh sb="5" eb="7">
      <t>テンポ</t>
    </rPh>
    <phoneticPr fontId="15"/>
  </si>
  <si>
    <t>"03"：取引停止中エラー</t>
    <rPh sb="5" eb="7">
      <t>トリヒキ</t>
    </rPh>
    <rPh sb="7" eb="9">
      <t>テイシ</t>
    </rPh>
    <rPh sb="9" eb="10">
      <t>チュウ</t>
    </rPh>
    <phoneticPr fontId="15"/>
  </si>
  <si>
    <t>"04"：未払戻エラー</t>
    <rPh sb="5" eb="6">
      <t>ミ</t>
    </rPh>
    <rPh sb="6" eb="8">
      <t>ハライモドシ</t>
    </rPh>
    <phoneticPr fontId="15"/>
  </si>
  <si>
    <t>スポーツ振興くじ払戻要求API</t>
    <phoneticPr fontId="12"/>
  </si>
  <si>
    <t>スポーツ振興くじ本投票取消要求API</t>
    <phoneticPr fontId="12"/>
  </si>
  <si>
    <t>totoくじ本投票障害取消要求</t>
    <phoneticPr fontId="12"/>
  </si>
  <si>
    <t>"04"：未入金/発券エラー</t>
    <rPh sb="5" eb="6">
      <t>ミ</t>
    </rPh>
    <rPh sb="6" eb="9">
      <t>ニュウキン・</t>
    </rPh>
    <rPh sb="9" eb="11">
      <t>ハッケン</t>
    </rPh>
    <phoneticPr fontId="15"/>
  </si>
  <si>
    <t>"06"：入金/発券済みエラー</t>
    <rPh sb="5" eb="7">
      <t>ニュウキン</t>
    </rPh>
    <rPh sb="8" eb="10">
      <t>ハッケン</t>
    </rPh>
    <rPh sb="10" eb="11">
      <t>ス</t>
    </rPh>
    <phoneticPr fontId="15"/>
  </si>
  <si>
    <t>"07"：入金/発券期限エラー</t>
    <rPh sb="5" eb="7">
      <t>ニュウキン</t>
    </rPh>
    <rPh sb="8" eb="10">
      <t>ハッケン</t>
    </rPh>
    <rPh sb="10" eb="12">
      <t>キゲン</t>
    </rPh>
    <phoneticPr fontId="15"/>
  </si>
  <si>
    <t>"09"：取消期限エラー</t>
    <rPh sb="5" eb="7">
      <t>トリケシ</t>
    </rPh>
    <rPh sb="7" eb="9">
      <t>キゲン</t>
    </rPh>
    <phoneticPr fontId="15"/>
  </si>
  <si>
    <t>スポーツ振興くじ本投票要求API</t>
    <phoneticPr fontId="12"/>
  </si>
  <si>
    <t>totoくじ本投票要求</t>
    <phoneticPr fontId="12"/>
  </si>
  <si>
    <t>スポーツ振興くじ購入取消要求API</t>
    <phoneticPr fontId="12"/>
  </si>
  <si>
    <t>totoくじ購入取消要求</t>
    <phoneticPr fontId="12"/>
  </si>
  <si>
    <t>スポーツ振興くじ購入要求API</t>
    <phoneticPr fontId="12"/>
  </si>
  <si>
    <t>totoくじ購入要求</t>
    <phoneticPr fontId="12"/>
  </si>
  <si>
    <t>"05"：入金/発券中エラー</t>
    <rPh sb="5" eb="7">
      <t>ニュウキン</t>
    </rPh>
    <rPh sb="8" eb="10">
      <t>ハッケン</t>
    </rPh>
    <rPh sb="10" eb="11">
      <t>チュウ</t>
    </rPh>
    <phoneticPr fontId="15"/>
  </si>
  <si>
    <t>当せん返還消込応答</t>
    <rPh sb="0" eb="1">
      <t>トウ</t>
    </rPh>
    <rPh sb="3" eb="5">
      <t>ヘンカン</t>
    </rPh>
    <rPh sb="5" eb="7">
      <t>ケシコミ</t>
    </rPh>
    <rPh sb="7" eb="9">
      <t>オウトウ</t>
    </rPh>
    <phoneticPr fontId="13"/>
  </si>
  <si>
    <t>バーコード情報</t>
  </si>
  <si>
    <t>投票券バーコード番号</t>
    <rPh sb="0" eb="3">
      <t>トウヒョウケン</t>
    </rPh>
    <rPh sb="8" eb="10">
      <t>バンゴウ</t>
    </rPh>
    <phoneticPr fontId="15"/>
  </si>
  <si>
    <t>取消理由</t>
    <rPh sb="0" eb="2">
      <t>トリケシ</t>
    </rPh>
    <rPh sb="2" eb="4">
      <t>リユウ</t>
    </rPh>
    <phoneticPr fontId="17"/>
  </si>
  <si>
    <t>端末種別</t>
    <rPh sb="0" eb="2">
      <t>タンマツ</t>
    </rPh>
    <rPh sb="2" eb="4">
      <t>シュベツ</t>
    </rPh>
    <phoneticPr fontId="15"/>
  </si>
  <si>
    <t>POS取引No</t>
    <rPh sb="3" eb="5">
      <t>トリヒキ</t>
    </rPh>
    <phoneticPr fontId="15"/>
  </si>
  <si>
    <t>当せん／返還フラグ</t>
    <rPh sb="0" eb="1">
      <t>トウ</t>
    </rPh>
    <rPh sb="4" eb="6">
      <t>ヘンカン</t>
    </rPh>
    <phoneticPr fontId="15"/>
  </si>
  <si>
    <t>ジュリアンDATE</t>
  </si>
  <si>
    <t>ジュリアンTIME</t>
  </si>
  <si>
    <r>
      <t>t</t>
    </r>
    <r>
      <rPr>
        <sz val="11"/>
        <color theme="1"/>
        <rFont val="ＭＳ Ｐゴシック"/>
        <family val="3"/>
        <charset val="128"/>
      </rPr>
      <t>oto端末ID</t>
    </r>
    <rPh sb="4" eb="6">
      <t>タンマツ</t>
    </rPh>
    <phoneticPr fontId="15"/>
  </si>
  <si>
    <t>応答結果</t>
    <rPh sb="0" eb="2">
      <t>オウトウ</t>
    </rPh>
    <rPh sb="2" eb="4">
      <t>ケッカ</t>
    </rPh>
    <phoneticPr fontId="17"/>
  </si>
  <si>
    <r>
      <t>t</t>
    </r>
    <r>
      <rPr>
        <b/>
        <sz val="11"/>
        <color rgb="FFFF0000"/>
        <rFont val="Yu Gothic"/>
        <family val="3"/>
        <charset val="128"/>
      </rPr>
      <t>otoセンター応答結果</t>
    </r>
    <rPh sb="8" eb="10">
      <t>オウトウ</t>
    </rPh>
    <rPh sb="10" eb="12">
      <t>ケッカ</t>
    </rPh>
    <phoneticPr fontId="17"/>
  </si>
  <si>
    <t>"16"：SEJセンター混雑エラー</t>
    <phoneticPr fontId="12"/>
  </si>
  <si>
    <t>"00"：正常応答</t>
    <phoneticPr fontId="12"/>
  </si>
  <si>
    <t>"15"：タイムアウトエラー</t>
    <phoneticPr fontId="12"/>
  </si>
  <si>
    <t>"01"：検索キーエラー</t>
    <phoneticPr fontId="12"/>
  </si>
  <si>
    <t>"12"：totoセンター混雑エラー</t>
    <phoneticPr fontId="12"/>
  </si>
  <si>
    <t>"13"：totoセンターアプリエラー</t>
    <phoneticPr fontId="12"/>
  </si>
  <si>
    <t>"14"：totoセンター通信その他エラー</t>
    <phoneticPr fontId="12"/>
  </si>
  <si>
    <t>店番</t>
  </si>
  <si>
    <t>企業ID</t>
  </si>
  <si>
    <t>レジNo</t>
  </si>
  <si>
    <t>払戻受付票番号</t>
    <rPh sb="0" eb="2">
      <t>ハライモドシ</t>
    </rPh>
    <rPh sb="2" eb="4">
      <t>ウケツケ</t>
    </rPh>
    <rPh sb="4" eb="5">
      <t>ヒョウ</t>
    </rPh>
    <rPh sb="5" eb="7">
      <t>バンゴウ</t>
    </rPh>
    <phoneticPr fontId="17"/>
  </si>
  <si>
    <t>払戻金額</t>
    <rPh sb="0" eb="3">
      <t>ハライモドシキン</t>
    </rPh>
    <rPh sb="3" eb="4">
      <t>ガク</t>
    </rPh>
    <phoneticPr fontId="17"/>
  </si>
  <si>
    <t>ショップID</t>
  </si>
  <si>
    <r>
      <t>発券レジN</t>
    </r>
    <r>
      <rPr>
        <sz val="11"/>
        <rFont val="ＭＳ Ｐゴシック"/>
        <family val="3"/>
        <charset val="128"/>
      </rPr>
      <t>o</t>
    </r>
    <rPh sb="0" eb="2">
      <t>ハッケン</t>
    </rPh>
    <phoneticPr fontId="17"/>
  </si>
  <si>
    <t>本投票相関ID</t>
  </si>
  <si>
    <t>取消理由区分</t>
    <rPh sb="0" eb="2">
      <t>トリケシ</t>
    </rPh>
    <rPh sb="2" eb="4">
      <t>リユウ</t>
    </rPh>
    <rPh sb="4" eb="6">
      <t>クブン</t>
    </rPh>
    <phoneticPr fontId="15"/>
  </si>
  <si>
    <t>チケット枚数</t>
    <rPh sb="4" eb="6">
      <t>マイスウ</t>
    </rPh>
    <phoneticPr fontId="17"/>
  </si>
  <si>
    <t>チケット情報</t>
    <rPh sb="4" eb="6">
      <t>ジョウホウ</t>
    </rPh>
    <phoneticPr fontId="17"/>
  </si>
  <si>
    <t>投票券バーコード番号</t>
    <rPh sb="0" eb="3">
      <t>トウヒョウケン</t>
    </rPh>
    <rPh sb="8" eb="10">
      <t>バンゴウ</t>
    </rPh>
    <phoneticPr fontId="21"/>
  </si>
  <si>
    <t>テンプレートコード</t>
  </si>
  <si>
    <t>券面情報</t>
    <rPh sb="0" eb="2">
      <t>ケンメン</t>
    </rPh>
    <rPh sb="2" eb="4">
      <t>ジョウホウ</t>
    </rPh>
    <phoneticPr fontId="17"/>
  </si>
  <si>
    <t>払込票番号</t>
    <rPh sb="0" eb="2">
      <t>ハライコミ</t>
    </rPh>
    <rPh sb="2" eb="3">
      <t>ヒョウ</t>
    </rPh>
    <rPh sb="3" eb="5">
      <t>バンゴウ</t>
    </rPh>
    <phoneticPr fontId="17"/>
  </si>
  <si>
    <t>チケット代金</t>
    <rPh sb="4" eb="6">
      <t>ダイキン</t>
    </rPh>
    <phoneticPr fontId="17"/>
  </si>
  <si>
    <t>本投票の場合：
　空タグ
本投票障害取消の場合：
　リクエストの値を設定</t>
    <rPh sb="4" eb="6">
      <t>バアイ</t>
    </rPh>
    <rPh sb="21" eb="23">
      <t>バアイ</t>
    </rPh>
    <phoneticPr fontId="13"/>
  </si>
  <si>
    <t>本投票障害取消の場合：
　不要（空タグセットなし）</t>
    <rPh sb="8" eb="10">
      <t>バアイ</t>
    </rPh>
    <phoneticPr fontId="13"/>
  </si>
  <si>
    <t>払戻・払戻取消応答</t>
    <rPh sb="0" eb="2">
      <t>ハライモドシ</t>
    </rPh>
    <rPh sb="3" eb="5">
      <t>ハライモドシ</t>
    </rPh>
    <rPh sb="5" eb="7">
      <t>トリケシ</t>
    </rPh>
    <rPh sb="7" eb="9">
      <t>オウトウ</t>
    </rPh>
    <phoneticPr fontId="13"/>
  </si>
  <si>
    <t>本投票応答・本投票障害取消応答</t>
    <rPh sb="0" eb="1">
      <t>ホン</t>
    </rPh>
    <rPh sb="1" eb="3">
      <t>トウヒョウ</t>
    </rPh>
    <rPh sb="3" eb="5">
      <t>オウトウ</t>
    </rPh>
    <rPh sb="6" eb="7">
      <t>ホン</t>
    </rPh>
    <rPh sb="7" eb="9">
      <t>トウヒョウ</t>
    </rPh>
    <rPh sb="9" eb="11">
      <t>ショウガイ</t>
    </rPh>
    <rPh sb="11" eb="13">
      <t>トリケシ</t>
    </rPh>
    <rPh sb="13" eb="15">
      <t>オウトウ</t>
    </rPh>
    <phoneticPr fontId="13"/>
  </si>
  <si>
    <t>購入応答・購入取消応答</t>
    <rPh sb="0" eb="2">
      <t>コウニュウ</t>
    </rPh>
    <rPh sb="2" eb="4">
      <t>オウトウ</t>
    </rPh>
    <rPh sb="5" eb="7">
      <t>コウニュウ</t>
    </rPh>
    <rPh sb="7" eb="9">
      <t>トリケシ</t>
    </rPh>
    <rPh sb="9" eb="11">
      <t>オウトウ</t>
    </rPh>
    <phoneticPr fontId="13"/>
  </si>
  <si>
    <t>呼び出しAPI順番</t>
    <phoneticPr fontId="12"/>
  </si>
  <si>
    <t>0：通常</t>
  </si>
  <si>
    <t>1：再送</t>
    <phoneticPr fontId="12"/>
  </si>
  <si>
    <t>"00"以外：処理結果エラー</t>
    <rPh sb="4" eb="6">
      <t>イガイ</t>
    </rPh>
    <rPh sb="7" eb="11">
      <t>ショリケッカ</t>
    </rPh>
    <phoneticPr fontId="16"/>
  </si>
  <si>
    <t>その他項目</t>
    <phoneticPr fontId="12"/>
  </si>
  <si>
    <t>"00"以外：応答結果エラー</t>
    <phoneticPr fontId="12"/>
  </si>
  <si>
    <t>"00"：正常応答　または　該当なし</t>
    <phoneticPr fontId="12"/>
  </si>
  <si>
    <t>200　または　500</t>
    <phoneticPr fontId="12"/>
  </si>
  <si>
    <t>"00" ：正常　または　"00"以外：処理結果エラー</t>
    <phoneticPr fontId="12"/>
  </si>
  <si>
    <t>スポーツ振興くじ払戻取消要求API</t>
    <phoneticPr fontId="12"/>
  </si>
  <si>
    <t>"99"：その他エラー(400)</t>
  </si>
  <si>
    <t>"99"：その他エラー(500)</t>
  </si>
  <si>
    <t>バーコード情報</t>
    <phoneticPr fontId="12"/>
  </si>
  <si>
    <t>リクエストパラメータ</t>
    <phoneticPr fontId="13"/>
  </si>
  <si>
    <t>"99"：その他エラー(400)</t>
    <phoneticPr fontId="12"/>
  </si>
  <si>
    <t>"05"：払戻中エラー</t>
    <phoneticPr fontId="12"/>
  </si>
  <si>
    <t>シナリオ</t>
    <phoneticPr fontId="12"/>
  </si>
  <si>
    <t>購入正常</t>
    <phoneticPr fontId="12"/>
  </si>
  <si>
    <t>購入異常（処理結果エラー）</t>
    <phoneticPr fontId="12"/>
  </si>
  <si>
    <t>購入異常（応答結果エラー）</t>
    <phoneticPr fontId="12"/>
  </si>
  <si>
    <t>購入異常（タイムアウト）</t>
    <phoneticPr fontId="12"/>
  </si>
  <si>
    <t>購入正常→購入取消正常</t>
    <phoneticPr fontId="12"/>
  </si>
  <si>
    <t>購入正常→購入取消異常（処理結果エラー）</t>
    <phoneticPr fontId="12"/>
  </si>
  <si>
    <t>購入正常→購入取消異常（タイムアウト）</t>
    <phoneticPr fontId="12"/>
  </si>
  <si>
    <t>購入正常→購入取消異常（応答結果エラー）</t>
    <phoneticPr fontId="12"/>
  </si>
  <si>
    <t>ビット値
（必要ビット数まで足りない場合は左0埋め）</t>
    <rPh sb="3" eb="4">
      <t>アタイ</t>
    </rPh>
    <rPh sb="6" eb="8">
      <t>ヒツヨウ</t>
    </rPh>
    <rPh sb="14" eb="15">
      <t>タ</t>
    </rPh>
    <rPh sb="18" eb="20">
      <t>バアイ</t>
    </rPh>
    <rPh sb="21" eb="22">
      <t>ヒダリ</t>
    </rPh>
    <rPh sb="23" eb="24">
      <t>ウ</t>
    </rPh>
    <phoneticPr fontId="13"/>
  </si>
  <si>
    <t>購入</t>
    <phoneticPr fontId="12"/>
  </si>
  <si>
    <t>購入取消</t>
    <phoneticPr fontId="12"/>
  </si>
  <si>
    <t>〇</t>
  </si>
  <si>
    <t>000000</t>
    <phoneticPr fontId="12"/>
  </si>
  <si>
    <t>999999</t>
    <phoneticPr fontId="12"/>
  </si>
  <si>
    <t>本投票</t>
    <phoneticPr fontId="12"/>
  </si>
  <si>
    <t>本投票障害取消</t>
    <phoneticPr fontId="12"/>
  </si>
  <si>
    <t>購入正常→本投票正常</t>
    <phoneticPr fontId="12"/>
  </si>
  <si>
    <t>200　または　400　または　500</t>
    <phoneticPr fontId="12"/>
  </si>
  <si>
    <t>要求区分</t>
    <rPh sb="0" eb="4">
      <t>ヨウキュウクブン</t>
    </rPh>
    <phoneticPr fontId="12"/>
  </si>
  <si>
    <t>"01"：購入要求</t>
    <phoneticPr fontId="12"/>
  </si>
  <si>
    <t>02：本投票要求</t>
  </si>
  <si>
    <t>「No.1_購入・購入取消応答_マッピング」シート参照</t>
    <phoneticPr fontId="12"/>
  </si>
  <si>
    <t>「No.1_購入・購入取消応答」シート参照</t>
    <phoneticPr fontId="12"/>
  </si>
  <si>
    <t>払戻正常</t>
    <phoneticPr fontId="12"/>
  </si>
  <si>
    <t>払戻異常（処理結果エラー）</t>
    <phoneticPr fontId="12"/>
  </si>
  <si>
    <t>払戻異常（応答結果エラー）</t>
    <phoneticPr fontId="12"/>
  </si>
  <si>
    <t>払戻異常（タイムアウト）</t>
    <phoneticPr fontId="12"/>
  </si>
  <si>
    <t>払戻正常→払戻取消正常</t>
    <phoneticPr fontId="12"/>
  </si>
  <si>
    <t>払戻正常→払戻取消異常（処理結果エラー）</t>
    <phoneticPr fontId="12"/>
  </si>
  <si>
    <t>払戻正常→払戻取消異常（応答結果エラー）</t>
    <phoneticPr fontId="12"/>
  </si>
  <si>
    <t>"03"：払戻要求</t>
    <phoneticPr fontId="12"/>
  </si>
  <si>
    <t>"13"：払戻取消要求</t>
    <phoneticPr fontId="12"/>
  </si>
  <si>
    <t>払戻正常→払戻取消異常（タイムアウト）</t>
    <phoneticPr fontId="12"/>
  </si>
  <si>
    <t>払戻正常→当せん返還消込正常</t>
    <phoneticPr fontId="12"/>
  </si>
  <si>
    <t>"04"：当せん返還消込要求</t>
    <phoneticPr fontId="12"/>
  </si>
  <si>
    <t>本投票正常</t>
    <phoneticPr fontId="12"/>
  </si>
  <si>
    <t>本投票異常（処理結果エラー）</t>
    <phoneticPr fontId="12"/>
  </si>
  <si>
    <t>本投票異常（応答結果エラー）</t>
    <phoneticPr fontId="12"/>
  </si>
  <si>
    <t>本投票異常（タイムアウト）</t>
    <phoneticPr fontId="12"/>
  </si>
  <si>
    <t>購入取消正常</t>
    <phoneticPr fontId="12"/>
  </si>
  <si>
    <t>購入取消異常（処理結果エラー）</t>
    <phoneticPr fontId="12"/>
  </si>
  <si>
    <t>購入取消異常（応答結果エラー）</t>
    <phoneticPr fontId="12"/>
  </si>
  <si>
    <t>購入取消異常（タイムアウト）</t>
    <phoneticPr fontId="12"/>
  </si>
  <si>
    <t>本投票障害取消正常</t>
    <phoneticPr fontId="12"/>
  </si>
  <si>
    <t>本投票障害取消異常（処理結果エラー）</t>
    <phoneticPr fontId="12"/>
  </si>
  <si>
    <t>本投票障害取消異常（応答結果エラー）</t>
    <phoneticPr fontId="12"/>
  </si>
  <si>
    <t>本投票障害取消異常（タイムアウト）</t>
    <phoneticPr fontId="12"/>
  </si>
  <si>
    <t>"11"：購入取消要求</t>
    <phoneticPr fontId="12"/>
  </si>
  <si>
    <t>"02"：本投票要求</t>
    <phoneticPr fontId="12"/>
  </si>
  <si>
    <t>"12"：本投票障害取消要求</t>
    <phoneticPr fontId="12"/>
  </si>
  <si>
    <t>・本投票応答電文の処理結果と応答結果を参照し、処理分岐を行う。</t>
    <rPh sb="1" eb="2">
      <t>ホン</t>
    </rPh>
    <rPh sb="2" eb="4">
      <t>トウヒョウ</t>
    </rPh>
    <rPh sb="4" eb="6">
      <t>オウトウ</t>
    </rPh>
    <phoneticPr fontId="27"/>
  </si>
  <si>
    <t>－－－本投票応答電文</t>
    <rPh sb="3" eb="4">
      <t>ホン</t>
    </rPh>
    <rPh sb="4" eb="6">
      <t>トウヒョウ</t>
    </rPh>
    <phoneticPr fontId="27"/>
  </si>
  <si>
    <t>　　　では発生しない</t>
    <phoneticPr fontId="27"/>
  </si>
  <si>
    <t>処理結果</t>
    <rPh sb="0" eb="2">
      <t>ショリ</t>
    </rPh>
    <rPh sb="2" eb="4">
      <t>ケッカ</t>
    </rPh>
    <phoneticPr fontId="27"/>
  </si>
  <si>
    <t>応答結果</t>
    <rPh sb="0" eb="2">
      <t>オウトウ</t>
    </rPh>
    <rPh sb="2" eb="4">
      <t>ケッカ</t>
    </rPh>
    <phoneticPr fontId="27"/>
  </si>
  <si>
    <t>エラー内容説明</t>
    <rPh sb="3" eb="5">
      <t>ナイヨウ</t>
    </rPh>
    <rPh sb="5" eb="7">
      <t>セツメイ</t>
    </rPh>
    <phoneticPr fontId="28"/>
  </si>
  <si>
    <t>エラー後続処理</t>
    <rPh sb="3" eb="5">
      <t>コウゾク</t>
    </rPh>
    <rPh sb="5" eb="7">
      <t>ショリ</t>
    </rPh>
    <phoneticPr fontId="27"/>
  </si>
  <si>
    <t>"14"：サービス時間帯エラー</t>
    <rPh sb="9" eb="12">
      <t>ジカンタイ</t>
    </rPh>
    <phoneticPr fontId="28"/>
  </si>
  <si>
    <t>タグ無し</t>
  </si>
  <si>
    <t>SEJｾﾝﾀｰのｻｰﾋﾞｽ時間外(ｼｽﾃﾑﾒﾝﾃﾅﾝｽ時に使用)</t>
    <rPh sb="13" eb="16">
      <t>ジカンガイ</t>
    </rPh>
    <rPh sb="27" eb="28">
      <t>ジ</t>
    </rPh>
    <rPh sb="29" eb="31">
      <t>シヨウ</t>
    </rPh>
    <phoneticPr fontId="28"/>
  </si>
  <si>
    <t>－－－</t>
    <phoneticPr fontId="27"/>
  </si>
  <si>
    <t>"15"：ﾀｲﾑｱｳﾄｴﾗｰ(SEJ⇒スポーツくじｾﾝﾀｰ)</t>
  </si>
  <si>
    <t>スポーツくじセンターとの通信タイムアウト</t>
    <rPh sb="12" eb="14">
      <t>ツウシン</t>
    </rPh>
    <phoneticPr fontId="28"/>
  </si>
  <si>
    <t>本投票障害取消</t>
    <rPh sb="0" eb="1">
      <t>ホン</t>
    </rPh>
    <rPh sb="1" eb="3">
      <t>トウヒョウ</t>
    </rPh>
    <rPh sb="3" eb="5">
      <t>ショウガイ</t>
    </rPh>
    <rPh sb="5" eb="7">
      <t>トリケシ</t>
    </rPh>
    <phoneticPr fontId="27"/>
  </si>
  <si>
    <t>"16"：SEJセンター混雑エラー</t>
    <phoneticPr fontId="27"/>
  </si>
  <si>
    <t>SEJセンターの混雑エラー</t>
    <rPh sb="8" eb="10">
      <t>コンザツ</t>
    </rPh>
    <phoneticPr fontId="28"/>
  </si>
  <si>
    <t>購入取消</t>
    <rPh sb="0" eb="2">
      <t>コウニュウ</t>
    </rPh>
    <rPh sb="2" eb="4">
      <t>トリケシ</t>
    </rPh>
    <phoneticPr fontId="27"/>
  </si>
  <si>
    <t>"99"：その他エラー</t>
    <rPh sb="7" eb="8">
      <t>タ</t>
    </rPh>
    <phoneticPr fontId="28"/>
  </si>
  <si>
    <t>その他エラーの場合(データベース障害など)</t>
    <rPh sb="2" eb="3">
      <t>タ</t>
    </rPh>
    <rPh sb="7" eb="9">
      <t>バアイ</t>
    </rPh>
    <rPh sb="16" eb="18">
      <t>ショウガイ</t>
    </rPh>
    <phoneticPr fontId="28"/>
  </si>
  <si>
    <t>"00"：正常</t>
    <rPh sb="5" eb="7">
      <t>セイジョウ</t>
    </rPh>
    <phoneticPr fontId="28"/>
  </si>
  <si>
    <t>"01"：検索キーエラー</t>
    <phoneticPr fontId="27"/>
  </si>
  <si>
    <t>該当データが存在しない場合</t>
  </si>
  <si>
    <t>"02"：店舗チェックエラー</t>
    <rPh sb="5" eb="7">
      <t>テンポ</t>
    </rPh>
    <phoneticPr fontId="28"/>
  </si>
  <si>
    <t>MCOPYでの受付店番と異なる場合</t>
    <rPh sb="7" eb="9">
      <t>ウケツケ</t>
    </rPh>
    <rPh sb="9" eb="11">
      <t>テンバン</t>
    </rPh>
    <rPh sb="12" eb="13">
      <t>コト</t>
    </rPh>
    <rPh sb="15" eb="17">
      <t>バアイ</t>
    </rPh>
    <phoneticPr fontId="28"/>
  </si>
  <si>
    <t>"03"：取引停止中エラー</t>
    <rPh sb="5" eb="7">
      <t>トリヒキ</t>
    </rPh>
    <rPh sb="7" eb="9">
      <t>テイシ</t>
    </rPh>
    <rPh sb="9" eb="10">
      <t>チュウ</t>
    </rPh>
    <phoneticPr fontId="28"/>
  </si>
  <si>
    <t>ショップマスタ取引停止中</t>
  </si>
  <si>
    <t>"04"：未入金/発券エラー</t>
    <rPh sb="5" eb="6">
      <t>ミ</t>
    </rPh>
    <rPh sb="6" eb="9">
      <t>ニュウキン・</t>
    </rPh>
    <rPh sb="9" eb="11">
      <t>ハッケン</t>
    </rPh>
    <phoneticPr fontId="28"/>
  </si>
  <si>
    <t>SEJセンターのステータスエラー</t>
  </si>
  <si>
    <t>"05"：入金/発券中エラー</t>
    <rPh sb="5" eb="7">
      <t>ニュウキン</t>
    </rPh>
    <rPh sb="8" eb="10">
      <t>ハッケン</t>
    </rPh>
    <rPh sb="10" eb="11">
      <t>チュウ</t>
    </rPh>
    <phoneticPr fontId="28"/>
  </si>
  <si>
    <t>"06"：入金/発券済みエラー</t>
    <rPh sb="5" eb="7">
      <t>ニュウキン</t>
    </rPh>
    <rPh sb="8" eb="10">
      <t>ハッケン</t>
    </rPh>
    <rPh sb="10" eb="11">
      <t>ス</t>
    </rPh>
    <phoneticPr fontId="28"/>
  </si>
  <si>
    <t>"07"：入金/発券期限エラー</t>
    <rPh sb="5" eb="7">
      <t>ニュウキン</t>
    </rPh>
    <rPh sb="8" eb="10">
      <t>ハッケン</t>
    </rPh>
    <rPh sb="10" eb="12">
      <t>キゲン</t>
    </rPh>
    <phoneticPr fontId="28"/>
  </si>
  <si>
    <t>払込票の期限が切れた場合</t>
    <rPh sb="0" eb="2">
      <t>ハライコミ</t>
    </rPh>
    <rPh sb="2" eb="3">
      <t>ヒョウ</t>
    </rPh>
    <rPh sb="4" eb="6">
      <t>キゲン</t>
    </rPh>
    <rPh sb="7" eb="8">
      <t>キ</t>
    </rPh>
    <rPh sb="10" eb="12">
      <t>バアイ</t>
    </rPh>
    <phoneticPr fontId="28"/>
  </si>
  <si>
    <t>"08"：取消済みエラー</t>
    <rPh sb="5" eb="7">
      <t>トリケシ</t>
    </rPh>
    <rPh sb="7" eb="8">
      <t>ス</t>
    </rPh>
    <phoneticPr fontId="28"/>
  </si>
  <si>
    <t>"09"：取消期限エラー</t>
    <rPh sb="5" eb="7">
      <t>トリケシ</t>
    </rPh>
    <rPh sb="7" eb="9">
      <t>キゲン</t>
    </rPh>
    <phoneticPr fontId="28"/>
  </si>
  <si>
    <t>本投票障害取消の受付期限が切れた場合</t>
    <rPh sb="0" eb="1">
      <t>ホン</t>
    </rPh>
    <rPh sb="1" eb="3">
      <t>トウヒョウ</t>
    </rPh>
    <rPh sb="3" eb="5">
      <t>ショウガイ</t>
    </rPh>
    <rPh sb="5" eb="7">
      <t>トリケシ</t>
    </rPh>
    <rPh sb="8" eb="10">
      <t>ウケツケ</t>
    </rPh>
    <rPh sb="10" eb="12">
      <t>キゲン</t>
    </rPh>
    <rPh sb="13" eb="14">
      <t>キ</t>
    </rPh>
    <rPh sb="16" eb="18">
      <t>バアイ</t>
    </rPh>
    <phoneticPr fontId="28"/>
  </si>
  <si>
    <t>"11"：スポーツくじセンター接続エラー</t>
    <rPh sb="15" eb="17">
      <t>セツゾク</t>
    </rPh>
    <phoneticPr fontId="28"/>
  </si>
  <si>
    <t>スポーツくじセンターとのコネクションの確立失敗</t>
    <rPh sb="21" eb="23">
      <t>シッパイ</t>
    </rPh>
    <phoneticPr fontId="28"/>
  </si>
  <si>
    <t>"12"：スポーツくじセンター混雑エラー</t>
  </si>
  <si>
    <t>スポーツくじセンターより混雑エラー応答(503エラー)</t>
    <rPh sb="12" eb="14">
      <t>コンザツ</t>
    </rPh>
    <rPh sb="17" eb="19">
      <t>オウトウ</t>
    </rPh>
    <phoneticPr fontId="28"/>
  </si>
  <si>
    <t>"13"：スポーツくじセンターアプリエラー</t>
  </si>
  <si>
    <t>スポーツくじセンターよりアプリエラー応答</t>
    <rPh sb="18" eb="20">
      <t>オウトウ</t>
    </rPh>
    <phoneticPr fontId="28"/>
  </si>
  <si>
    <t>※１</t>
    <phoneticPr fontId="27"/>
  </si>
  <si>
    <t>"14"：スポーツくじセンター通信その他エラー</t>
  </si>
  <si>
    <t>"11", "12", "13"以外のスポーツくじセンター側エラー</t>
    <rPh sb="16" eb="18">
      <t>イガイ</t>
    </rPh>
    <rPh sb="29" eb="30">
      <t>ガワ</t>
    </rPh>
    <phoneticPr fontId="28"/>
  </si>
  <si>
    <t>"99"：その他エラー</t>
    <phoneticPr fontId="27"/>
  </si>
  <si>
    <t>その他業務処理チェックエラー</t>
    <rPh sb="2" eb="3">
      <t>タ</t>
    </rPh>
    <rPh sb="3" eb="5">
      <t>ギョウム</t>
    </rPh>
    <rPh sb="5" eb="7">
      <t>ショリ</t>
    </rPh>
    <phoneticPr fontId="28"/>
  </si>
  <si>
    <t>※１　エラーは発生するが</t>
    <rPh sb="7" eb="9">
      <t>ハッセイ</t>
    </rPh>
    <phoneticPr fontId="27"/>
  </si>
  <si>
    <t>　　　後続処理は実行しない</t>
    <rPh sb="3" eb="5">
      <t>コウゾク</t>
    </rPh>
    <rPh sb="5" eb="7">
      <t>ショリ</t>
    </rPh>
    <rPh sb="8" eb="10">
      <t>ジッコウ</t>
    </rPh>
    <phoneticPr fontId="27"/>
  </si>
  <si>
    <t>本投票応答のエラー応答による後続処理分岐</t>
    <rPh sb="0" eb="1">
      <t>ホン</t>
    </rPh>
    <rPh sb="1" eb="3">
      <t>トウヒョウ</t>
    </rPh>
    <rPh sb="3" eb="5">
      <t>オウトウ</t>
    </rPh>
    <rPh sb="9" eb="11">
      <t>オウトウ</t>
    </rPh>
    <rPh sb="14" eb="16">
      <t>コウゾク</t>
    </rPh>
    <rPh sb="16" eb="18">
      <t>ショリ</t>
    </rPh>
    <rPh sb="18" eb="20">
      <t>ブンキ</t>
    </rPh>
    <phoneticPr fontId="27"/>
  </si>
  <si>
    <t>"00"：正常応答　または　該当なし　または　"00"以外：応答結果エラー</t>
    <phoneticPr fontId="12"/>
  </si>
  <si>
    <r>
      <t xml:space="preserve">購入正常→本投票異常→本投票障害取消正常
</t>
    </r>
    <r>
      <rPr>
        <sz val="16"/>
        <color rgb="FFFF0000"/>
        <rFont val="Yu Gothic"/>
        <family val="3"/>
        <charset val="128"/>
        <scheme val="minor"/>
      </rPr>
      <t>※「本投票応答のエラー応答による後続処理分岐」シートを参考</t>
    </r>
    <rPh sb="8" eb="10">
      <t>イジョウ</t>
    </rPh>
    <rPh sb="48" eb="50">
      <t>サンコウ</t>
    </rPh>
    <phoneticPr fontId="12"/>
  </si>
  <si>
    <r>
      <t xml:space="preserve">購入正常→本投票異常→本投票障害取消異常
</t>
    </r>
    <r>
      <rPr>
        <sz val="16"/>
        <color rgb="FFFF0000"/>
        <rFont val="Yu Gothic"/>
        <family val="3"/>
        <charset val="128"/>
        <scheme val="minor"/>
      </rPr>
      <t>※「本投票応答のエラー応答による後続処理分岐」シートを参考</t>
    </r>
    <rPh sb="8" eb="10">
      <t>イジョウ</t>
    </rPh>
    <phoneticPr fontId="12"/>
  </si>
  <si>
    <r>
      <t xml:space="preserve">購入正常→本投票異常→購入取消正常
</t>
    </r>
    <r>
      <rPr>
        <sz val="16"/>
        <color rgb="FFFF0000"/>
        <rFont val="Yu Gothic"/>
        <family val="3"/>
        <charset val="128"/>
        <scheme val="minor"/>
      </rPr>
      <t>※「本投票応答のエラー応答による後続処理分岐」シートを参考</t>
    </r>
    <rPh sb="8" eb="10">
      <t>イジョウ</t>
    </rPh>
    <rPh sb="45" eb="47">
      <t>サンコウ</t>
    </rPh>
    <phoneticPr fontId="12"/>
  </si>
  <si>
    <r>
      <t xml:space="preserve">購入正常→本投票異常→購入取消異常
</t>
    </r>
    <r>
      <rPr>
        <sz val="16"/>
        <color rgb="FFFF0000"/>
        <rFont val="Yu Gothic"/>
        <family val="3"/>
        <charset val="128"/>
        <scheme val="minor"/>
      </rPr>
      <t>※「本投票応答のエラー応答による後続処理分岐」シートを参考</t>
    </r>
    <rPh sb="8" eb="10">
      <t>イジョウ</t>
    </rPh>
    <phoneticPr fontId="12"/>
  </si>
  <si>
    <t>「No.2_本投票・本投票障害取消応答_マッピング」シート参照</t>
    <phoneticPr fontId="13"/>
  </si>
  <si>
    <t>「No.2_本投票・本投票障害取消応答」シート参照</t>
    <phoneticPr fontId="12"/>
  </si>
  <si>
    <t>払戻取消正常</t>
    <phoneticPr fontId="12"/>
  </si>
  <si>
    <t>払戻取消異常（処理結果エラー）</t>
    <phoneticPr fontId="12"/>
  </si>
  <si>
    <t>払戻取消異常（応答結果エラー）</t>
    <phoneticPr fontId="12"/>
  </si>
  <si>
    <t>払戻取消異常（タイムアウト）</t>
    <phoneticPr fontId="12"/>
  </si>
  <si>
    <t>当せん返還消込正常</t>
    <rPh sb="7" eb="9">
      <t>セイジョウ</t>
    </rPh>
    <phoneticPr fontId="16"/>
  </si>
  <si>
    <t>当せん返還消込異常（処理結果エラー）</t>
    <phoneticPr fontId="12"/>
  </si>
  <si>
    <t>当せん返還消込異常（応答結果エラー）</t>
    <phoneticPr fontId="12"/>
  </si>
  <si>
    <t>当せん返還消込異常（タイムアウト）</t>
    <phoneticPr fontId="12"/>
  </si>
  <si>
    <t>・当せん返還消込応答応答電文の処理結果と応答結果を参照し、処理分岐を行う。</t>
    <rPh sb="1" eb="2">
      <t>トウ</t>
    </rPh>
    <rPh sb="4" eb="6">
      <t>ヘンカン</t>
    </rPh>
    <rPh sb="6" eb="7">
      <t>ケ</t>
    </rPh>
    <rPh sb="7" eb="8">
      <t>コ</t>
    </rPh>
    <rPh sb="8" eb="10">
      <t>オウトウ</t>
    </rPh>
    <phoneticPr fontId="27"/>
  </si>
  <si>
    <t>－－－当せん返還消込応答電文では</t>
    <rPh sb="3" eb="4">
      <t>トウ</t>
    </rPh>
    <rPh sb="6" eb="8">
      <t>ヘンカン</t>
    </rPh>
    <rPh sb="8" eb="9">
      <t>ケ</t>
    </rPh>
    <rPh sb="9" eb="10">
      <t>コ</t>
    </rPh>
    <phoneticPr fontId="27"/>
  </si>
  <si>
    <t>　　　発生しない</t>
    <phoneticPr fontId="27"/>
  </si>
  <si>
    <t>払戻取消連絡票</t>
    <rPh sb="0" eb="2">
      <t>ハライモドシ</t>
    </rPh>
    <rPh sb="2" eb="4">
      <t>トリケシ</t>
    </rPh>
    <rPh sb="4" eb="6">
      <t>レンラク</t>
    </rPh>
    <rPh sb="6" eb="7">
      <t>ヒョウ</t>
    </rPh>
    <phoneticPr fontId="27"/>
  </si>
  <si>
    <t>払戻取消（精算内取消）を実施</t>
    <rPh sb="0" eb="1">
      <t>ハラ</t>
    </rPh>
    <rPh sb="1" eb="2">
      <t>モド</t>
    </rPh>
    <rPh sb="2" eb="4">
      <t>トリケシ</t>
    </rPh>
    <rPh sb="5" eb="7">
      <t>セイサン</t>
    </rPh>
    <rPh sb="7" eb="8">
      <t>ナイ</t>
    </rPh>
    <rPh sb="8" eb="9">
      <t>ト</t>
    </rPh>
    <rPh sb="9" eb="10">
      <t>ケ</t>
    </rPh>
    <rPh sb="12" eb="14">
      <t>ジッシ</t>
    </rPh>
    <phoneticPr fontId="27"/>
  </si>
  <si>
    <t>当せん返還消込応答のエラー応答による後続処理分岐</t>
    <rPh sb="0" eb="1">
      <t>トウ</t>
    </rPh>
    <rPh sb="3" eb="5">
      <t>ヘンカン</t>
    </rPh>
    <rPh sb="5" eb="6">
      <t>ケ</t>
    </rPh>
    <rPh sb="6" eb="7">
      <t>コ</t>
    </rPh>
    <rPh sb="7" eb="9">
      <t>オウトウ</t>
    </rPh>
    <phoneticPr fontId="27"/>
  </si>
  <si>
    <r>
      <t xml:space="preserve">払戻正常→当せん返還消込異常→払戻取消正常
</t>
    </r>
    <r>
      <rPr>
        <sz val="16"/>
        <color rgb="FFFF0000"/>
        <rFont val="Yu Gothic"/>
        <family val="3"/>
        <charset val="128"/>
        <scheme val="minor"/>
      </rPr>
      <t>※「当せん返還消込応答のエラー応答による後続処理分岐」シートを参考</t>
    </r>
    <phoneticPr fontId="12"/>
  </si>
  <si>
    <r>
      <t xml:space="preserve">払戻正常→当せん返還消込異常→払戻取消異常
</t>
    </r>
    <r>
      <rPr>
        <sz val="16"/>
        <color rgb="FFFF0000"/>
        <rFont val="Yu Gothic"/>
        <family val="3"/>
        <charset val="128"/>
        <scheme val="minor"/>
      </rPr>
      <t>※「当せん返還消込応答のエラー応答による後続処理分岐」シートを参考</t>
    </r>
    <phoneticPr fontId="12"/>
  </si>
  <si>
    <t>「No.3_払戻・払戻取消要求応答_マッピング」シート参照</t>
    <rPh sb="27" eb="29">
      <t>サンショウ</t>
    </rPh>
    <phoneticPr fontId="13"/>
  </si>
  <si>
    <t>「No.3_払戻・払戻取消応答」シート参照</t>
    <rPh sb="19" eb="21">
      <t>サンショウ</t>
    </rPh>
    <phoneticPr fontId="13"/>
  </si>
  <si>
    <t>「No.4_当せん返還消込応答_マッピング」シート参照</t>
    <phoneticPr fontId="12"/>
  </si>
  <si>
    <t>「No.4_当せん返還消込応答」シート参照</t>
    <phoneticPr fontId="12"/>
  </si>
  <si>
    <t>「No.1_購入・購入取消応答_マッピング」シート参照</t>
    <phoneticPr fontId="13"/>
  </si>
  <si>
    <t>ID</t>
    <phoneticPr fontId="12"/>
  </si>
  <si>
    <t>X_shori_kekka</t>
  </si>
  <si>
    <t>X_kigyo_id</t>
  </si>
  <si>
    <t>X_mise_no</t>
  </si>
  <si>
    <t>X_regi_no</t>
  </si>
  <si>
    <t>X_hakken_regi_no</t>
  </si>
  <si>
    <t>X_regi_date_min</t>
  </si>
  <si>
    <t>X_shori_tuban</t>
  </si>
  <si>
    <t>X_saiso_kbn</t>
  </si>
  <si>
    <t>X_yokyu_kbn</t>
  </si>
  <si>
    <t>X_barcode</t>
  </si>
  <si>
    <t>X_shop_id</t>
  </si>
  <si>
    <t>X_torikeshi_riyu</t>
  </si>
  <si>
    <t>X_outou_kekka</t>
  </si>
  <si>
    <t>X_haraikomi</t>
  </si>
  <si>
    <t>X_tc_dai</t>
  </si>
  <si>
    <t>X_ticket_cnt</t>
  </si>
  <si>
    <t>X_toto_terminal_id</t>
  </si>
  <si>
    <t>X_toto_terminal_kbn</t>
  </si>
  <si>
    <t>X_toto_julian_date</t>
  </si>
  <si>
    <t>X_toto_julian_time</t>
  </si>
  <si>
    <t>X_toto_soukan_id</t>
  </si>
  <si>
    <t>X_torikeshi_riyu_kbn</t>
  </si>
  <si>
    <t>X_toto_kekka</t>
  </si>
  <si>
    <t>X_vote_ticket_barcode</t>
  </si>
  <si>
    <t>tc_info no</t>
    <phoneticPr fontId="12"/>
  </si>
  <si>
    <t>「No.3_払戻・払戻取消応答_マッピング」シート参照</t>
    <rPh sb="25" eb="27">
      <t>サンショウ</t>
    </rPh>
    <phoneticPr fontId="13"/>
  </si>
  <si>
    <t>払戻取消</t>
    <phoneticPr fontId="12"/>
  </si>
  <si>
    <t>払戻</t>
    <phoneticPr fontId="12"/>
  </si>
  <si>
    <t>X_haraimodoshi</t>
  </si>
  <si>
    <t>X_payback_amt</t>
  </si>
  <si>
    <t>「No.4_当せん返還消込応答_マッピング」シート参照</t>
    <rPh sb="25" eb="27">
      <t>サンショウ</t>
    </rPh>
    <phoneticPr fontId="13"/>
  </si>
  <si>
    <t>X_pos_trade_no</t>
  </si>
  <si>
    <t>"99"：その他エラー(500)</t>
    <phoneticPr fontId="12"/>
  </si>
  <si>
    <t>"00" ：正常　または　"99"：その他エラー</t>
    <phoneticPr fontId="12"/>
  </si>
  <si>
    <t>本資料は「ID010346_スポーツ振興くじ受付_【第31版】.xlsx」を参照する</t>
    <rPh sb="0" eb="3">
      <t>ホンシリョウ</t>
    </rPh>
    <rPh sb="38" eb="40">
      <t>サンショウ</t>
    </rPh>
    <phoneticPr fontId="12"/>
  </si>
  <si>
    <t>003500</t>
    <phoneticPr fontId="12"/>
  </si>
  <si>
    <t>000001</t>
    <phoneticPr fontId="12"/>
  </si>
  <si>
    <t>0000000000</t>
    <phoneticPr fontId="12"/>
  </si>
  <si>
    <t>0000003500</t>
    <phoneticPr fontId="12"/>
  </si>
  <si>
    <t>0000005000</t>
    <phoneticPr fontId="12"/>
  </si>
  <si>
    <t>9999999999</t>
    <phoneticPr fontId="12"/>
  </si>
  <si>
    <r>
      <t>発券レジN</t>
    </r>
    <r>
      <rPr>
        <sz val="11"/>
        <rFont val="Yu Gothic"/>
        <family val="3"/>
        <charset val="128"/>
        <scheme val="minor"/>
      </rPr>
      <t>o</t>
    </r>
    <rPh sb="0" eb="2">
      <t>ハッケン</t>
    </rPh>
    <phoneticPr fontId="17"/>
  </si>
  <si>
    <t>toto端末ID</t>
    <rPh sb="4" eb="6">
      <t>タンマツ</t>
    </rPh>
    <phoneticPr fontId="15"/>
  </si>
  <si>
    <t>totoセンター応答結果</t>
    <rPh sb="8" eb="10">
      <t>オウトウ</t>
    </rPh>
    <rPh sb="10" eb="12">
      <t>ケッカ</t>
    </rPh>
    <phoneticPr fontId="17"/>
  </si>
  <si>
    <t>X_saiso_kbn</t>
    <phoneticPr fontId="12"/>
  </si>
  <si>
    <t>X_tc_template</t>
    <phoneticPr fontId="12"/>
  </si>
  <si>
    <t>tc_text</t>
    <phoneticPr fontId="12"/>
  </si>
  <si>
    <t>購入異常→購入再送異常</t>
    <rPh sb="7" eb="9">
      <t>サイソウ</t>
    </rPh>
    <rPh sb="9" eb="11">
      <t>イジョウ</t>
    </rPh>
    <phoneticPr fontId="12"/>
  </si>
  <si>
    <t>購入異常→購入再送正常</t>
    <rPh sb="7" eb="9">
      <t>サイソウ</t>
    </rPh>
    <phoneticPr fontId="12"/>
  </si>
  <si>
    <t>購入正常→購入取消異常→購入取消再送正常</t>
    <rPh sb="16" eb="20">
      <t>サイソウセイジョウ</t>
    </rPh>
    <phoneticPr fontId="12"/>
  </si>
  <si>
    <t>購入正常→購入取消異常→購入取消再送異常</t>
    <rPh sb="16" eb="18">
      <t>サイソウ</t>
    </rPh>
    <rPh sb="18" eb="20">
      <t>イジョウ</t>
    </rPh>
    <phoneticPr fontId="12"/>
  </si>
  <si>
    <t>払戻異常→払戻再送正常</t>
    <phoneticPr fontId="12"/>
  </si>
  <si>
    <t>払戻異常→払戻再送異常</t>
    <phoneticPr fontId="12"/>
  </si>
  <si>
    <t>払戻正常→払戻取消異常→払戻取消再送正常</t>
    <phoneticPr fontId="12"/>
  </si>
  <si>
    <t>払戻正常→払戻取消異常→払戻取消再送異常</t>
    <phoneticPr fontId="12"/>
  </si>
  <si>
    <t>ショップID</t>
    <phoneticPr fontId="12"/>
  </si>
  <si>
    <t>X_shop_id</t>
    <phoneticPr fontId="12"/>
  </si>
  <si>
    <t>00000</t>
    <phoneticPr fontId="12"/>
  </si>
  <si>
    <t>30514</t>
    <phoneticPr fontId="12"/>
  </si>
  <si>
    <t>99999</t>
    <phoneticPr fontId="12"/>
  </si>
  <si>
    <t>バリデーション：</t>
    <phoneticPr fontId="12"/>
  </si>
  <si>
    <t>C/D：</t>
    <phoneticPr fontId="12"/>
  </si>
  <si>
    <t>払込票番号：</t>
    <phoneticPr fontId="12"/>
  </si>
  <si>
    <t>"00"：正常</t>
  </si>
  <si>
    <t>期待結果の項目を選択：</t>
    <rPh sb="0" eb="2">
      <t>キタイ</t>
    </rPh>
    <rPh sb="2" eb="4">
      <t>ケッカ</t>
    </rPh>
    <rPh sb="5" eb="7">
      <t>コウモク</t>
    </rPh>
    <rPh sb="8" eb="10">
      <t>センタク</t>
    </rPh>
    <phoneticPr fontId="12"/>
  </si>
  <si>
    <t>ビットのサイズ：</t>
    <phoneticPr fontId="12"/>
  </si>
  <si>
    <t>内部計算用１：</t>
    <rPh sb="0" eb="2">
      <t>ナイブ</t>
    </rPh>
    <rPh sb="2" eb="4">
      <t>ケイサン</t>
    </rPh>
    <rPh sb="4" eb="5">
      <t>ヨウ</t>
    </rPh>
    <phoneticPr fontId="12"/>
  </si>
  <si>
    <t>内部計算用２：</t>
    <rPh sb="0" eb="2">
      <t>ナイブ</t>
    </rPh>
    <rPh sb="2" eb="4">
      <t>ケイサン</t>
    </rPh>
    <rPh sb="4" eb="5">
      <t>ヨウ</t>
    </rPh>
    <phoneticPr fontId="12"/>
  </si>
  <si>
    <t>2進数ビット値で期待結果の項目を選択：</t>
    <rPh sb="1" eb="3">
      <t>シンスウ</t>
    </rPh>
    <rPh sb="8" eb="10">
      <t>キタイ</t>
    </rPh>
    <rPh sb="10" eb="12">
      <t>ケッカ</t>
    </rPh>
    <rPh sb="13" eb="15">
      <t>コウモク</t>
    </rPh>
    <rPh sb="16" eb="18">
      <t>センタク</t>
    </rPh>
    <phoneticPr fontId="12"/>
  </si>
  <si>
    <t>"00"：正常応答</t>
  </si>
  <si>
    <t>選択された項目の番号：</t>
    <rPh sb="0" eb="2">
      <t>センタク</t>
    </rPh>
    <rPh sb="5" eb="7">
      <t>コウモク</t>
    </rPh>
    <rPh sb="8" eb="10">
      <t>バンゴウ</t>
    </rPh>
    <phoneticPr fontId="12"/>
  </si>
  <si>
    <t>マッピング番号（2ビット）</t>
    <phoneticPr fontId="13"/>
  </si>
  <si>
    <t>計算結果：</t>
    <rPh sb="0" eb="2">
      <t>ケイサン</t>
    </rPh>
    <rPh sb="2" eb="4">
      <t>ケッカ</t>
    </rPh>
    <phoneticPr fontId="12"/>
  </si>
  <si>
    <t>計算用中間値：</t>
    <rPh sb="0" eb="2">
      <t>ケイサン</t>
    </rPh>
    <rPh sb="2" eb="3">
      <t>ヨウ</t>
    </rPh>
    <rPh sb="3" eb="6">
      <t>チュウカンチ</t>
    </rPh>
    <phoneticPr fontId="12"/>
  </si>
  <si>
    <t>下記のどちら一つ方法で期待している項目を選択してください。</t>
    <rPh sb="0" eb="2">
      <t>カキ</t>
    </rPh>
    <rPh sb="6" eb="7">
      <t>ヒト</t>
    </rPh>
    <rPh sb="8" eb="10">
      <t>ホウホウ</t>
    </rPh>
    <rPh sb="11" eb="13">
      <t>キタイ</t>
    </rPh>
    <rPh sb="17" eb="19">
      <t>コウモク</t>
    </rPh>
    <rPh sb="20" eb="22">
      <t>センタク</t>
    </rPh>
    <phoneticPr fontId="12"/>
  </si>
  <si>
    <r>
      <rPr>
        <b/>
        <sz val="12"/>
        <rFont val="Microsoft YaHei"/>
        <family val="3"/>
        <charset val="134"/>
      </rPr>
      <t>01</t>
    </r>
    <phoneticPr fontId="12"/>
  </si>
  <si>
    <t>0000000000</t>
  </si>
  <si>
    <r>
      <rPr>
        <b/>
        <sz val="12"/>
        <color theme="1"/>
        <rFont val="Yu Gothic"/>
        <family val="3"/>
      </rPr>
      <t>12</t>
    </r>
    <r>
      <rPr>
        <b/>
        <sz val="12"/>
        <color theme="1"/>
        <rFont val="Yu Gothic"/>
        <family val="3"/>
        <charset val="128"/>
        <scheme val="minor"/>
      </rPr>
      <t>桁数字：</t>
    </r>
    <rPh sb="2" eb="3">
      <t>ケタ</t>
    </rPh>
    <rPh sb="3" eb="5">
      <t>スウジ</t>
    </rPh>
    <phoneticPr fontId="12"/>
  </si>
  <si>
    <t>払戻受付票番号：</t>
    <rPh sb="2" eb="4">
      <t>ウケツケ</t>
    </rPh>
    <rPh sb="4" eb="5">
      <t>ヒョウ</t>
    </rPh>
    <phoneticPr fontId="12"/>
  </si>
  <si>
    <t>"0"：再送時処理結果が正常</t>
    <rPh sb="6" eb="7">
      <t>ジ</t>
    </rPh>
    <rPh sb="7" eb="9">
      <t>ショリ</t>
    </rPh>
    <rPh sb="9" eb="11">
      <t>ケッカ</t>
    </rPh>
    <phoneticPr fontId="12"/>
  </si>
  <si>
    <t>"1"：再送時処理結果が異常</t>
    <rPh sb="6" eb="7">
      <t>ジ</t>
    </rPh>
    <rPh sb="7" eb="9">
      <t>ショリ</t>
    </rPh>
    <rPh sb="9" eb="11">
      <t>ケッカ</t>
    </rPh>
    <rPh sb="12" eb="14">
      <t>イジョウ</t>
    </rPh>
    <phoneticPr fontId="12"/>
  </si>
  <si>
    <t>"99"：タイムアウト(その他エラー500)</t>
    <rPh sb="14" eb="15">
      <t>タ</t>
    </rPh>
    <phoneticPr fontId="16"/>
  </si>
  <si>
    <t>"00"：タイムアウト(正常)</t>
    <rPh sb="12" eb="14">
      <t>セイジョウ</t>
    </rPh>
    <phoneticPr fontId="16"/>
  </si>
  <si>
    <t>0000003500</t>
  </si>
  <si>
    <t>X_vote_ticket_barcode</t>
    <phoneticPr fontId="12"/>
  </si>
  <si>
    <t>"0"：再送時正常返却</t>
    <rPh sb="6" eb="7">
      <t>ジ</t>
    </rPh>
    <rPh sb="9" eb="11">
      <t>ヘンキャク</t>
    </rPh>
    <phoneticPr fontId="12"/>
  </si>
  <si>
    <t>"1"：再送時異常返却</t>
    <phoneticPr fontId="12"/>
  </si>
  <si>
    <t>A</t>
    <phoneticPr fontId="12"/>
  </si>
  <si>
    <t>B</t>
    <phoneticPr fontId="12"/>
  </si>
  <si>
    <t>C</t>
    <phoneticPr fontId="12"/>
  </si>
  <si>
    <t>D</t>
    <phoneticPr fontId="12"/>
  </si>
  <si>
    <t>E</t>
    <phoneticPr fontId="12"/>
  </si>
  <si>
    <t>F</t>
    <phoneticPr fontId="12"/>
  </si>
  <si>
    <t>30801</t>
    <phoneticPr fontId="12"/>
  </si>
  <si>
    <t>TTNA000001</t>
    <phoneticPr fontId="13"/>
  </si>
  <si>
    <t>TTNA000002</t>
  </si>
  <si>
    <t>TTNA000003</t>
  </si>
  <si>
    <t>totoBIG一般用テンプレート</t>
  </si>
  <si>
    <t>totoGOAL用テンプレート</t>
  </si>
  <si>
    <t>MEGABIG用テンプレート</t>
  </si>
  <si>
    <t>テンプレート名称</t>
  </si>
  <si>
    <r>
      <rPr>
        <b/>
        <sz val="11"/>
        <color rgb="FFFF0000"/>
        <rFont val="Yu Gothic"/>
        <family val="3"/>
        <charset val="128"/>
        <scheme val="minor"/>
      </rPr>
      <t>「No.2_本投票・本投票障害取消応答_マッピング」シート参照</t>
    </r>
    <r>
      <rPr>
        <sz val="11"/>
        <color rgb="FF0F06BA"/>
        <rFont val="Yu Gothic"/>
        <family val="3"/>
        <charset val="128"/>
        <scheme val="minor"/>
      </rPr>
      <t xml:space="preserve">
テスト用ファイルから読み込む、記号を定義済み実体に変換する
</t>
    </r>
    <rPh sb="35" eb="36">
      <t>ヨウ</t>
    </rPh>
    <rPh sb="42" eb="43">
      <t>ヨ</t>
    </rPh>
    <rPh sb="44" eb="45">
      <t>コ</t>
    </rPh>
    <rPh sb="47" eb="49">
      <t>キゴウ</t>
    </rPh>
    <rPh sb="50" eb="52">
      <t>テイギ</t>
    </rPh>
    <rPh sb="52" eb="53">
      <t>ズ</t>
    </rPh>
    <rPh sb="54" eb="56">
      <t>ジッタイ</t>
    </rPh>
    <rPh sb="57" eb="59">
      <t>ヘンカン</t>
    </rPh>
    <phoneticPr fontId="12"/>
  </si>
  <si>
    <t>ファイル名</t>
    <rPh sb="4" eb="5">
      <t>メイ</t>
    </rPh>
    <phoneticPr fontId="12"/>
  </si>
  <si>
    <t>備考</t>
    <rPh sb="0" eb="2">
      <t>ビコウ</t>
    </rPh>
    <phoneticPr fontId="12"/>
  </si>
  <si>
    <t>TTNA000001_通常2(mini toto-A)</t>
    <phoneticPr fontId="12"/>
  </si>
  <si>
    <t>TTNA000001_通常3(mini toto-B)</t>
    <phoneticPr fontId="12"/>
  </si>
  <si>
    <t>TTNA000002_通常(toto GOAL3)</t>
    <phoneticPr fontId="12"/>
  </si>
  <si>
    <t>TTNA000002_通常2(toto GOAL2)</t>
    <phoneticPr fontId="12"/>
  </si>
  <si>
    <t>TTNA000003_通常(MEGA BIG)</t>
    <phoneticPr fontId="12"/>
  </si>
  <si>
    <t>TTNA000001_B.xml</t>
    <phoneticPr fontId="12"/>
  </si>
  <si>
    <r>
      <t>TTNA000001_</t>
    </r>
    <r>
      <rPr>
        <sz val="11"/>
        <color rgb="FF0F06BA"/>
        <rFont val="Microsoft YaHei"/>
        <family val="3"/>
        <charset val="134"/>
      </rPr>
      <t>C</t>
    </r>
    <r>
      <rPr>
        <sz val="11"/>
        <color rgb="FF0F06BA"/>
        <rFont val="Yu Gothic"/>
        <family val="3"/>
        <charset val="128"/>
        <scheme val="minor"/>
      </rPr>
      <t>.xml</t>
    </r>
    <phoneticPr fontId="12"/>
  </si>
  <si>
    <r>
      <t>TTNA000002_</t>
    </r>
    <r>
      <rPr>
        <sz val="11"/>
        <color rgb="FF0F06BA"/>
        <rFont val="Microsoft YaHei"/>
        <family val="3"/>
        <charset val="134"/>
      </rPr>
      <t>D</t>
    </r>
    <r>
      <rPr>
        <sz val="11"/>
        <color rgb="FF0F06BA"/>
        <rFont val="Yu Gothic"/>
        <family val="3"/>
        <charset val="128"/>
        <scheme val="minor"/>
      </rPr>
      <t>.xml</t>
    </r>
    <phoneticPr fontId="12"/>
  </si>
  <si>
    <r>
      <t>TTNA000002_</t>
    </r>
    <r>
      <rPr>
        <sz val="11"/>
        <color rgb="FF0F06BA"/>
        <rFont val="Microsoft YaHei"/>
        <family val="3"/>
        <charset val="134"/>
      </rPr>
      <t>E</t>
    </r>
    <r>
      <rPr>
        <sz val="11"/>
        <color rgb="FF0F06BA"/>
        <rFont val="Yu Gothic"/>
        <family val="3"/>
        <charset val="128"/>
        <scheme val="minor"/>
      </rPr>
      <t>.xml</t>
    </r>
    <phoneticPr fontId="12"/>
  </si>
  <si>
    <r>
      <t>TTNA000003_</t>
    </r>
    <r>
      <rPr>
        <sz val="11"/>
        <color rgb="FF0F06BA"/>
        <rFont val="Microsoft YaHei"/>
        <family val="3"/>
        <charset val="134"/>
      </rPr>
      <t>F</t>
    </r>
    <r>
      <rPr>
        <sz val="11"/>
        <color rgb="FF0F06BA"/>
        <rFont val="Yu Gothic"/>
        <family val="3"/>
        <charset val="128"/>
        <scheme val="minor"/>
      </rPr>
      <t>.xml</t>
    </r>
    <phoneticPr fontId="12"/>
  </si>
  <si>
    <t>X_torikeshi_riyu</t>
    <phoneticPr fontId="12"/>
  </si>
  <si>
    <r>
      <t>TTNA000001_通常(BIG)</t>
    </r>
    <r>
      <rPr>
        <sz val="11"/>
        <color rgb="FF0F06BA"/>
        <rFont val="SimSun"/>
        <family val="3"/>
        <charset val="134"/>
      </rPr>
      <t xml:space="preserve"> （現状空ファイル）</t>
    </r>
    <phoneticPr fontId="12"/>
  </si>
  <si>
    <t>印字する</t>
    <rPh sb="0" eb="1">
      <t>インジ</t>
    </rPh>
    <phoneticPr fontId="12"/>
  </si>
  <si>
    <t>印字しない</t>
    <rPh sb="0" eb="1">
      <t>インジ</t>
    </rPh>
    <phoneticPr fontId="12"/>
  </si>
  <si>
    <t>X_toto_kekka</t>
    <phoneticPr fontId="12"/>
  </si>
  <si>
    <t>TTNA000002</t>
    <phoneticPr fontId="12"/>
  </si>
  <si>
    <t>空タグ</t>
    <phoneticPr fontId="12"/>
  </si>
  <si>
    <t>000002</t>
  </si>
  <si>
    <t>010000</t>
    <phoneticPr fontId="12"/>
  </si>
  <si>
    <t>"99"：タイムアウト(500)</t>
    <phoneticPr fontId="16"/>
  </si>
  <si>
    <r>
      <rPr>
        <b/>
        <sz val="11"/>
        <color rgb="FFFF0000"/>
        <rFont val="Yu Gothic"/>
        <family val="3"/>
        <charset val="128"/>
        <scheme val="minor"/>
      </rPr>
      <t>「No.2_本投票・本投票障害取消応答_マッピング」シート参照</t>
    </r>
    <r>
      <rPr>
        <b/>
        <sz val="11"/>
        <color rgb="FF0F06BA"/>
        <rFont val="Yu Gothic"/>
        <family val="3"/>
        <charset val="128"/>
        <scheme val="minor"/>
      </rPr>
      <t xml:space="preserve">
</t>
    </r>
    <r>
      <rPr>
        <sz val="11"/>
        <rFont val="Yu Gothic"/>
        <family val="3"/>
        <charset val="128"/>
        <scheme val="minor"/>
      </rPr>
      <t>「印字する」の場合：
　乱数で作成したバーコードを設定
　13桁自動生成　１２桁乱数＋C/D
「印字しない」の場合：
　空タグ</t>
    </r>
    <rPh sb="63" eb="64">
      <t>ケタ</t>
    </rPh>
    <rPh sb="64" eb="66">
      <t>ジドウ</t>
    </rPh>
    <rPh sb="66" eb="68">
      <t>セイセイ</t>
    </rPh>
    <rPh sb="71" eb="72">
      <t>ケタ</t>
    </rPh>
    <rPh sb="72" eb="74">
      <t>ランスウ</t>
    </rPh>
    <phoneticPr fontId="13"/>
  </si>
  <si>
    <t>000000</t>
  </si>
  <si>
    <t>00</t>
    <phoneticPr fontId="12"/>
  </si>
  <si>
    <t>30801固定</t>
    <rPh sb="5" eb="7">
      <t>コテイ</t>
    </rPh>
    <phoneticPr fontId="12"/>
  </si>
  <si>
    <t>30801固定</t>
    <rPh sb="5" eb="7">
      <t>コテイ</t>
    </rPh>
    <phoneticPr fontId="13"/>
  </si>
  <si>
    <t>TTNA000001_A.xml （現状空ファイル）</t>
    <phoneticPr fontId="12"/>
  </si>
  <si>
    <t>003500</t>
  </si>
  <si>
    <t>バーコード表示：</t>
    <rPh sb="5" eb="7">
      <t>ヒョウジ</t>
    </rPh>
    <phoneticPr fontId="12"/>
  </si>
  <si>
    <t>↓↓↓↓バーコード表示できない？↓↓</t>
    <rPh sb="9" eb="11">
      <t>ヒョウジ</t>
    </rPh>
    <phoneticPr fontId="12"/>
  </si>
  <si>
    <t>NW-7バーコードフォントインストール方法：</t>
    <rPh sb="19" eb="21">
      <t>ホウホウ</t>
    </rPh>
    <phoneticPr fontId="12"/>
  </si>
  <si>
    <t>https://mam-mam.net/download/nw-7.html#google_vignette</t>
    <phoneticPr fontId="12"/>
  </si>
  <si>
    <t>バーコード(13桁)：</t>
    <phoneticPr fontId="12"/>
  </si>
  <si>
    <t>項目</t>
    <rPh sb="0" eb="2">
      <t>コウモク</t>
    </rPh>
    <phoneticPr fontId="12"/>
  </si>
  <si>
    <t>設定値</t>
    <rPh sb="0" eb="2">
      <t>セッテイ</t>
    </rPh>
    <rPh sb="2" eb="3">
      <t>チ</t>
    </rPh>
    <phoneticPr fontId="12"/>
  </si>
  <si>
    <t>計算用中間値</t>
    <rPh sb="0" eb="2">
      <t>ケイサン</t>
    </rPh>
    <rPh sb="2" eb="3">
      <t>ヨウ</t>
    </rPh>
    <rPh sb="3" eb="5">
      <t>チュウカン</t>
    </rPh>
    <rPh sb="5" eb="6">
      <t>チ</t>
    </rPh>
    <phoneticPr fontId="12"/>
  </si>
  <si>
    <t>全体のサイズ</t>
    <rPh sb="0" eb="2">
      <t>ゼンタイ</t>
    </rPh>
    <phoneticPr fontId="12"/>
  </si>
  <si>
    <t>中間結果</t>
    <rPh sb="0" eb="2">
      <t>チュウカン</t>
    </rPh>
    <rPh sb="2" eb="4">
      <t>ケッカ</t>
    </rPh>
    <phoneticPr fontId="12"/>
  </si>
  <si>
    <t>変換後２進数</t>
    <rPh sb="0" eb="2">
      <t>ヘンカン</t>
    </rPh>
    <rPh sb="2" eb="3">
      <t>ゴ</t>
    </rPh>
    <rPh sb="4" eb="5">
      <t>シン</t>
    </rPh>
    <rPh sb="5" eb="6">
      <t>スウ</t>
    </rPh>
    <phoneticPr fontId="12"/>
  </si>
  <si>
    <t>項目に分割した結果</t>
    <rPh sb="0" eb="2">
      <t>コウモク</t>
    </rPh>
    <rPh sb="3" eb="5">
      <t>ブンカツ</t>
    </rPh>
    <rPh sb="7" eb="9">
      <t>ケッカ</t>
    </rPh>
    <phoneticPr fontId="12"/>
  </si>
  <si>
    <t>逆引されたビット値文字列変換</t>
    <rPh sb="8" eb="9">
      <t>チ</t>
    </rPh>
    <rPh sb="9" eb="12">
      <t>モジレツ</t>
    </rPh>
    <rPh sb="12" eb="14">
      <t>ヘンカン</t>
    </rPh>
    <phoneticPr fontId="12"/>
  </si>
  <si>
    <t>&lt;バーコードから設定を逆引&gt;</t>
    <phoneticPr fontId="12"/>
  </si>
  <si>
    <t>下記にバーコードを入力してください。</t>
    <rPh sb="0" eb="2">
      <t>カキ</t>
    </rPh>
    <rPh sb="9" eb="11">
      <t>ニュウリョク</t>
    </rPh>
    <phoneticPr fontId="12"/>
  </si>
  <si>
    <t>※券面情報サンプルデータの定義：</t>
    <rPh sb="13" eb="15">
      <t>テイギ</t>
    </rPh>
    <phoneticPr fontId="12"/>
  </si>
  <si>
    <t>30514</t>
  </si>
  <si>
    <t>マッピング番号</t>
    <phoneticPr fontId="13"/>
  </si>
  <si>
    <t>空タグ</t>
  </si>
  <si>
    <t>チェックエラー：</t>
    <phoneticPr fontId="12"/>
  </si>
  <si>
    <t>リクエスト「バーコード情報」の値を設定</t>
    <rPh sb="15" eb="16">
      <t>アタイ</t>
    </rPh>
    <rPh sb="17" eb="19">
      <t>セッテイ</t>
    </rPh>
    <phoneticPr fontId="13"/>
  </si>
  <si>
    <t>払戻の場合：
　空タグ
払戻取消の場合：
　リクエスト「取消理由」の値を設定</t>
    <rPh sb="0" eb="1">
      <t>ハラ</t>
    </rPh>
    <rPh sb="1" eb="2">
      <t>モド</t>
    </rPh>
    <rPh sb="3" eb="5">
      <t>バアイ</t>
    </rPh>
    <rPh sb="8" eb="9">
      <t>ソラ</t>
    </rPh>
    <rPh sb="14" eb="16">
      <t>トリケシ</t>
    </rPh>
    <phoneticPr fontId="13"/>
  </si>
  <si>
    <t>購入の場合：
　空タグ
購入取消の場合：
　リクエスト「取消理由」の値を設定</t>
    <rPh sb="3" eb="5">
      <t>バアイ</t>
    </rPh>
    <rPh sb="17" eb="19">
      <t>バアイ</t>
    </rPh>
    <phoneticPr fontId="13"/>
  </si>
  <si>
    <t>X_payback_flg</t>
    <phoneticPr fontId="12"/>
  </si>
  <si>
    <t>049999</t>
    <phoneticPr fontId="12"/>
  </si>
  <si>
    <t>050000</t>
    <phoneticPr fontId="12"/>
  </si>
  <si>
    <t>"16"：SEJセンター混雑エラー</t>
  </si>
  <si>
    <t>00000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</si>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</sst>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5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Yu Gothic"/>
      <family val="3"/>
      <charset val="128"/>
      <scheme val="minor"/>
    </font>
    <font>
      <sz val="14"/>
      <color theme="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sz val="16"/>
      <color theme="1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u/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FF0000"/>
      <name val="Yu Gothic"/>
      <family val="3"/>
      <charset val="128"/>
    </font>
    <font>
      <sz val="16"/>
      <color rgb="FFFF0000"/>
      <name val="Yu Gothic"/>
      <family val="3"/>
      <charset val="128"/>
      <scheme val="minor"/>
    </font>
    <font>
      <sz val="16"/>
      <name val="Yu Gothic"/>
      <family val="3"/>
      <charset val="128"/>
      <scheme val="minor"/>
    </font>
    <font>
      <b/>
      <sz val="11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rgb="FFFF0000"/>
      <name val="Yu Gothic"/>
      <family val="2"/>
      <scheme val="minor"/>
    </font>
    <font>
      <b/>
      <sz val="11"/>
      <color theme="1"/>
      <name val="Yu Gothic"/>
      <charset val="128"/>
      <scheme val="minor"/>
    </font>
    <font>
      <sz val="10.5"/>
      <color theme="1"/>
      <name val="游ゴシック"/>
      <family val="3"/>
      <charset val="128"/>
    </font>
    <font>
      <b/>
      <sz val="12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b/>
      <sz val="20"/>
      <color theme="1"/>
      <name val="Yu Gothic"/>
      <family val="3"/>
      <charset val="128"/>
      <scheme val="minor"/>
    </font>
    <font>
      <b/>
      <sz val="12"/>
      <name val="Microsoft YaHei"/>
      <family val="3"/>
      <charset val="134"/>
    </font>
    <font>
      <b/>
      <u/>
      <sz val="14"/>
      <name val="Yu Gothic"/>
      <family val="3"/>
      <charset val="128"/>
      <scheme val="minor"/>
    </font>
    <font>
      <sz val="12"/>
      <color rgb="FFFF0000"/>
      <name val="MS UI Gothic"/>
      <family val="3"/>
      <charset val="128"/>
    </font>
    <font>
      <sz val="11"/>
      <color theme="1"/>
      <name val="ＭＳ Ｐゴシック"/>
      <family val="2"/>
      <charset val="128"/>
    </font>
    <font>
      <b/>
      <u/>
      <sz val="12"/>
      <name val="Yu Gothic"/>
      <family val="3"/>
      <charset val="128"/>
      <scheme val="minor"/>
    </font>
    <font>
      <sz val="11"/>
      <color rgb="FFFF0000"/>
      <name val="MS UI Gothic"/>
      <family val="3"/>
      <charset val="128"/>
    </font>
    <font>
      <b/>
      <sz val="12"/>
      <name val="Yu Gothic"/>
      <family val="3"/>
      <charset val="134"/>
      <scheme val="minor"/>
    </font>
    <font>
      <b/>
      <sz val="12"/>
      <color theme="1"/>
      <name val="Yu Gothic"/>
      <family val="3"/>
    </font>
    <font>
      <b/>
      <sz val="12"/>
      <color theme="1"/>
      <name val="Yu Gothic"/>
      <family val="3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rgb="FF0F06BA"/>
      <name val="Yu Gothic"/>
      <family val="3"/>
      <charset val="128"/>
      <scheme val="minor"/>
    </font>
    <font>
      <b/>
      <sz val="11"/>
      <color rgb="FF0F06BA"/>
      <name val="Yu Gothic"/>
      <family val="3"/>
      <charset val="128"/>
      <scheme val="minor"/>
    </font>
    <font>
      <sz val="11"/>
      <color rgb="FF0F06BA"/>
      <name val="Microsoft YaHei"/>
      <family val="3"/>
      <charset val="134"/>
    </font>
    <font>
      <sz val="11"/>
      <color rgb="FF0F06BA"/>
      <name val="Yu Gothic"/>
      <family val="2"/>
      <scheme val="minor"/>
    </font>
    <font>
      <sz val="11"/>
      <color rgb="FF0F06BA"/>
      <name val="SimSun"/>
      <family val="3"/>
      <charset val="134"/>
    </font>
    <font>
      <b/>
      <sz val="14"/>
      <color rgb="FF0F06BA"/>
      <name val="Yu Gothic"/>
      <family val="3"/>
      <charset val="128"/>
      <scheme val="minor"/>
    </font>
    <font>
      <b/>
      <u/>
      <sz val="11"/>
      <name val="Yu Gothic"/>
      <family val="3"/>
      <charset val="128"/>
      <scheme val="minor"/>
    </font>
    <font>
      <b/>
      <u/>
      <sz val="10"/>
      <name val="Yu Gothic"/>
      <family val="3"/>
      <charset val="128"/>
      <scheme val="minor"/>
    </font>
    <font>
      <sz val="10.5"/>
      <color rgb="FF0F06BA"/>
      <name val="游ゴシック"/>
      <family val="3"/>
      <charset val="128"/>
    </font>
    <font>
      <b/>
      <sz val="11"/>
      <color rgb="FFFF0000"/>
      <name val="Microsoft YaHei"/>
      <family val="3"/>
      <charset val="134"/>
    </font>
    <font>
      <sz val="11"/>
      <color rgb="FFFF0000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48"/>
      <color theme="1"/>
      <name val="NW-7"/>
      <charset val="1"/>
    </font>
    <font>
      <b/>
      <sz val="18"/>
      <color theme="1"/>
      <name val="Microsoft YaHei"/>
      <family val="3"/>
      <charset val="134"/>
    </font>
    <font>
      <b/>
      <sz val="12"/>
      <color rgb="FFFF0000"/>
      <name val="Yu Gothic"/>
      <family val="3"/>
      <charset val="128"/>
      <scheme val="minor"/>
    </font>
    <font>
      <b/>
      <sz val="11"/>
      <color rgb="FF0070C0"/>
      <name val="Yu Gothic"/>
      <family val="3"/>
      <charset val="128"/>
      <scheme val="minor"/>
    </font>
    <font>
      <b/>
      <sz val="14"/>
      <color rgb="FFFF0000"/>
      <name val="Yu Gothic"/>
      <family val="3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0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9" fillId="0" borderId="0" applyNumberFormat="0" applyFill="0" applyBorder="0" applyAlignment="0" applyProtection="0"/>
  </cellStyleXfs>
  <cellXfs count="174">
    <xf numFmtId="0" fontId="0" fillId="0" borderId="0" xfId="0"/>
    <xf numFmtId="0" fontId="19" fillId="0" borderId="0" xfId="0" applyFont="1"/>
    <xf numFmtId="0" fontId="20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19" fillId="4" borderId="1" xfId="0" applyFont="1" applyFill="1" applyBorder="1" applyAlignment="1">
      <alignment vertical="center"/>
    </xf>
    <xf numFmtId="0" fontId="19" fillId="0" borderId="1" xfId="0" applyFont="1" applyBorder="1"/>
    <xf numFmtId="0" fontId="9" fillId="2" borderId="1" xfId="2" applyFill="1" applyBorder="1" applyAlignment="1">
      <alignment horizontal="left" vertical="center"/>
    </xf>
    <xf numFmtId="0" fontId="9" fillId="0" borderId="0" xfId="2">
      <alignment vertical="center"/>
    </xf>
    <xf numFmtId="0" fontId="9" fillId="5" borderId="1" xfId="2" applyFill="1" applyBorder="1">
      <alignment vertical="center"/>
    </xf>
    <xf numFmtId="0" fontId="18" fillId="5" borderId="1" xfId="2" applyFont="1" applyFill="1" applyBorder="1">
      <alignment vertical="center"/>
    </xf>
    <xf numFmtId="0" fontId="18" fillId="0" borderId="1" xfId="2" applyFont="1" applyBorder="1">
      <alignment vertical="center"/>
    </xf>
    <xf numFmtId="0" fontId="14" fillId="5" borderId="1" xfId="2" applyFont="1" applyFill="1" applyBorder="1">
      <alignment vertical="center"/>
    </xf>
    <xf numFmtId="0" fontId="14" fillId="0" borderId="1" xfId="2" applyFont="1" applyBorder="1">
      <alignment vertical="center"/>
    </xf>
    <xf numFmtId="0" fontId="11" fillId="2" borderId="1" xfId="2" applyFont="1" applyFill="1" applyBorder="1" applyAlignment="1">
      <alignment horizontal="center" vertical="center" wrapText="1"/>
    </xf>
    <xf numFmtId="0" fontId="16" fillId="5" borderId="1" xfId="2" applyFont="1" applyFill="1" applyBorder="1">
      <alignment vertical="center"/>
    </xf>
    <xf numFmtId="0" fontId="19" fillId="0" borderId="0" xfId="0" applyFont="1" applyAlignment="1">
      <alignment vertical="center"/>
    </xf>
    <xf numFmtId="0" fontId="14" fillId="0" borderId="0" xfId="2" applyFont="1">
      <alignment vertical="center"/>
    </xf>
    <xf numFmtId="0" fontId="14" fillId="0" borderId="5" xfId="2" applyFont="1" applyBorder="1">
      <alignment vertical="center"/>
    </xf>
    <xf numFmtId="0" fontId="14" fillId="0" borderId="1" xfId="2" applyFont="1" applyBorder="1" applyAlignment="1">
      <alignment vertical="center" wrapText="1"/>
    </xf>
    <xf numFmtId="0" fontId="14" fillId="0" borderId="1" xfId="2" quotePrefix="1" applyFont="1" applyBorder="1">
      <alignment vertical="center"/>
    </xf>
    <xf numFmtId="0" fontId="14" fillId="6" borderId="1" xfId="2" applyFont="1" applyFill="1" applyBorder="1">
      <alignment vertical="center"/>
    </xf>
    <xf numFmtId="0" fontId="16" fillId="0" borderId="1" xfId="2" applyFont="1" applyBorder="1" applyAlignment="1">
      <alignment vertical="center" wrapText="1"/>
    </xf>
    <xf numFmtId="0" fontId="16" fillId="5" borderId="2" xfId="2" applyFont="1" applyFill="1" applyBorder="1" applyAlignment="1">
      <alignment vertical="top"/>
    </xf>
    <xf numFmtId="0" fontId="16" fillId="5" borderId="1" xfId="2" applyFont="1" applyFill="1" applyBorder="1" applyAlignment="1">
      <alignment horizontal="left" vertical="center" indent="1"/>
    </xf>
    <xf numFmtId="0" fontId="19" fillId="0" borderId="0" xfId="0" applyFont="1" applyAlignment="1">
      <alignment horizontal="right"/>
    </xf>
    <xf numFmtId="0" fontId="19" fillId="0" borderId="1" xfId="0" applyFont="1" applyBorder="1" applyAlignment="1">
      <alignment horizontal="right" vertical="center" wrapText="1"/>
    </xf>
    <xf numFmtId="0" fontId="19" fillId="0" borderId="1" xfId="0" applyFont="1" applyBorder="1" applyAlignment="1">
      <alignment horizontal="right" vertical="center"/>
    </xf>
    <xf numFmtId="0" fontId="25" fillId="7" borderId="1" xfId="0" applyFont="1" applyFill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20" fillId="8" borderId="1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right" vertical="center"/>
    </xf>
    <xf numFmtId="0" fontId="11" fillId="2" borderId="5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/>
    </xf>
    <xf numFmtId="0" fontId="9" fillId="5" borderId="1" xfId="2" applyFill="1" applyBorder="1" applyAlignment="1">
      <alignment horizontal="center" vertical="center"/>
    </xf>
    <xf numFmtId="0" fontId="16" fillId="5" borderId="1" xfId="2" applyFont="1" applyFill="1" applyBorder="1" applyAlignment="1">
      <alignment horizontal="center" vertical="center"/>
    </xf>
    <xf numFmtId="0" fontId="26" fillId="5" borderId="1" xfId="4" applyFont="1" applyFill="1" applyBorder="1" applyAlignment="1">
      <alignment horizontal="center" vertical="center"/>
    </xf>
    <xf numFmtId="0" fontId="14" fillId="0" borderId="1" xfId="2" applyFont="1" applyBorder="1" applyAlignment="1">
      <alignment horizontal="left" vertical="center"/>
    </xf>
    <xf numFmtId="0" fontId="16" fillId="5" borderId="2" xfId="2" applyFont="1" applyFill="1" applyBorder="1" applyAlignment="1">
      <alignment horizontal="center" vertical="top"/>
    </xf>
    <xf numFmtId="0" fontId="19" fillId="0" borderId="2" xfId="0" applyFont="1" applyBorder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vertical="center"/>
    </xf>
    <xf numFmtId="49" fontId="0" fillId="9" borderId="5" xfId="0" applyNumberFormat="1" applyFill="1" applyBorder="1" applyAlignment="1">
      <alignment vertical="center"/>
    </xf>
    <xf numFmtId="49" fontId="0" fillId="9" borderId="9" xfId="0" applyNumberFormat="1" applyFill="1" applyBorder="1" applyAlignment="1">
      <alignment vertical="center"/>
    </xf>
    <xf numFmtId="49" fontId="0" fillId="9" borderId="6" xfId="0" applyNumberFormat="1" applyFill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49" fontId="0" fillId="0" borderId="5" xfId="0" quotePrefix="1" applyNumberFormat="1" applyBorder="1" applyAlignment="1">
      <alignment vertical="center"/>
    </xf>
    <xf numFmtId="0" fontId="6" fillId="2" borderId="1" xfId="2" applyFont="1" applyFill="1" applyBorder="1" applyAlignment="1">
      <alignment horizontal="center" vertical="center"/>
    </xf>
    <xf numFmtId="0" fontId="26" fillId="5" borderId="1" xfId="2" applyFont="1" applyFill="1" applyBorder="1">
      <alignment vertical="center"/>
    </xf>
    <xf numFmtId="0" fontId="6" fillId="2" borderId="5" xfId="2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left" vertical="top" indent="1"/>
    </xf>
    <xf numFmtId="0" fontId="16" fillId="5" borderId="1" xfId="2" applyFont="1" applyFill="1" applyBorder="1" applyAlignment="1">
      <alignment horizontal="left" vertical="center"/>
    </xf>
    <xf numFmtId="0" fontId="16" fillId="5" borderId="2" xfId="2" applyFont="1" applyFill="1" applyBorder="1" applyAlignment="1">
      <alignment horizontal="left" vertical="top"/>
    </xf>
    <xf numFmtId="0" fontId="29" fillId="0" borderId="0" xfId="0" applyFont="1"/>
    <xf numFmtId="0" fontId="14" fillId="2" borderId="5" xfId="2" applyFont="1" applyFill="1" applyBorder="1" applyAlignment="1">
      <alignment horizontal="center" vertical="center"/>
    </xf>
    <xf numFmtId="0" fontId="14" fillId="5" borderId="7" xfId="2" applyFont="1" applyFill="1" applyBorder="1" applyAlignment="1">
      <alignment vertical="top"/>
    </xf>
    <xf numFmtId="0" fontId="14" fillId="5" borderId="1" xfId="2" applyFont="1" applyFill="1" applyBorder="1" applyAlignment="1">
      <alignment horizontal="center" vertical="center"/>
    </xf>
    <xf numFmtId="0" fontId="14" fillId="5" borderId="8" xfId="2" applyFont="1" applyFill="1" applyBorder="1" applyAlignment="1">
      <alignment vertical="top"/>
    </xf>
    <xf numFmtId="0" fontId="14" fillId="5" borderId="1" xfId="0" applyFont="1" applyFill="1" applyBorder="1" applyAlignment="1">
      <alignment horizontal="left" vertical="top" indent="1"/>
    </xf>
    <xf numFmtId="0" fontId="14" fillId="5" borderId="1" xfId="0" applyFont="1" applyFill="1" applyBorder="1" applyAlignment="1">
      <alignment horizontal="center" vertical="top"/>
    </xf>
    <xf numFmtId="0" fontId="14" fillId="2" borderId="1" xfId="2" applyFont="1" applyFill="1" applyBorder="1" applyAlignment="1">
      <alignment horizontal="left" vertical="center"/>
    </xf>
    <xf numFmtId="49" fontId="14" fillId="0" borderId="1" xfId="2" applyNumberFormat="1" applyFont="1" applyBorder="1" applyAlignment="1">
      <alignment horizontal="left" vertical="center"/>
    </xf>
    <xf numFmtId="0" fontId="26" fillId="0" borderId="0" xfId="2" applyFont="1" applyAlignment="1">
      <alignment horizontal="right" vertical="center"/>
    </xf>
    <xf numFmtId="0" fontId="10" fillId="0" borderId="0" xfId="1">
      <alignment vertical="center"/>
    </xf>
    <xf numFmtId="0" fontId="11" fillId="12" borderId="0" xfId="2" applyFont="1" applyFill="1" applyAlignment="1">
      <alignment horizontal="right" vertical="center"/>
    </xf>
    <xf numFmtId="0" fontId="35" fillId="12" borderId="0" xfId="2" applyFont="1" applyFill="1" applyAlignment="1">
      <alignment horizontal="right" vertical="center"/>
    </xf>
    <xf numFmtId="0" fontId="35" fillId="0" borderId="0" xfId="2" applyFont="1">
      <alignment vertical="center"/>
    </xf>
    <xf numFmtId="0" fontId="9" fillId="0" borderId="1" xfId="2" applyBorder="1">
      <alignment vertical="center"/>
    </xf>
    <xf numFmtId="0" fontId="32" fillId="0" borderId="1" xfId="0" quotePrefix="1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14" fillId="0" borderId="0" xfId="2" applyFont="1" applyAlignment="1">
      <alignment horizontal="right" vertical="center"/>
    </xf>
    <xf numFmtId="0" fontId="5" fillId="0" borderId="0" xfId="2" applyFont="1" applyAlignment="1">
      <alignment horizontal="right" vertical="center"/>
    </xf>
    <xf numFmtId="0" fontId="32" fillId="14" borderId="1" xfId="0" quotePrefix="1" applyFont="1" applyFill="1" applyBorder="1" applyAlignment="1">
      <alignment horizontal="center" vertical="center"/>
    </xf>
    <xf numFmtId="0" fontId="38" fillId="10" borderId="1" xfId="2" applyFont="1" applyFill="1" applyBorder="1" applyAlignment="1">
      <alignment horizontal="right" vertical="center" wrapText="1"/>
    </xf>
    <xf numFmtId="0" fontId="0" fillId="0" borderId="5" xfId="0" applyBorder="1" applyAlignment="1">
      <alignment vertical="center"/>
    </xf>
    <xf numFmtId="0" fontId="39" fillId="11" borderId="0" xfId="2" applyFont="1" applyFill="1">
      <alignment vertical="center"/>
    </xf>
    <xf numFmtId="0" fontId="33" fillId="0" borderId="1" xfId="2" applyFont="1" applyBorder="1" applyAlignment="1">
      <alignment horizontal="left" vertical="center"/>
    </xf>
    <xf numFmtId="0" fontId="34" fillId="13" borderId="0" xfId="2" applyFont="1" applyFill="1" applyAlignment="1">
      <alignment horizontal="center" vertical="center"/>
    </xf>
    <xf numFmtId="0" fontId="33" fillId="13" borderId="0" xfId="2" applyFont="1" applyFill="1">
      <alignment vertical="center"/>
    </xf>
    <xf numFmtId="0" fontId="40" fillId="0" borderId="0" xfId="2" applyFont="1">
      <alignment vertical="center"/>
    </xf>
    <xf numFmtId="0" fontId="41" fillId="10" borderId="1" xfId="2" applyFont="1" applyFill="1" applyBorder="1" applyAlignment="1">
      <alignment horizontal="right" vertical="center" wrapText="1"/>
    </xf>
    <xf numFmtId="0" fontId="42" fillId="11" borderId="0" xfId="2" applyFont="1" applyFill="1">
      <alignment vertical="center"/>
    </xf>
    <xf numFmtId="176" fontId="9" fillId="0" borderId="0" xfId="2" applyNumberFormat="1">
      <alignment vertical="center"/>
    </xf>
    <xf numFmtId="0" fontId="43" fillId="14" borderId="1" xfId="0" quotePrefix="1" applyFont="1" applyFill="1" applyBorder="1" applyAlignment="1">
      <alignment horizontal="center" vertical="center"/>
    </xf>
    <xf numFmtId="0" fontId="14" fillId="10" borderId="1" xfId="2" applyFont="1" applyFill="1" applyBorder="1">
      <alignment vertical="center"/>
    </xf>
    <xf numFmtId="0" fontId="14" fillId="5" borderId="10" xfId="2" applyFont="1" applyFill="1" applyBorder="1" applyAlignment="1">
      <alignment vertical="top"/>
    </xf>
    <xf numFmtId="0" fontId="45" fillId="12" borderId="0" xfId="2" applyFont="1" applyFill="1" applyAlignment="1">
      <alignment horizontal="right" vertical="center"/>
    </xf>
    <xf numFmtId="0" fontId="48" fillId="0" borderId="1" xfId="2" applyFont="1" applyBorder="1">
      <alignment vertical="center"/>
    </xf>
    <xf numFmtId="0" fontId="49" fillId="0" borderId="1" xfId="2" quotePrefix="1" applyFont="1" applyBorder="1" applyAlignment="1">
      <alignment horizontal="center" vertical="center"/>
    </xf>
    <xf numFmtId="0" fontId="49" fillId="2" borderId="1" xfId="2" applyFont="1" applyFill="1" applyBorder="1" applyAlignment="1">
      <alignment horizontal="center" vertical="center"/>
    </xf>
    <xf numFmtId="0" fontId="51" fillId="0" borderId="1" xfId="0" applyFont="1" applyBorder="1" applyAlignment="1">
      <alignment vertical="center"/>
    </xf>
    <xf numFmtId="0" fontId="48" fillId="0" borderId="1" xfId="0" applyFont="1" applyBorder="1" applyAlignment="1">
      <alignment vertical="center" wrapText="1"/>
    </xf>
    <xf numFmtId="0" fontId="4" fillId="0" borderId="0" xfId="2" applyFont="1">
      <alignment vertical="center"/>
    </xf>
    <xf numFmtId="0" fontId="49" fillId="0" borderId="1" xfId="2" applyFont="1" applyBorder="1" applyAlignment="1">
      <alignment horizontal="center" vertical="center"/>
    </xf>
    <xf numFmtId="0" fontId="53" fillId="0" borderId="0" xfId="2" applyFont="1">
      <alignment vertical="center"/>
    </xf>
    <xf numFmtId="0" fontId="54" fillId="10" borderId="1" xfId="2" applyFont="1" applyFill="1" applyBorder="1" applyAlignment="1">
      <alignment horizontal="right" vertical="center" wrapText="1"/>
    </xf>
    <xf numFmtId="0" fontId="20" fillId="13" borderId="0" xfId="2" applyFont="1" applyFill="1" applyAlignment="1">
      <alignment horizontal="center" vertical="center"/>
    </xf>
    <xf numFmtId="0" fontId="55" fillId="10" borderId="1" xfId="2" applyFont="1" applyFill="1" applyBorder="1" applyAlignment="1">
      <alignment horizontal="right" vertical="center" wrapText="1"/>
    </xf>
    <xf numFmtId="49" fontId="31" fillId="0" borderId="1" xfId="0" applyNumberFormat="1" applyFont="1" applyBorder="1" applyAlignment="1">
      <alignment horizontal="left"/>
    </xf>
    <xf numFmtId="49" fontId="56" fillId="0" borderId="1" xfId="0" applyNumberFormat="1" applyFont="1" applyBorder="1" applyAlignment="1">
      <alignment horizontal="left"/>
    </xf>
    <xf numFmtId="0" fontId="49" fillId="0" borderId="0" xfId="2" applyFont="1">
      <alignment vertical="center"/>
    </xf>
    <xf numFmtId="0" fontId="16" fillId="0" borderId="1" xfId="2" applyFont="1" applyBorder="1" applyAlignment="1">
      <alignment horizontal="left" vertical="center"/>
    </xf>
    <xf numFmtId="0" fontId="16" fillId="0" borderId="1" xfId="2" quotePrefix="1" applyFont="1" applyBorder="1">
      <alignment vertical="center"/>
    </xf>
    <xf numFmtId="0" fontId="16" fillId="6" borderId="1" xfId="2" applyFont="1" applyFill="1" applyBorder="1">
      <alignment vertical="center"/>
    </xf>
    <xf numFmtId="0" fontId="16" fillId="0" borderId="1" xfId="2" applyFont="1" applyBorder="1">
      <alignment vertical="center"/>
    </xf>
    <xf numFmtId="0" fontId="49" fillId="0" borderId="1" xfId="2" applyFont="1" applyBorder="1" applyAlignment="1">
      <alignment vertical="center" wrapText="1"/>
    </xf>
    <xf numFmtId="0" fontId="18" fillId="0" borderId="1" xfId="2" applyFont="1" applyBorder="1" applyAlignment="1">
      <alignment vertical="center" wrapText="1"/>
    </xf>
    <xf numFmtId="0" fontId="48" fillId="0" borderId="1" xfId="2" applyFont="1" applyBorder="1" applyAlignment="1">
      <alignment vertical="top" wrapText="1"/>
    </xf>
    <xf numFmtId="0" fontId="57" fillId="0" borderId="1" xfId="2" applyFont="1" applyBorder="1">
      <alignment vertical="center"/>
    </xf>
    <xf numFmtId="0" fontId="58" fillId="0" borderId="1" xfId="2" applyFont="1" applyBorder="1">
      <alignment vertical="center"/>
    </xf>
    <xf numFmtId="0" fontId="3" fillId="0" borderId="0" xfId="2" applyFont="1" applyAlignment="1">
      <alignment horizontal="right" vertical="center"/>
    </xf>
    <xf numFmtId="0" fontId="3" fillId="0" borderId="0" xfId="2" applyFont="1" applyAlignment="1">
      <alignment horizontal="center" vertical="center"/>
    </xf>
    <xf numFmtId="0" fontId="59" fillId="0" borderId="0" xfId="5" applyAlignment="1">
      <alignment vertical="center"/>
    </xf>
    <xf numFmtId="0" fontId="35" fillId="2" borderId="0" xfId="2" applyFont="1" applyFill="1" applyAlignment="1">
      <alignment horizontal="right" vertical="center"/>
    </xf>
    <xf numFmtId="176" fontId="61" fillId="15" borderId="11" xfId="2" applyNumberFormat="1" applyFont="1" applyFill="1" applyBorder="1" applyAlignment="1">
      <alignment horizontal="center" vertical="center"/>
    </xf>
    <xf numFmtId="0" fontId="2" fillId="0" borderId="0" xfId="2" applyFont="1" applyAlignment="1">
      <alignment horizontal="right" vertical="center"/>
    </xf>
    <xf numFmtId="0" fontId="62" fillId="0" borderId="0" xfId="2" applyFont="1">
      <alignment vertical="center"/>
    </xf>
    <xf numFmtId="0" fontId="35" fillId="16" borderId="1" xfId="2" applyFont="1" applyFill="1" applyBorder="1" applyAlignment="1">
      <alignment horizontal="center" vertical="center"/>
    </xf>
    <xf numFmtId="0" fontId="63" fillId="0" borderId="1" xfId="2" applyFont="1" applyBorder="1">
      <alignment vertical="center"/>
    </xf>
    <xf numFmtId="0" fontId="0" fillId="0" borderId="0" xfId="0" applyAlignment="1">
      <alignment horizontal="right"/>
    </xf>
    <xf numFmtId="0" fontId="0" fillId="17" borderId="0" xfId="0" applyFill="1"/>
    <xf numFmtId="0" fontId="2" fillId="16" borderId="0" xfId="2" applyFont="1" applyFill="1" applyAlignment="1">
      <alignment horizontal="right" vertical="center"/>
    </xf>
    <xf numFmtId="0" fontId="11" fillId="0" borderId="0" xfId="2" applyFont="1">
      <alignment vertical="center"/>
    </xf>
    <xf numFmtId="0" fontId="2" fillId="10" borderId="0" xfId="2" applyFont="1" applyFill="1" applyAlignment="1">
      <alignment horizontal="right" vertical="center"/>
    </xf>
    <xf numFmtId="0" fontId="64" fillId="0" borderId="0" xfId="2" applyFont="1">
      <alignment vertical="center"/>
    </xf>
    <xf numFmtId="0" fontId="2" fillId="0" borderId="0" xfId="2" applyFont="1">
      <alignment vertical="center"/>
    </xf>
    <xf numFmtId="0" fontId="63" fillId="0" borderId="0" xfId="2" applyFont="1">
      <alignment vertical="center"/>
    </xf>
    <xf numFmtId="0" fontId="36" fillId="13" borderId="0" xfId="2" applyFont="1" applyFill="1" applyAlignment="1">
      <alignment horizontal="center" vertical="center"/>
    </xf>
    <xf numFmtId="0" fontId="1" fillId="0" borderId="0" xfId="2" applyFont="1" applyAlignment="1">
      <alignment horizontal="right" vertical="center"/>
    </xf>
    <xf numFmtId="0" fontId="60" fillId="0" borderId="0" xfId="2" applyFont="1" applyAlignment="1">
      <alignment horizontal="center"/>
    </xf>
    <xf numFmtId="0" fontId="58" fillId="0" borderId="0" xfId="2" applyFont="1">
      <alignment vertical="center"/>
    </xf>
    <xf numFmtId="0" fontId="58" fillId="0" borderId="1" xfId="2" quotePrefix="1" applyFont="1" applyBorder="1">
      <alignment vertical="center"/>
    </xf>
    <xf numFmtId="0" fontId="19" fillId="0" borderId="2" xfId="0" applyFont="1" applyBorder="1" applyAlignment="1">
      <alignment horizontal="right" vertical="center"/>
    </xf>
    <xf numFmtId="0" fontId="19" fillId="0" borderId="4" xfId="0" applyFont="1" applyBorder="1" applyAlignment="1">
      <alignment horizontal="right" vertical="center"/>
    </xf>
    <xf numFmtId="0" fontId="19" fillId="0" borderId="3" xfId="0" applyFont="1" applyBorder="1" applyAlignment="1">
      <alignment horizontal="right" vertical="center"/>
    </xf>
    <xf numFmtId="0" fontId="19" fillId="0" borderId="2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24" fillId="7" borderId="2" xfId="0" applyFont="1" applyFill="1" applyBorder="1" applyAlignment="1">
      <alignment horizontal="center" vertical="center" wrapText="1"/>
    </xf>
    <xf numFmtId="0" fontId="24" fillId="7" borderId="4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0" fillId="8" borderId="5" xfId="0" applyFont="1" applyFill="1" applyBorder="1" applyAlignment="1">
      <alignment horizontal="center" vertical="center"/>
    </xf>
    <xf numFmtId="0" fontId="20" fillId="8" borderId="9" xfId="0" applyFont="1" applyFill="1" applyBorder="1" applyAlignment="1">
      <alignment horizontal="center" vertical="center"/>
    </xf>
    <xf numFmtId="0" fontId="20" fillId="8" borderId="6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 wrapText="1"/>
    </xf>
    <xf numFmtId="0" fontId="6" fillId="2" borderId="1" xfId="2" applyFont="1" applyFill="1" applyBorder="1">
      <alignment vertical="center"/>
    </xf>
    <xf numFmtId="0" fontId="9" fillId="2" borderId="1" xfId="2" applyFill="1" applyBorder="1">
      <alignment vertical="center"/>
    </xf>
    <xf numFmtId="0" fontId="9" fillId="5" borderId="1" xfId="2" applyFill="1" applyBorder="1" applyAlignment="1">
      <alignment horizontal="center" vertical="top"/>
    </xf>
    <xf numFmtId="0" fontId="35" fillId="16" borderId="1" xfId="2" applyFont="1" applyFill="1" applyBorder="1" applyAlignment="1">
      <alignment horizontal="center" vertical="center"/>
    </xf>
    <xf numFmtId="0" fontId="11" fillId="2" borderId="1" xfId="2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2" applyFont="1" applyFill="1" applyBorder="1" applyAlignment="1">
      <alignment horizontal="center" vertical="center" wrapText="1"/>
    </xf>
    <xf numFmtId="0" fontId="14" fillId="2" borderId="1" xfId="2" applyFont="1" applyFill="1" applyBorder="1">
      <alignment vertical="center"/>
    </xf>
    <xf numFmtId="0" fontId="30" fillId="2" borderId="2" xfId="2" applyFont="1" applyFill="1" applyBorder="1" applyAlignment="1">
      <alignment horizontal="center" vertical="center" wrapText="1"/>
    </xf>
    <xf numFmtId="0" fontId="11" fillId="2" borderId="4" xfId="2" applyFont="1" applyFill="1" applyBorder="1" applyAlignment="1">
      <alignment horizontal="center" vertical="center" wrapText="1"/>
    </xf>
    <xf numFmtId="0" fontId="11" fillId="2" borderId="3" xfId="2" applyFont="1" applyFill="1" applyBorder="1" applyAlignment="1">
      <alignment horizontal="center" vertical="center" wrapText="1"/>
    </xf>
    <xf numFmtId="0" fontId="11" fillId="2" borderId="5" xfId="2" applyFont="1" applyFill="1" applyBorder="1" applyAlignment="1">
      <alignment horizontal="center" vertical="center" wrapText="1"/>
    </xf>
    <xf numFmtId="0" fontId="11" fillId="2" borderId="6" xfId="2" applyFont="1" applyFill="1" applyBorder="1" applyAlignment="1">
      <alignment horizontal="center" vertical="center" wrapText="1"/>
    </xf>
    <xf numFmtId="0" fontId="11" fillId="2" borderId="9" xfId="2" applyFont="1" applyFill="1" applyBorder="1" applyAlignment="1">
      <alignment horizontal="center" vertical="center" wrapText="1"/>
    </xf>
    <xf numFmtId="0" fontId="8" fillId="2" borderId="1" xfId="2" applyFont="1" applyFill="1" applyBorder="1">
      <alignment vertical="center"/>
    </xf>
    <xf numFmtId="0" fontId="9" fillId="5" borderId="1" xfId="2" applyFill="1" applyBorder="1" applyAlignment="1">
      <alignment vertical="top"/>
    </xf>
    <xf numFmtId="0" fontId="11" fillId="2" borderId="2" xfId="2" applyFont="1" applyFill="1" applyBorder="1" applyAlignment="1">
      <alignment horizontal="center" vertical="center" wrapText="1"/>
    </xf>
    <xf numFmtId="0" fontId="14" fillId="11" borderId="1" xfId="2" applyFont="1" applyFill="1" applyBorder="1">
      <alignment vertical="center"/>
    </xf>
  </cellXfs>
  <cellStyles count="6">
    <cellStyle name="ハイパーリンク" xfId="5" builtinId="8"/>
    <cellStyle name="標準" xfId="0" builtinId="0"/>
    <cellStyle name="標準 2" xfId="1" xr:uid="{E5B0014B-0C5F-472C-96A3-889E749F8E4E}"/>
    <cellStyle name="標準 2 2" xfId="3" xr:uid="{E3BCC167-43FB-4062-85E4-27A714F4722F}"/>
    <cellStyle name="標準 3" xfId="2" xr:uid="{50207C24-B1C7-412D-91B2-47449051B21D}"/>
    <cellStyle name="標準 3 2" xfId="4" xr:uid="{2FDB7497-6A7A-430A-B043-05A006ADF9BD}"/>
  </cellStyles>
  <dxfs count="28"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0F0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715272</xdr:colOff>
      <xdr:row>29</xdr:row>
      <xdr:rowOff>57901</xdr:rowOff>
    </xdr:from>
    <xdr:to>
      <xdr:col>8</xdr:col>
      <xdr:colOff>516759</xdr:colOff>
      <xdr:row>34</xdr:row>
      <xdr:rowOff>207256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77E3A52-5E12-EC3B-AA36-2DB9B3013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17860" y="6837460"/>
          <a:ext cx="8146284" cy="20568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136376</xdr:colOff>
      <xdr:row>24</xdr:row>
      <xdr:rowOff>489249</xdr:rowOff>
    </xdr:from>
    <xdr:to>
      <xdr:col>5</xdr:col>
      <xdr:colOff>2612876</xdr:colOff>
      <xdr:row>24</xdr:row>
      <xdr:rowOff>1540809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2E32AD6-B1E2-4B8F-8B27-11AD4FCF1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8729" y="7705837"/>
          <a:ext cx="2487930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721217</xdr:colOff>
      <xdr:row>32</xdr:row>
      <xdr:rowOff>43543</xdr:rowOff>
    </xdr:from>
    <xdr:to>
      <xdr:col>10</xdr:col>
      <xdr:colOff>1810138</xdr:colOff>
      <xdr:row>41</xdr:row>
      <xdr:rowOff>111234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9C2BA00-EEE0-4664-8480-4653DB051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8874" y="7434943"/>
          <a:ext cx="10800338" cy="27545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1329588</xdr:colOff>
      <xdr:row>29</xdr:row>
      <xdr:rowOff>124794</xdr:rowOff>
    </xdr:from>
    <xdr:to>
      <xdr:col>10</xdr:col>
      <xdr:colOff>668682</xdr:colOff>
      <xdr:row>39</xdr:row>
      <xdr:rowOff>190418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86C76E1-13A5-3DAC-D6DD-C94F9AD9A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3552" y="7159687"/>
          <a:ext cx="10327679" cy="261206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1900606</xdr:colOff>
      <xdr:row>29</xdr:row>
      <xdr:rowOff>227623</xdr:rowOff>
    </xdr:from>
    <xdr:to>
      <xdr:col>8</xdr:col>
      <xdr:colOff>838823</xdr:colOff>
      <xdr:row>39</xdr:row>
      <xdr:rowOff>9306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2BD0F11-847F-46E5-BE1E-EB2017576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61427" y="7153659"/>
          <a:ext cx="9225217" cy="233002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93"/>
  <sheetViews>
    <sheetView view="pageBreakPreview" zoomScale="55" zoomScaleNormal="70" zoomScaleSheetLayoutView="55" workbookViewId="0">
      <pane ySplit="3" topLeftCell="A4" activePane="bottomLeft" state="frozen"/>
      <selection pane="bottomLeft" activeCell="A7" sqref="A7"/>
    </sheetView>
  </sheetViews>
  <sheetFormatPr defaultColWidth="8.69921875" defaultRowHeight="26.4"/>
  <cols>
    <col min="1" max="1" width="7.5" style="1" customWidth="1"/>
    <col min="2" max="2" width="65.8984375" style="1" customWidth="1"/>
    <col min="3" max="3" width="49.5" style="1" customWidth="1"/>
    <col min="4" max="4" width="39.796875" style="1" customWidth="1"/>
    <col min="5" max="5" width="18.296875" style="26" customWidth="1"/>
    <col min="6" max="6" width="34.8984375" style="17" customWidth="1"/>
    <col min="7" max="7" width="38.69921875" style="17" customWidth="1"/>
    <col min="8" max="8" width="23.19921875" style="17" customWidth="1"/>
    <col min="9" max="9" width="48.3984375" style="1" customWidth="1"/>
    <col min="10" max="10" width="58.5" style="1" customWidth="1"/>
    <col min="11" max="11" width="91.8984375" style="1" customWidth="1"/>
    <col min="12" max="12" width="34.69921875" style="1" customWidth="1"/>
    <col min="13" max="16384" width="8.69921875" style="1"/>
  </cols>
  <sheetData>
    <row r="1" spans="1:12" ht="26.55" customHeight="1">
      <c r="A1" s="1" t="s">
        <v>21</v>
      </c>
      <c r="F1" s="1"/>
      <c r="G1" s="1"/>
      <c r="H1" s="1"/>
    </row>
    <row r="2" spans="1:12" ht="28.5" customHeight="1">
      <c r="A2" s="151" t="s">
        <v>5</v>
      </c>
      <c r="B2" s="152" t="s">
        <v>107</v>
      </c>
      <c r="C2" s="151" t="s">
        <v>9</v>
      </c>
      <c r="D2" s="151" t="s">
        <v>8</v>
      </c>
      <c r="E2" s="155" t="s">
        <v>91</v>
      </c>
      <c r="F2" s="148" t="s">
        <v>104</v>
      </c>
      <c r="G2" s="149"/>
      <c r="H2" s="150"/>
      <c r="I2" s="154" t="s">
        <v>4</v>
      </c>
      <c r="J2" s="154"/>
      <c r="K2" s="154"/>
      <c r="L2" s="154"/>
    </row>
    <row r="3" spans="1:12" ht="41.55" customHeight="1">
      <c r="A3" s="151"/>
      <c r="B3" s="153"/>
      <c r="C3" s="151"/>
      <c r="D3" s="151"/>
      <c r="E3" s="155"/>
      <c r="F3" s="31" t="s">
        <v>103</v>
      </c>
      <c r="G3" s="31" t="s">
        <v>126</v>
      </c>
      <c r="H3" s="31" t="s">
        <v>19</v>
      </c>
      <c r="I3" s="2" t="s">
        <v>6</v>
      </c>
      <c r="J3" s="2" t="s">
        <v>3</v>
      </c>
      <c r="K3" s="3" t="s">
        <v>24</v>
      </c>
      <c r="L3" s="3" t="s">
        <v>95</v>
      </c>
    </row>
    <row r="4" spans="1:12" ht="34.950000000000003" customHeight="1">
      <c r="A4" s="28">
        <v>1</v>
      </c>
      <c r="B4" s="5" t="s">
        <v>108</v>
      </c>
      <c r="C4" s="4" t="s">
        <v>48</v>
      </c>
      <c r="D4" s="4" t="s">
        <v>49</v>
      </c>
      <c r="E4" s="27">
        <v>1</v>
      </c>
      <c r="F4" s="142" t="s">
        <v>129</v>
      </c>
      <c r="G4" s="29" t="s">
        <v>127</v>
      </c>
      <c r="H4" s="29" t="s">
        <v>92</v>
      </c>
      <c r="I4" s="4" t="s">
        <v>7</v>
      </c>
      <c r="J4" s="4" t="s">
        <v>0</v>
      </c>
      <c r="K4" s="4" t="s">
        <v>33</v>
      </c>
      <c r="L4" s="142" t="s">
        <v>130</v>
      </c>
    </row>
    <row r="5" spans="1:12" ht="34.950000000000003" customHeight="1">
      <c r="A5" s="28">
        <v>2</v>
      </c>
      <c r="B5" s="5" t="s">
        <v>109</v>
      </c>
      <c r="C5" s="4" t="s">
        <v>48</v>
      </c>
      <c r="D5" s="4" t="s">
        <v>49</v>
      </c>
      <c r="E5" s="27">
        <v>1</v>
      </c>
      <c r="F5" s="143"/>
      <c r="G5" s="29" t="s">
        <v>127</v>
      </c>
      <c r="H5" s="29" t="s">
        <v>92</v>
      </c>
      <c r="I5" s="4" t="s">
        <v>125</v>
      </c>
      <c r="J5" s="4" t="s">
        <v>94</v>
      </c>
      <c r="K5" s="6" t="s">
        <v>32</v>
      </c>
      <c r="L5" s="143"/>
    </row>
    <row r="6" spans="1:12" ht="34.950000000000003" customHeight="1">
      <c r="A6" s="28">
        <v>3</v>
      </c>
      <c r="B6" s="5" t="s">
        <v>110</v>
      </c>
      <c r="C6" s="30" t="s">
        <v>48</v>
      </c>
      <c r="D6" s="4" t="s">
        <v>49</v>
      </c>
      <c r="E6" s="27">
        <v>1</v>
      </c>
      <c r="F6" s="143"/>
      <c r="G6" s="29" t="s">
        <v>127</v>
      </c>
      <c r="H6" s="29" t="s">
        <v>92</v>
      </c>
      <c r="I6" s="4" t="s">
        <v>7</v>
      </c>
      <c r="J6" s="4" t="s">
        <v>0</v>
      </c>
      <c r="K6" s="4" t="s">
        <v>96</v>
      </c>
      <c r="L6" s="143"/>
    </row>
    <row r="7" spans="1:12" ht="34.950000000000003" customHeight="1">
      <c r="A7" s="28">
        <v>4</v>
      </c>
      <c r="B7" s="5" t="s">
        <v>111</v>
      </c>
      <c r="C7" s="4" t="s">
        <v>48</v>
      </c>
      <c r="D7" s="4" t="s">
        <v>49</v>
      </c>
      <c r="E7" s="27">
        <v>1</v>
      </c>
      <c r="F7" s="143"/>
      <c r="G7" s="29" t="s">
        <v>127</v>
      </c>
      <c r="H7" s="29" t="s">
        <v>92</v>
      </c>
      <c r="I7" s="4" t="s">
        <v>98</v>
      </c>
      <c r="J7" s="5" t="s">
        <v>269</v>
      </c>
      <c r="K7" s="4" t="s">
        <v>97</v>
      </c>
      <c r="L7" s="143"/>
    </row>
    <row r="8" spans="1:12" ht="34.950000000000003" customHeight="1">
      <c r="A8" s="136">
        <v>5</v>
      </c>
      <c r="B8" s="139" t="s">
        <v>284</v>
      </c>
      <c r="C8" s="4" t="s">
        <v>48</v>
      </c>
      <c r="D8" s="4" t="s">
        <v>49</v>
      </c>
      <c r="E8" s="27">
        <v>1</v>
      </c>
      <c r="F8" s="143"/>
      <c r="G8" s="29" t="s">
        <v>127</v>
      </c>
      <c r="H8" s="29" t="s">
        <v>92</v>
      </c>
      <c r="I8" s="4" t="s">
        <v>98</v>
      </c>
      <c r="J8" s="5" t="s">
        <v>269</v>
      </c>
      <c r="K8" s="4" t="s">
        <v>97</v>
      </c>
      <c r="L8" s="143"/>
    </row>
    <row r="9" spans="1:12" ht="34.950000000000003" customHeight="1">
      <c r="A9" s="138"/>
      <c r="B9" s="141"/>
      <c r="C9" s="4" t="s">
        <v>48</v>
      </c>
      <c r="D9" s="4" t="s">
        <v>49</v>
      </c>
      <c r="E9" s="27">
        <v>2</v>
      </c>
      <c r="F9" s="143"/>
      <c r="G9" s="29" t="s">
        <v>127</v>
      </c>
      <c r="H9" s="29" t="s">
        <v>93</v>
      </c>
      <c r="I9" s="4" t="s">
        <v>7</v>
      </c>
      <c r="J9" s="4" t="s">
        <v>0</v>
      </c>
      <c r="K9" s="4" t="s">
        <v>33</v>
      </c>
      <c r="L9" s="143"/>
    </row>
    <row r="10" spans="1:12" ht="34.950000000000003" customHeight="1">
      <c r="A10" s="136">
        <v>6</v>
      </c>
      <c r="B10" s="139" t="s">
        <v>283</v>
      </c>
      <c r="C10" s="4" t="s">
        <v>48</v>
      </c>
      <c r="D10" s="4" t="s">
        <v>49</v>
      </c>
      <c r="E10" s="27">
        <v>1</v>
      </c>
      <c r="F10" s="143"/>
      <c r="G10" s="29" t="s">
        <v>127</v>
      </c>
      <c r="H10" s="29" t="s">
        <v>92</v>
      </c>
      <c r="I10" s="4" t="s">
        <v>98</v>
      </c>
      <c r="J10" s="5" t="s">
        <v>269</v>
      </c>
      <c r="K10" s="4" t="s">
        <v>97</v>
      </c>
      <c r="L10" s="143"/>
    </row>
    <row r="11" spans="1:12" ht="34.950000000000003" customHeight="1">
      <c r="A11" s="138"/>
      <c r="B11" s="141"/>
      <c r="C11" s="4" t="s">
        <v>48</v>
      </c>
      <c r="D11" s="4" t="s">
        <v>49</v>
      </c>
      <c r="E11" s="27">
        <v>2</v>
      </c>
      <c r="F11" s="143"/>
      <c r="G11" s="29" t="s">
        <v>127</v>
      </c>
      <c r="H11" s="29" t="s">
        <v>93</v>
      </c>
      <c r="I11" s="4" t="s">
        <v>98</v>
      </c>
      <c r="J11" s="5" t="s">
        <v>269</v>
      </c>
      <c r="K11" s="4" t="s">
        <v>97</v>
      </c>
      <c r="L11" s="143"/>
    </row>
    <row r="12" spans="1:12" ht="34.950000000000003" customHeight="1">
      <c r="A12" s="32">
        <v>7</v>
      </c>
      <c r="B12" s="40" t="s">
        <v>147</v>
      </c>
      <c r="C12" s="4" t="s">
        <v>46</v>
      </c>
      <c r="D12" s="4" t="s">
        <v>47</v>
      </c>
      <c r="E12" s="27">
        <v>1</v>
      </c>
      <c r="F12" s="143"/>
      <c r="G12" s="29" t="s">
        <v>155</v>
      </c>
      <c r="H12" s="29" t="s">
        <v>92</v>
      </c>
      <c r="I12" s="4" t="s">
        <v>7</v>
      </c>
      <c r="J12" s="4" t="s">
        <v>0</v>
      </c>
      <c r="K12" s="4" t="s">
        <v>33</v>
      </c>
      <c r="L12" s="143"/>
    </row>
    <row r="13" spans="1:12" ht="34.950000000000003" customHeight="1">
      <c r="A13" s="32">
        <v>8</v>
      </c>
      <c r="B13" s="5" t="s">
        <v>148</v>
      </c>
      <c r="C13" s="4" t="s">
        <v>46</v>
      </c>
      <c r="D13" s="4" t="s">
        <v>47</v>
      </c>
      <c r="E13" s="27">
        <v>1</v>
      </c>
      <c r="F13" s="143"/>
      <c r="G13" s="29" t="s">
        <v>155</v>
      </c>
      <c r="H13" s="29" t="s">
        <v>92</v>
      </c>
      <c r="I13" s="4" t="s">
        <v>125</v>
      </c>
      <c r="J13" s="4" t="s">
        <v>94</v>
      </c>
      <c r="K13" s="6" t="s">
        <v>32</v>
      </c>
      <c r="L13" s="143"/>
    </row>
    <row r="14" spans="1:12" ht="34.950000000000003" customHeight="1">
      <c r="A14" s="32">
        <v>9</v>
      </c>
      <c r="B14" s="5" t="s">
        <v>149</v>
      </c>
      <c r="C14" s="4" t="s">
        <v>46</v>
      </c>
      <c r="D14" s="4" t="s">
        <v>47</v>
      </c>
      <c r="E14" s="27">
        <v>1</v>
      </c>
      <c r="F14" s="143"/>
      <c r="G14" s="29" t="s">
        <v>155</v>
      </c>
      <c r="H14" s="29" t="s">
        <v>92</v>
      </c>
      <c r="I14" s="4" t="s">
        <v>7</v>
      </c>
      <c r="J14" s="4" t="s">
        <v>0</v>
      </c>
      <c r="K14" s="4" t="s">
        <v>96</v>
      </c>
      <c r="L14" s="143"/>
    </row>
    <row r="15" spans="1:12" ht="34.950000000000003" customHeight="1">
      <c r="A15" s="32">
        <v>10</v>
      </c>
      <c r="B15" s="5" t="s">
        <v>150</v>
      </c>
      <c r="C15" s="4" t="s">
        <v>46</v>
      </c>
      <c r="D15" s="4" t="s">
        <v>47</v>
      </c>
      <c r="E15" s="27">
        <v>1</v>
      </c>
      <c r="F15" s="143"/>
      <c r="G15" s="29" t="s">
        <v>155</v>
      </c>
      <c r="H15" s="29" t="s">
        <v>92</v>
      </c>
      <c r="I15" s="4" t="s">
        <v>98</v>
      </c>
      <c r="J15" s="5" t="s">
        <v>269</v>
      </c>
      <c r="K15" s="4" t="s">
        <v>97</v>
      </c>
      <c r="L15" s="143"/>
    </row>
    <row r="16" spans="1:12" ht="34.950000000000003" customHeight="1">
      <c r="A16" s="136">
        <v>11</v>
      </c>
      <c r="B16" s="139" t="s">
        <v>112</v>
      </c>
      <c r="C16" s="4" t="s">
        <v>48</v>
      </c>
      <c r="D16" s="4" t="s">
        <v>49</v>
      </c>
      <c r="E16" s="27">
        <v>1</v>
      </c>
      <c r="F16" s="143"/>
      <c r="G16" s="29" t="s">
        <v>127</v>
      </c>
      <c r="H16" s="29" t="s">
        <v>92</v>
      </c>
      <c r="I16" s="4" t="s">
        <v>7</v>
      </c>
      <c r="J16" s="4" t="s">
        <v>0</v>
      </c>
      <c r="K16" s="4" t="s">
        <v>33</v>
      </c>
      <c r="L16" s="143"/>
    </row>
    <row r="17" spans="1:12" ht="34.950000000000003" customHeight="1">
      <c r="A17" s="138"/>
      <c r="B17" s="141"/>
      <c r="C17" s="4" t="s">
        <v>46</v>
      </c>
      <c r="D17" s="4" t="s">
        <v>47</v>
      </c>
      <c r="E17" s="27">
        <v>2</v>
      </c>
      <c r="F17" s="143"/>
      <c r="G17" s="29" t="s">
        <v>155</v>
      </c>
      <c r="H17" s="29" t="s">
        <v>92</v>
      </c>
      <c r="I17" s="4" t="s">
        <v>7</v>
      </c>
      <c r="J17" s="4" t="s">
        <v>0</v>
      </c>
      <c r="K17" s="4" t="s">
        <v>33</v>
      </c>
      <c r="L17" s="143"/>
    </row>
    <row r="18" spans="1:12" ht="34.950000000000003" customHeight="1">
      <c r="A18" s="136">
        <v>12</v>
      </c>
      <c r="B18" s="139" t="s">
        <v>113</v>
      </c>
      <c r="C18" s="4" t="s">
        <v>48</v>
      </c>
      <c r="D18" s="4" t="s">
        <v>49</v>
      </c>
      <c r="E18" s="27">
        <v>1</v>
      </c>
      <c r="F18" s="143"/>
      <c r="G18" s="29" t="s">
        <v>127</v>
      </c>
      <c r="H18" s="29" t="s">
        <v>92</v>
      </c>
      <c r="I18" s="4" t="s">
        <v>7</v>
      </c>
      <c r="J18" s="4" t="s">
        <v>0</v>
      </c>
      <c r="K18" s="4" t="s">
        <v>33</v>
      </c>
      <c r="L18" s="143"/>
    </row>
    <row r="19" spans="1:12" ht="34.950000000000003" customHeight="1">
      <c r="A19" s="138"/>
      <c r="B19" s="141"/>
      <c r="C19" s="4" t="s">
        <v>46</v>
      </c>
      <c r="D19" s="4" t="s">
        <v>47</v>
      </c>
      <c r="E19" s="27">
        <v>2</v>
      </c>
      <c r="F19" s="143"/>
      <c r="G19" s="29" t="s">
        <v>155</v>
      </c>
      <c r="H19" s="29" t="s">
        <v>92</v>
      </c>
      <c r="I19" s="4" t="s">
        <v>125</v>
      </c>
      <c r="J19" s="4" t="s">
        <v>94</v>
      </c>
      <c r="K19" s="6" t="s">
        <v>32</v>
      </c>
      <c r="L19" s="143"/>
    </row>
    <row r="20" spans="1:12" ht="34.950000000000003" customHeight="1">
      <c r="A20" s="136">
        <v>13</v>
      </c>
      <c r="B20" s="139" t="s">
        <v>115</v>
      </c>
      <c r="C20" s="4" t="s">
        <v>48</v>
      </c>
      <c r="D20" s="4" t="s">
        <v>49</v>
      </c>
      <c r="E20" s="27">
        <v>1</v>
      </c>
      <c r="F20" s="143"/>
      <c r="G20" s="29" t="s">
        <v>127</v>
      </c>
      <c r="H20" s="29" t="s">
        <v>92</v>
      </c>
      <c r="I20" s="4" t="s">
        <v>7</v>
      </c>
      <c r="J20" s="4" t="s">
        <v>0</v>
      </c>
      <c r="K20" s="4" t="s">
        <v>33</v>
      </c>
      <c r="L20" s="143"/>
    </row>
    <row r="21" spans="1:12" ht="34.950000000000003" customHeight="1">
      <c r="A21" s="138"/>
      <c r="B21" s="141"/>
      <c r="C21" s="4" t="s">
        <v>46</v>
      </c>
      <c r="D21" s="4" t="s">
        <v>47</v>
      </c>
      <c r="E21" s="27">
        <v>2</v>
      </c>
      <c r="F21" s="143"/>
      <c r="G21" s="29" t="s">
        <v>155</v>
      </c>
      <c r="H21" s="29" t="s">
        <v>92</v>
      </c>
      <c r="I21" s="4" t="s">
        <v>7</v>
      </c>
      <c r="J21" s="4" t="s">
        <v>0</v>
      </c>
      <c r="K21" s="4" t="s">
        <v>96</v>
      </c>
      <c r="L21" s="143"/>
    </row>
    <row r="22" spans="1:12" ht="34.950000000000003" customHeight="1">
      <c r="A22" s="136">
        <v>14</v>
      </c>
      <c r="B22" s="139" t="s">
        <v>114</v>
      </c>
      <c r="C22" s="4" t="s">
        <v>48</v>
      </c>
      <c r="D22" s="4" t="s">
        <v>49</v>
      </c>
      <c r="E22" s="27">
        <v>1</v>
      </c>
      <c r="F22" s="143"/>
      <c r="G22" s="29" t="s">
        <v>127</v>
      </c>
      <c r="H22" s="29" t="s">
        <v>92</v>
      </c>
      <c r="I22" s="4" t="s">
        <v>7</v>
      </c>
      <c r="J22" s="4" t="s">
        <v>0</v>
      </c>
      <c r="K22" s="4" t="s">
        <v>33</v>
      </c>
      <c r="L22" s="143"/>
    </row>
    <row r="23" spans="1:12" ht="34.950000000000003" customHeight="1">
      <c r="A23" s="138"/>
      <c r="B23" s="141"/>
      <c r="C23" s="4" t="s">
        <v>46</v>
      </c>
      <c r="D23" s="4" t="s">
        <v>47</v>
      </c>
      <c r="E23" s="27">
        <v>2</v>
      </c>
      <c r="F23" s="143"/>
      <c r="G23" s="29" t="s">
        <v>155</v>
      </c>
      <c r="H23" s="29" t="s">
        <v>92</v>
      </c>
      <c r="I23" s="4" t="s">
        <v>98</v>
      </c>
      <c r="J23" s="5" t="s">
        <v>269</v>
      </c>
      <c r="K23" s="4" t="s">
        <v>97</v>
      </c>
      <c r="L23" s="143"/>
    </row>
    <row r="24" spans="1:12" ht="34.950000000000003" customHeight="1">
      <c r="A24" s="136">
        <v>15</v>
      </c>
      <c r="B24" s="139" t="s">
        <v>285</v>
      </c>
      <c r="C24" s="4" t="s">
        <v>48</v>
      </c>
      <c r="D24" s="4" t="s">
        <v>49</v>
      </c>
      <c r="E24" s="27">
        <v>1</v>
      </c>
      <c r="F24" s="143"/>
      <c r="G24" s="29" t="s">
        <v>127</v>
      </c>
      <c r="H24" s="29" t="s">
        <v>92</v>
      </c>
      <c r="I24" s="4" t="s">
        <v>7</v>
      </c>
      <c r="J24" s="4" t="s">
        <v>0</v>
      </c>
      <c r="K24" s="4" t="s">
        <v>33</v>
      </c>
      <c r="L24" s="143"/>
    </row>
    <row r="25" spans="1:12" ht="34.950000000000003" customHeight="1">
      <c r="A25" s="137"/>
      <c r="B25" s="140"/>
      <c r="C25" s="4" t="s">
        <v>46</v>
      </c>
      <c r="D25" s="4" t="s">
        <v>47</v>
      </c>
      <c r="E25" s="27">
        <v>2</v>
      </c>
      <c r="F25" s="143"/>
      <c r="G25" s="29" t="s">
        <v>155</v>
      </c>
      <c r="H25" s="29" t="s">
        <v>92</v>
      </c>
      <c r="I25" s="4" t="s">
        <v>98</v>
      </c>
      <c r="J25" s="5" t="s">
        <v>269</v>
      </c>
      <c r="K25" s="4" t="s">
        <v>97</v>
      </c>
      <c r="L25" s="143"/>
    </row>
    <row r="26" spans="1:12" ht="34.950000000000003" customHeight="1">
      <c r="A26" s="138"/>
      <c r="B26" s="141"/>
      <c r="C26" s="4" t="s">
        <v>46</v>
      </c>
      <c r="D26" s="4" t="s">
        <v>47</v>
      </c>
      <c r="E26" s="27">
        <v>3</v>
      </c>
      <c r="F26" s="143"/>
      <c r="G26" s="29" t="s">
        <v>155</v>
      </c>
      <c r="H26" s="29" t="s">
        <v>93</v>
      </c>
      <c r="I26" s="4" t="s">
        <v>7</v>
      </c>
      <c r="J26" s="4" t="s">
        <v>0</v>
      </c>
      <c r="K26" s="4" t="s">
        <v>33</v>
      </c>
      <c r="L26" s="143"/>
    </row>
    <row r="27" spans="1:12" ht="34.950000000000003" customHeight="1">
      <c r="A27" s="136">
        <v>16</v>
      </c>
      <c r="B27" s="139" t="s">
        <v>286</v>
      </c>
      <c r="C27" s="4" t="s">
        <v>48</v>
      </c>
      <c r="D27" s="4" t="s">
        <v>49</v>
      </c>
      <c r="E27" s="27">
        <v>1</v>
      </c>
      <c r="F27" s="143"/>
      <c r="G27" s="29" t="s">
        <v>127</v>
      </c>
      <c r="H27" s="29" t="s">
        <v>92</v>
      </c>
      <c r="I27" s="4" t="s">
        <v>7</v>
      </c>
      <c r="J27" s="4" t="s">
        <v>0</v>
      </c>
      <c r="K27" s="4" t="s">
        <v>33</v>
      </c>
      <c r="L27" s="143"/>
    </row>
    <row r="28" spans="1:12" ht="34.950000000000003" customHeight="1">
      <c r="A28" s="137"/>
      <c r="B28" s="140"/>
      <c r="C28" s="4" t="s">
        <v>46</v>
      </c>
      <c r="D28" s="4" t="s">
        <v>47</v>
      </c>
      <c r="E28" s="27">
        <v>2</v>
      </c>
      <c r="F28" s="143"/>
      <c r="G28" s="29" t="s">
        <v>155</v>
      </c>
      <c r="H28" s="29" t="s">
        <v>92</v>
      </c>
      <c r="I28" s="4" t="s">
        <v>98</v>
      </c>
      <c r="J28" s="5" t="s">
        <v>269</v>
      </c>
      <c r="K28" s="4" t="s">
        <v>97</v>
      </c>
      <c r="L28" s="143"/>
    </row>
    <row r="29" spans="1:12" ht="34.950000000000003" customHeight="1">
      <c r="A29" s="138"/>
      <c r="B29" s="141"/>
      <c r="C29" s="4" t="s">
        <v>46</v>
      </c>
      <c r="D29" s="4" t="s">
        <v>47</v>
      </c>
      <c r="E29" s="27">
        <v>3</v>
      </c>
      <c r="F29" s="143"/>
      <c r="G29" s="29" t="s">
        <v>155</v>
      </c>
      <c r="H29" s="29" t="s">
        <v>93</v>
      </c>
      <c r="I29" s="4" t="s">
        <v>98</v>
      </c>
      <c r="J29" s="5" t="s">
        <v>269</v>
      </c>
      <c r="K29" s="4" t="s">
        <v>97</v>
      </c>
      <c r="L29" s="143"/>
    </row>
    <row r="30" spans="1:12" ht="34.950000000000003" customHeight="1">
      <c r="A30" s="4">
        <v>17</v>
      </c>
      <c r="B30" s="5" t="s">
        <v>143</v>
      </c>
      <c r="C30" s="4" t="s">
        <v>44</v>
      </c>
      <c r="D30" s="4" t="s">
        <v>45</v>
      </c>
      <c r="E30" s="27">
        <v>1</v>
      </c>
      <c r="F30" s="142" t="s">
        <v>212</v>
      </c>
      <c r="G30" s="4" t="s">
        <v>156</v>
      </c>
      <c r="H30" s="6" t="s">
        <v>32</v>
      </c>
      <c r="I30" s="4" t="s">
        <v>7</v>
      </c>
      <c r="J30" s="4" t="s">
        <v>0</v>
      </c>
      <c r="K30" s="4" t="s">
        <v>33</v>
      </c>
      <c r="L30" s="145" t="s">
        <v>213</v>
      </c>
    </row>
    <row r="31" spans="1:12" ht="34.950000000000003" customHeight="1">
      <c r="A31" s="4">
        <v>18</v>
      </c>
      <c r="B31" s="5" t="s">
        <v>144</v>
      </c>
      <c r="C31" s="4" t="s">
        <v>44</v>
      </c>
      <c r="D31" s="4" t="s">
        <v>45</v>
      </c>
      <c r="E31" s="27">
        <v>1</v>
      </c>
      <c r="F31" s="143"/>
      <c r="G31" s="4" t="s">
        <v>156</v>
      </c>
      <c r="H31" s="6" t="s">
        <v>32</v>
      </c>
      <c r="I31" s="4" t="s">
        <v>125</v>
      </c>
      <c r="J31" s="4" t="s">
        <v>94</v>
      </c>
      <c r="K31" s="6" t="s">
        <v>32</v>
      </c>
      <c r="L31" s="146"/>
    </row>
    <row r="32" spans="1:12" ht="34.950000000000003" customHeight="1">
      <c r="A32" s="4">
        <v>19</v>
      </c>
      <c r="B32" s="5" t="s">
        <v>145</v>
      </c>
      <c r="C32" s="4" t="s">
        <v>44</v>
      </c>
      <c r="D32" s="4" t="s">
        <v>45</v>
      </c>
      <c r="E32" s="27">
        <v>1</v>
      </c>
      <c r="F32" s="143"/>
      <c r="G32" s="4" t="s">
        <v>156</v>
      </c>
      <c r="H32" s="6" t="s">
        <v>32</v>
      </c>
      <c r="I32" s="4" t="s">
        <v>7</v>
      </c>
      <c r="J32" s="4" t="s">
        <v>0</v>
      </c>
      <c r="K32" s="4" t="s">
        <v>96</v>
      </c>
      <c r="L32" s="146"/>
    </row>
    <row r="33" spans="1:12" ht="34.950000000000003" customHeight="1">
      <c r="A33" s="4">
        <v>20</v>
      </c>
      <c r="B33" s="5" t="s">
        <v>146</v>
      </c>
      <c r="C33" s="4" t="s">
        <v>44</v>
      </c>
      <c r="D33" s="4" t="s">
        <v>45</v>
      </c>
      <c r="E33" s="27">
        <v>1</v>
      </c>
      <c r="F33" s="143"/>
      <c r="G33" s="4" t="s">
        <v>156</v>
      </c>
      <c r="H33" s="6" t="s">
        <v>32</v>
      </c>
      <c r="I33" s="4" t="s">
        <v>98</v>
      </c>
      <c r="J33" s="5" t="s">
        <v>269</v>
      </c>
      <c r="K33" s="4" t="s">
        <v>97</v>
      </c>
      <c r="L33" s="146"/>
    </row>
    <row r="34" spans="1:12" ht="34.950000000000003" customHeight="1">
      <c r="A34" s="4">
        <v>21</v>
      </c>
      <c r="B34" s="5" t="s">
        <v>151</v>
      </c>
      <c r="C34" s="4" t="s">
        <v>38</v>
      </c>
      <c r="D34" s="4" t="s">
        <v>39</v>
      </c>
      <c r="E34" s="27">
        <v>1</v>
      </c>
      <c r="F34" s="143"/>
      <c r="G34" s="4" t="s">
        <v>157</v>
      </c>
      <c r="H34" s="6" t="s">
        <v>32</v>
      </c>
      <c r="I34" s="4" t="s">
        <v>7</v>
      </c>
      <c r="J34" s="4" t="s">
        <v>0</v>
      </c>
      <c r="K34" s="4" t="s">
        <v>33</v>
      </c>
      <c r="L34" s="146"/>
    </row>
    <row r="35" spans="1:12" ht="34.950000000000003" customHeight="1">
      <c r="A35" s="4">
        <v>22</v>
      </c>
      <c r="B35" s="5" t="s">
        <v>152</v>
      </c>
      <c r="C35" s="4" t="s">
        <v>38</v>
      </c>
      <c r="D35" s="4" t="s">
        <v>39</v>
      </c>
      <c r="E35" s="27">
        <v>1</v>
      </c>
      <c r="F35" s="143"/>
      <c r="G35" s="4" t="s">
        <v>157</v>
      </c>
      <c r="H35" s="6" t="s">
        <v>32</v>
      </c>
      <c r="I35" s="4" t="s">
        <v>125</v>
      </c>
      <c r="J35" s="4" t="s">
        <v>94</v>
      </c>
      <c r="K35" s="6" t="s">
        <v>32</v>
      </c>
      <c r="L35" s="146"/>
    </row>
    <row r="36" spans="1:12" ht="34.950000000000003" customHeight="1">
      <c r="A36" s="4">
        <v>23</v>
      </c>
      <c r="B36" s="5" t="s">
        <v>153</v>
      </c>
      <c r="C36" s="4" t="s">
        <v>38</v>
      </c>
      <c r="D36" s="4" t="s">
        <v>39</v>
      </c>
      <c r="E36" s="27">
        <v>1</v>
      </c>
      <c r="F36" s="143"/>
      <c r="G36" s="4" t="s">
        <v>157</v>
      </c>
      <c r="H36" s="6" t="s">
        <v>32</v>
      </c>
      <c r="I36" s="4" t="s">
        <v>7</v>
      </c>
      <c r="J36" s="4" t="s">
        <v>0</v>
      </c>
      <c r="K36" s="4" t="s">
        <v>96</v>
      </c>
      <c r="L36" s="146"/>
    </row>
    <row r="37" spans="1:12" ht="34.950000000000003" customHeight="1">
      <c r="A37" s="4">
        <v>24</v>
      </c>
      <c r="B37" s="5" t="s">
        <v>154</v>
      </c>
      <c r="C37" s="4" t="s">
        <v>38</v>
      </c>
      <c r="D37" s="4" t="s">
        <v>39</v>
      </c>
      <c r="E37" s="27">
        <v>1</v>
      </c>
      <c r="F37" s="143"/>
      <c r="G37" s="4" t="s">
        <v>157</v>
      </c>
      <c r="H37" s="6" t="s">
        <v>32</v>
      </c>
      <c r="I37" s="4" t="s">
        <v>98</v>
      </c>
      <c r="J37" s="5" t="s">
        <v>269</v>
      </c>
      <c r="K37" s="4" t="s">
        <v>97</v>
      </c>
      <c r="L37" s="146"/>
    </row>
    <row r="38" spans="1:12" ht="34.950000000000003" customHeight="1">
      <c r="A38" s="136">
        <v>25</v>
      </c>
      <c r="B38" s="139" t="s">
        <v>124</v>
      </c>
      <c r="C38" s="4" t="s">
        <v>48</v>
      </c>
      <c r="D38" s="4" t="s">
        <v>49</v>
      </c>
      <c r="E38" s="27">
        <v>1</v>
      </c>
      <c r="F38" s="143"/>
      <c r="G38" s="29" t="s">
        <v>127</v>
      </c>
      <c r="H38" s="29" t="s">
        <v>92</v>
      </c>
      <c r="I38" s="4" t="s">
        <v>7</v>
      </c>
      <c r="J38" s="4" t="s">
        <v>0</v>
      </c>
      <c r="K38" s="4" t="s">
        <v>33</v>
      </c>
      <c r="L38" s="146"/>
    </row>
    <row r="39" spans="1:12" ht="34.950000000000003" customHeight="1">
      <c r="A39" s="138"/>
      <c r="B39" s="141"/>
      <c r="C39" s="4" t="s">
        <v>44</v>
      </c>
      <c r="D39" s="4" t="s">
        <v>45</v>
      </c>
      <c r="E39" s="27">
        <v>2</v>
      </c>
      <c r="F39" s="143"/>
      <c r="G39" s="4" t="s">
        <v>156</v>
      </c>
      <c r="H39" s="6" t="s">
        <v>32</v>
      </c>
      <c r="I39" s="4" t="s">
        <v>7</v>
      </c>
      <c r="J39" s="4" t="s">
        <v>0</v>
      </c>
      <c r="K39" s="4" t="s">
        <v>33</v>
      </c>
      <c r="L39" s="146"/>
    </row>
    <row r="40" spans="1:12" ht="34.950000000000003" customHeight="1">
      <c r="A40" s="136">
        <v>26</v>
      </c>
      <c r="B40" s="139" t="s">
        <v>208</v>
      </c>
      <c r="C40" s="4" t="s">
        <v>48</v>
      </c>
      <c r="D40" s="4" t="s">
        <v>49</v>
      </c>
      <c r="E40" s="27">
        <v>1</v>
      </c>
      <c r="F40" s="143"/>
      <c r="G40" s="29" t="s">
        <v>127</v>
      </c>
      <c r="H40" s="29" t="s">
        <v>92</v>
      </c>
      <c r="I40" s="4" t="s">
        <v>7</v>
      </c>
      <c r="J40" s="4" t="s">
        <v>0</v>
      </c>
      <c r="K40" s="4" t="s">
        <v>33</v>
      </c>
      <c r="L40" s="146"/>
    </row>
    <row r="41" spans="1:12" ht="52.8" customHeight="1">
      <c r="A41" s="137"/>
      <c r="B41" s="140"/>
      <c r="C41" s="4" t="s">
        <v>44</v>
      </c>
      <c r="D41" s="4" t="s">
        <v>45</v>
      </c>
      <c r="E41" s="27">
        <v>2</v>
      </c>
      <c r="F41" s="143"/>
      <c r="G41" s="4" t="s">
        <v>128</v>
      </c>
      <c r="H41" s="6" t="s">
        <v>32</v>
      </c>
      <c r="I41" s="4" t="s">
        <v>125</v>
      </c>
      <c r="J41" s="5" t="s">
        <v>99</v>
      </c>
      <c r="K41" s="4" t="s">
        <v>207</v>
      </c>
      <c r="L41" s="146"/>
    </row>
    <row r="42" spans="1:12" ht="34.950000000000003" customHeight="1">
      <c r="A42" s="138"/>
      <c r="B42" s="141"/>
      <c r="C42" s="4" t="s">
        <v>38</v>
      </c>
      <c r="D42" s="4" t="s">
        <v>39</v>
      </c>
      <c r="E42" s="27">
        <v>3</v>
      </c>
      <c r="F42" s="143"/>
      <c r="G42" s="4" t="s">
        <v>157</v>
      </c>
      <c r="H42" s="6" t="s">
        <v>32</v>
      </c>
      <c r="I42" s="4" t="s">
        <v>7</v>
      </c>
      <c r="J42" s="4" t="s">
        <v>0</v>
      </c>
      <c r="K42" s="4" t="s">
        <v>33</v>
      </c>
      <c r="L42" s="146"/>
    </row>
    <row r="43" spans="1:12" ht="34.950000000000003" customHeight="1">
      <c r="A43" s="136">
        <v>27</v>
      </c>
      <c r="B43" s="139" t="s">
        <v>209</v>
      </c>
      <c r="C43" s="4" t="s">
        <v>48</v>
      </c>
      <c r="D43" s="4" t="s">
        <v>49</v>
      </c>
      <c r="E43" s="27">
        <v>1</v>
      </c>
      <c r="F43" s="143"/>
      <c r="G43" s="29" t="s">
        <v>127</v>
      </c>
      <c r="H43" s="29" t="s">
        <v>92</v>
      </c>
      <c r="I43" s="4" t="s">
        <v>7</v>
      </c>
      <c r="J43" s="4" t="s">
        <v>0</v>
      </c>
      <c r="K43" s="4" t="s">
        <v>33</v>
      </c>
      <c r="L43" s="146"/>
    </row>
    <row r="44" spans="1:12" ht="34.950000000000003" customHeight="1">
      <c r="A44" s="137"/>
      <c r="B44" s="140"/>
      <c r="C44" s="4" t="s">
        <v>44</v>
      </c>
      <c r="D44" s="4" t="s">
        <v>45</v>
      </c>
      <c r="E44" s="27">
        <v>2</v>
      </c>
      <c r="F44" s="143"/>
      <c r="G44" s="4" t="s">
        <v>128</v>
      </c>
      <c r="H44" s="6" t="s">
        <v>32</v>
      </c>
      <c r="I44" s="4" t="s">
        <v>125</v>
      </c>
      <c r="J44" s="5" t="s">
        <v>99</v>
      </c>
      <c r="K44" s="4" t="s">
        <v>207</v>
      </c>
      <c r="L44" s="146"/>
    </row>
    <row r="45" spans="1:12" ht="34.950000000000003" customHeight="1">
      <c r="A45" s="138"/>
      <c r="B45" s="141"/>
      <c r="C45" s="4" t="s">
        <v>38</v>
      </c>
      <c r="D45" s="4" t="s">
        <v>39</v>
      </c>
      <c r="E45" s="27">
        <v>3</v>
      </c>
      <c r="F45" s="143"/>
      <c r="G45" s="4" t="s">
        <v>157</v>
      </c>
      <c r="H45" s="6" t="s">
        <v>32</v>
      </c>
      <c r="I45" s="4" t="s">
        <v>125</v>
      </c>
      <c r="J45" s="5" t="s">
        <v>99</v>
      </c>
      <c r="K45" s="4" t="s">
        <v>207</v>
      </c>
      <c r="L45" s="146"/>
    </row>
    <row r="46" spans="1:12" ht="34.950000000000003" customHeight="1">
      <c r="A46" s="136">
        <v>28</v>
      </c>
      <c r="B46" s="139" t="s">
        <v>210</v>
      </c>
      <c r="C46" s="4" t="s">
        <v>48</v>
      </c>
      <c r="D46" s="4" t="s">
        <v>49</v>
      </c>
      <c r="E46" s="27">
        <v>1</v>
      </c>
      <c r="F46" s="143"/>
      <c r="G46" s="29" t="s">
        <v>127</v>
      </c>
      <c r="H46" s="29" t="s">
        <v>92</v>
      </c>
      <c r="I46" s="4" t="s">
        <v>7</v>
      </c>
      <c r="J46" s="4" t="s">
        <v>0</v>
      </c>
      <c r="K46" s="4" t="s">
        <v>33</v>
      </c>
      <c r="L46" s="146"/>
    </row>
    <row r="47" spans="1:12" ht="53.4" customHeight="1">
      <c r="A47" s="137"/>
      <c r="B47" s="140"/>
      <c r="C47" s="4" t="s">
        <v>44</v>
      </c>
      <c r="D47" s="4" t="s">
        <v>45</v>
      </c>
      <c r="E47" s="27">
        <v>2</v>
      </c>
      <c r="F47" s="143"/>
      <c r="G47" s="4" t="s">
        <v>128</v>
      </c>
      <c r="H47" s="6" t="s">
        <v>32</v>
      </c>
      <c r="I47" s="4" t="s">
        <v>125</v>
      </c>
      <c r="J47" s="5" t="s">
        <v>99</v>
      </c>
      <c r="K47" s="4" t="s">
        <v>207</v>
      </c>
      <c r="L47" s="146"/>
    </row>
    <row r="48" spans="1:12" ht="34.950000000000003" customHeight="1">
      <c r="A48" s="138"/>
      <c r="B48" s="141"/>
      <c r="C48" s="4" t="s">
        <v>46</v>
      </c>
      <c r="D48" s="4" t="s">
        <v>47</v>
      </c>
      <c r="E48" s="27">
        <v>3</v>
      </c>
      <c r="F48" s="143"/>
      <c r="G48" s="29" t="s">
        <v>155</v>
      </c>
      <c r="H48" s="29" t="s">
        <v>92</v>
      </c>
      <c r="I48" s="4" t="s">
        <v>7</v>
      </c>
      <c r="J48" s="4" t="s">
        <v>0</v>
      </c>
      <c r="K48" s="4" t="s">
        <v>33</v>
      </c>
      <c r="L48" s="146"/>
    </row>
    <row r="49" spans="1:12" ht="34.950000000000003" customHeight="1">
      <c r="A49" s="136">
        <v>29</v>
      </c>
      <c r="B49" s="139" t="s">
        <v>211</v>
      </c>
      <c r="C49" s="4" t="s">
        <v>48</v>
      </c>
      <c r="D49" s="4" t="s">
        <v>49</v>
      </c>
      <c r="E49" s="27">
        <v>1</v>
      </c>
      <c r="F49" s="143"/>
      <c r="G49" s="29" t="s">
        <v>127</v>
      </c>
      <c r="H49" s="29" t="s">
        <v>92</v>
      </c>
      <c r="I49" s="4" t="s">
        <v>7</v>
      </c>
      <c r="J49" s="4" t="s">
        <v>0</v>
      </c>
      <c r="K49" s="4" t="s">
        <v>33</v>
      </c>
      <c r="L49" s="146"/>
    </row>
    <row r="50" spans="1:12" ht="53.4" customHeight="1">
      <c r="A50" s="137"/>
      <c r="B50" s="140"/>
      <c r="C50" s="4" t="s">
        <v>44</v>
      </c>
      <c r="D50" s="4" t="s">
        <v>45</v>
      </c>
      <c r="E50" s="27">
        <v>2</v>
      </c>
      <c r="F50" s="143"/>
      <c r="G50" s="4" t="s">
        <v>128</v>
      </c>
      <c r="H50" s="6" t="s">
        <v>32</v>
      </c>
      <c r="I50" s="4" t="s">
        <v>125</v>
      </c>
      <c r="J50" s="5" t="s">
        <v>99</v>
      </c>
      <c r="K50" s="4" t="s">
        <v>207</v>
      </c>
      <c r="L50" s="146"/>
    </row>
    <row r="51" spans="1:12" ht="53.4" customHeight="1">
      <c r="A51" s="138"/>
      <c r="B51" s="141"/>
      <c r="C51" s="4" t="s">
        <v>46</v>
      </c>
      <c r="D51" s="4" t="s">
        <v>47</v>
      </c>
      <c r="E51" s="27">
        <v>3</v>
      </c>
      <c r="F51" s="144"/>
      <c r="G51" s="29" t="s">
        <v>155</v>
      </c>
      <c r="H51" s="29" t="s">
        <v>92</v>
      </c>
      <c r="I51" s="4" t="s">
        <v>125</v>
      </c>
      <c r="J51" s="5" t="s">
        <v>99</v>
      </c>
      <c r="K51" s="4" t="s">
        <v>207</v>
      </c>
      <c r="L51" s="147"/>
    </row>
    <row r="52" spans="1:12" ht="38.4" customHeight="1">
      <c r="A52" s="4">
        <v>30</v>
      </c>
      <c r="B52" s="5" t="s">
        <v>131</v>
      </c>
      <c r="C52" s="5" t="s">
        <v>37</v>
      </c>
      <c r="D52" s="4" t="s">
        <v>31</v>
      </c>
      <c r="E52" s="27">
        <v>1</v>
      </c>
      <c r="F52" s="142" t="s">
        <v>230</v>
      </c>
      <c r="G52" s="29" t="s">
        <v>138</v>
      </c>
      <c r="H52" s="29" t="s">
        <v>92</v>
      </c>
      <c r="I52" s="4" t="s">
        <v>7</v>
      </c>
      <c r="J52" s="4" t="s">
        <v>0</v>
      </c>
      <c r="K52" s="4" t="s">
        <v>33</v>
      </c>
      <c r="L52" s="142" t="s">
        <v>231</v>
      </c>
    </row>
    <row r="53" spans="1:12" ht="34.950000000000003" customHeight="1">
      <c r="A53" s="4">
        <v>31</v>
      </c>
      <c r="B53" s="5" t="s">
        <v>132</v>
      </c>
      <c r="C53" s="5" t="s">
        <v>37</v>
      </c>
      <c r="D53" s="4" t="s">
        <v>31</v>
      </c>
      <c r="E53" s="27">
        <v>1</v>
      </c>
      <c r="F53" s="143"/>
      <c r="G53" s="29" t="s">
        <v>138</v>
      </c>
      <c r="H53" s="29" t="s">
        <v>92</v>
      </c>
      <c r="I53" s="4" t="s">
        <v>125</v>
      </c>
      <c r="J53" s="4" t="s">
        <v>94</v>
      </c>
      <c r="K53" s="6" t="s">
        <v>32</v>
      </c>
      <c r="L53" s="143"/>
    </row>
    <row r="54" spans="1:12" ht="34.950000000000003" customHeight="1">
      <c r="A54" s="4">
        <v>32</v>
      </c>
      <c r="B54" s="5" t="s">
        <v>133</v>
      </c>
      <c r="C54" s="5" t="s">
        <v>37</v>
      </c>
      <c r="D54" s="4" t="s">
        <v>31</v>
      </c>
      <c r="E54" s="27">
        <v>1</v>
      </c>
      <c r="F54" s="143"/>
      <c r="G54" s="29" t="s">
        <v>138</v>
      </c>
      <c r="H54" s="29" t="s">
        <v>92</v>
      </c>
      <c r="I54" s="4" t="s">
        <v>7</v>
      </c>
      <c r="J54" s="4" t="s">
        <v>0</v>
      </c>
      <c r="K54" s="4" t="s">
        <v>96</v>
      </c>
      <c r="L54" s="143"/>
    </row>
    <row r="55" spans="1:12" ht="34.950000000000003" customHeight="1">
      <c r="A55" s="4">
        <v>33</v>
      </c>
      <c r="B55" s="5" t="s">
        <v>134</v>
      </c>
      <c r="C55" s="5" t="s">
        <v>37</v>
      </c>
      <c r="D55" s="4" t="s">
        <v>31</v>
      </c>
      <c r="E55" s="27">
        <v>1</v>
      </c>
      <c r="F55" s="143"/>
      <c r="G55" s="29" t="s">
        <v>138</v>
      </c>
      <c r="H55" s="29" t="s">
        <v>92</v>
      </c>
      <c r="I55" s="4" t="s">
        <v>98</v>
      </c>
      <c r="J55" s="5" t="s">
        <v>269</v>
      </c>
      <c r="K55" s="4" t="s">
        <v>97</v>
      </c>
      <c r="L55" s="143"/>
    </row>
    <row r="56" spans="1:12" ht="34.950000000000003" customHeight="1">
      <c r="A56" s="4">
        <v>34</v>
      </c>
      <c r="B56" s="5" t="s">
        <v>214</v>
      </c>
      <c r="C56" s="5" t="s">
        <v>37</v>
      </c>
      <c r="D56" s="4" t="s">
        <v>31</v>
      </c>
      <c r="E56" s="27">
        <v>1</v>
      </c>
      <c r="F56" s="143"/>
      <c r="G56" s="29" t="s">
        <v>138</v>
      </c>
      <c r="H56" s="29" t="s">
        <v>92</v>
      </c>
      <c r="I56" s="4" t="s">
        <v>7</v>
      </c>
      <c r="J56" s="4" t="s">
        <v>0</v>
      </c>
      <c r="K56" s="4" t="s">
        <v>33</v>
      </c>
      <c r="L56" s="143"/>
    </row>
    <row r="57" spans="1:12" ht="34.950000000000003" customHeight="1">
      <c r="A57" s="4">
        <v>35</v>
      </c>
      <c r="B57" s="5" t="s">
        <v>215</v>
      </c>
      <c r="C57" s="5" t="s">
        <v>37</v>
      </c>
      <c r="D57" s="4" t="s">
        <v>31</v>
      </c>
      <c r="E57" s="27">
        <v>1</v>
      </c>
      <c r="F57" s="143"/>
      <c r="G57" s="29" t="s">
        <v>138</v>
      </c>
      <c r="H57" s="29" t="s">
        <v>92</v>
      </c>
      <c r="I57" s="4" t="s">
        <v>125</v>
      </c>
      <c r="J57" s="4" t="s">
        <v>94</v>
      </c>
      <c r="K57" s="6" t="s">
        <v>32</v>
      </c>
      <c r="L57" s="143"/>
    </row>
    <row r="58" spans="1:12" ht="34.950000000000003" customHeight="1">
      <c r="A58" s="4">
        <v>36</v>
      </c>
      <c r="B58" s="5" t="s">
        <v>216</v>
      </c>
      <c r="C58" s="5" t="s">
        <v>37</v>
      </c>
      <c r="D58" s="4" t="s">
        <v>31</v>
      </c>
      <c r="E58" s="27">
        <v>1</v>
      </c>
      <c r="F58" s="143"/>
      <c r="G58" s="29" t="s">
        <v>138</v>
      </c>
      <c r="H58" s="29" t="s">
        <v>92</v>
      </c>
      <c r="I58" s="4" t="s">
        <v>7</v>
      </c>
      <c r="J58" s="4" t="s">
        <v>0</v>
      </c>
      <c r="K58" s="4" t="s">
        <v>96</v>
      </c>
      <c r="L58" s="143"/>
    </row>
    <row r="59" spans="1:12" ht="34.950000000000003" customHeight="1">
      <c r="A59" s="4">
        <v>37</v>
      </c>
      <c r="B59" s="5" t="s">
        <v>217</v>
      </c>
      <c r="C59" s="5" t="s">
        <v>37</v>
      </c>
      <c r="D59" s="4" t="s">
        <v>31</v>
      </c>
      <c r="E59" s="27">
        <v>1</v>
      </c>
      <c r="F59" s="143"/>
      <c r="G59" s="29" t="s">
        <v>138</v>
      </c>
      <c r="H59" s="29" t="s">
        <v>92</v>
      </c>
      <c r="I59" s="4" t="s">
        <v>98</v>
      </c>
      <c r="J59" s="5" t="s">
        <v>269</v>
      </c>
      <c r="K59" s="4" t="s">
        <v>97</v>
      </c>
      <c r="L59" s="143"/>
    </row>
    <row r="60" spans="1:12" ht="34.950000000000003" customHeight="1">
      <c r="A60" s="136">
        <v>38</v>
      </c>
      <c r="B60" s="139" t="s">
        <v>287</v>
      </c>
      <c r="C60" s="5" t="s">
        <v>37</v>
      </c>
      <c r="D60" s="4" t="s">
        <v>31</v>
      </c>
      <c r="E60" s="27">
        <v>1</v>
      </c>
      <c r="F60" s="143"/>
      <c r="G60" s="29" t="s">
        <v>138</v>
      </c>
      <c r="H60" s="29" t="s">
        <v>92</v>
      </c>
      <c r="I60" s="4" t="s">
        <v>98</v>
      </c>
      <c r="J60" s="5" t="s">
        <v>269</v>
      </c>
      <c r="K60" s="4" t="s">
        <v>97</v>
      </c>
      <c r="L60" s="143"/>
    </row>
    <row r="61" spans="1:12" ht="34.950000000000003" customHeight="1">
      <c r="A61" s="138"/>
      <c r="B61" s="141"/>
      <c r="C61" s="5" t="s">
        <v>37</v>
      </c>
      <c r="D61" s="4" t="s">
        <v>31</v>
      </c>
      <c r="E61" s="27">
        <v>2</v>
      </c>
      <c r="F61" s="143"/>
      <c r="G61" s="29" t="s">
        <v>138</v>
      </c>
      <c r="H61" s="29" t="s">
        <v>93</v>
      </c>
      <c r="I61" s="4" t="s">
        <v>7</v>
      </c>
      <c r="J61" s="4" t="s">
        <v>0</v>
      </c>
      <c r="K61" s="4" t="s">
        <v>33</v>
      </c>
      <c r="L61" s="143"/>
    </row>
    <row r="62" spans="1:12" ht="34.950000000000003" customHeight="1">
      <c r="A62" s="136">
        <v>39</v>
      </c>
      <c r="B62" s="139" t="s">
        <v>288</v>
      </c>
      <c r="C62" s="5" t="s">
        <v>37</v>
      </c>
      <c r="D62" s="4" t="s">
        <v>31</v>
      </c>
      <c r="E62" s="27">
        <v>1</v>
      </c>
      <c r="F62" s="143"/>
      <c r="G62" s="29" t="s">
        <v>138</v>
      </c>
      <c r="H62" s="29" t="s">
        <v>92</v>
      </c>
      <c r="I62" s="4" t="s">
        <v>98</v>
      </c>
      <c r="J62" s="5" t="s">
        <v>269</v>
      </c>
      <c r="K62" s="4" t="s">
        <v>97</v>
      </c>
      <c r="L62" s="143"/>
    </row>
    <row r="63" spans="1:12" ht="34.950000000000003" customHeight="1">
      <c r="A63" s="138"/>
      <c r="B63" s="141"/>
      <c r="C63" s="5" t="s">
        <v>37</v>
      </c>
      <c r="D63" s="4" t="s">
        <v>31</v>
      </c>
      <c r="E63" s="27">
        <v>2</v>
      </c>
      <c r="F63" s="143"/>
      <c r="G63" s="29" t="s">
        <v>138</v>
      </c>
      <c r="H63" s="29" t="s">
        <v>93</v>
      </c>
      <c r="I63" s="4" t="s">
        <v>98</v>
      </c>
      <c r="J63" s="5" t="s">
        <v>269</v>
      </c>
      <c r="K63" s="4" t="s">
        <v>97</v>
      </c>
      <c r="L63" s="143"/>
    </row>
    <row r="64" spans="1:12" ht="34.950000000000003" customHeight="1">
      <c r="A64" s="136">
        <v>40</v>
      </c>
      <c r="B64" s="139" t="s">
        <v>135</v>
      </c>
      <c r="C64" s="5" t="s">
        <v>37</v>
      </c>
      <c r="D64" s="4" t="s">
        <v>31</v>
      </c>
      <c r="E64" s="27">
        <v>1</v>
      </c>
      <c r="F64" s="143"/>
      <c r="G64" s="29" t="s">
        <v>138</v>
      </c>
      <c r="H64" s="29" t="s">
        <v>92</v>
      </c>
      <c r="I64" s="4" t="s">
        <v>7</v>
      </c>
      <c r="J64" s="4" t="s">
        <v>0</v>
      </c>
      <c r="K64" s="4" t="s">
        <v>33</v>
      </c>
      <c r="L64" s="143"/>
    </row>
    <row r="65" spans="1:12" ht="34.950000000000003" customHeight="1">
      <c r="A65" s="138"/>
      <c r="B65" s="141"/>
      <c r="C65" s="5" t="s">
        <v>100</v>
      </c>
      <c r="D65" s="4" t="s">
        <v>31</v>
      </c>
      <c r="E65" s="27">
        <v>2</v>
      </c>
      <c r="F65" s="143"/>
      <c r="G65" s="29" t="s">
        <v>139</v>
      </c>
      <c r="H65" s="29" t="s">
        <v>92</v>
      </c>
      <c r="I65" s="4" t="s">
        <v>7</v>
      </c>
      <c r="J65" s="4" t="s">
        <v>0</v>
      </c>
      <c r="K65" s="4" t="s">
        <v>33</v>
      </c>
      <c r="L65" s="143"/>
    </row>
    <row r="66" spans="1:12" ht="34.950000000000003" customHeight="1">
      <c r="A66" s="136">
        <v>41</v>
      </c>
      <c r="B66" s="139" t="s">
        <v>136</v>
      </c>
      <c r="C66" s="5" t="s">
        <v>37</v>
      </c>
      <c r="D66" s="4" t="s">
        <v>31</v>
      </c>
      <c r="E66" s="27">
        <v>1</v>
      </c>
      <c r="F66" s="143"/>
      <c r="G66" s="29" t="s">
        <v>138</v>
      </c>
      <c r="H66" s="29" t="s">
        <v>92</v>
      </c>
      <c r="I66" s="4" t="s">
        <v>7</v>
      </c>
      <c r="J66" s="4" t="s">
        <v>0</v>
      </c>
      <c r="K66" s="4" t="s">
        <v>33</v>
      </c>
      <c r="L66" s="143"/>
    </row>
    <row r="67" spans="1:12" ht="34.950000000000003" customHeight="1">
      <c r="A67" s="138"/>
      <c r="B67" s="141"/>
      <c r="C67" s="5" t="s">
        <v>100</v>
      </c>
      <c r="D67" s="4" t="s">
        <v>31</v>
      </c>
      <c r="E67" s="27">
        <v>2</v>
      </c>
      <c r="F67" s="143"/>
      <c r="G67" s="29" t="s">
        <v>139</v>
      </c>
      <c r="H67" s="29" t="s">
        <v>92</v>
      </c>
      <c r="I67" s="4" t="s">
        <v>125</v>
      </c>
      <c r="J67" s="4" t="s">
        <v>94</v>
      </c>
      <c r="K67" s="6" t="s">
        <v>32</v>
      </c>
      <c r="L67" s="143"/>
    </row>
    <row r="68" spans="1:12" ht="34.950000000000003" customHeight="1">
      <c r="A68" s="136">
        <v>42</v>
      </c>
      <c r="B68" s="139" t="s">
        <v>137</v>
      </c>
      <c r="C68" s="5" t="s">
        <v>37</v>
      </c>
      <c r="D68" s="4" t="s">
        <v>31</v>
      </c>
      <c r="E68" s="27">
        <v>1</v>
      </c>
      <c r="F68" s="143"/>
      <c r="G68" s="29" t="s">
        <v>138</v>
      </c>
      <c r="H68" s="29" t="s">
        <v>92</v>
      </c>
      <c r="I68" s="4" t="s">
        <v>7</v>
      </c>
      <c r="J68" s="4" t="s">
        <v>0</v>
      </c>
      <c r="K68" s="4" t="s">
        <v>33</v>
      </c>
      <c r="L68" s="143"/>
    </row>
    <row r="69" spans="1:12" ht="34.950000000000003" customHeight="1">
      <c r="A69" s="138"/>
      <c r="B69" s="141"/>
      <c r="C69" s="5" t="s">
        <v>100</v>
      </c>
      <c r="D69" s="4" t="s">
        <v>31</v>
      </c>
      <c r="E69" s="27">
        <v>2</v>
      </c>
      <c r="F69" s="143"/>
      <c r="G69" s="29" t="s">
        <v>139</v>
      </c>
      <c r="H69" s="29" t="s">
        <v>92</v>
      </c>
      <c r="I69" s="4" t="s">
        <v>7</v>
      </c>
      <c r="J69" s="4" t="s">
        <v>0</v>
      </c>
      <c r="K69" s="4" t="s">
        <v>96</v>
      </c>
      <c r="L69" s="143"/>
    </row>
    <row r="70" spans="1:12" ht="34.950000000000003" customHeight="1">
      <c r="A70" s="136">
        <v>43</v>
      </c>
      <c r="B70" s="139" t="s">
        <v>140</v>
      </c>
      <c r="C70" s="5" t="s">
        <v>37</v>
      </c>
      <c r="D70" s="4" t="s">
        <v>31</v>
      </c>
      <c r="E70" s="27">
        <v>1</v>
      </c>
      <c r="F70" s="143"/>
      <c r="G70" s="29" t="s">
        <v>138</v>
      </c>
      <c r="H70" s="29" t="s">
        <v>92</v>
      </c>
      <c r="I70" s="4" t="s">
        <v>7</v>
      </c>
      <c r="J70" s="4" t="s">
        <v>0</v>
      </c>
      <c r="K70" s="4" t="s">
        <v>33</v>
      </c>
      <c r="L70" s="143"/>
    </row>
    <row r="71" spans="1:12" ht="34.950000000000003" customHeight="1">
      <c r="A71" s="138"/>
      <c r="B71" s="141"/>
      <c r="C71" s="5" t="s">
        <v>100</v>
      </c>
      <c r="D71" s="4" t="s">
        <v>31</v>
      </c>
      <c r="E71" s="27">
        <v>2</v>
      </c>
      <c r="F71" s="143"/>
      <c r="G71" s="29" t="s">
        <v>139</v>
      </c>
      <c r="H71" s="29" t="s">
        <v>92</v>
      </c>
      <c r="I71" s="4" t="s">
        <v>98</v>
      </c>
      <c r="J71" s="5" t="s">
        <v>269</v>
      </c>
      <c r="K71" s="4" t="s">
        <v>97</v>
      </c>
      <c r="L71" s="143"/>
    </row>
    <row r="72" spans="1:12" ht="34.950000000000003" customHeight="1">
      <c r="A72" s="136">
        <v>44</v>
      </c>
      <c r="B72" s="139" t="s">
        <v>289</v>
      </c>
      <c r="C72" s="5" t="s">
        <v>37</v>
      </c>
      <c r="D72" s="4" t="s">
        <v>31</v>
      </c>
      <c r="E72" s="27">
        <v>1</v>
      </c>
      <c r="F72" s="143"/>
      <c r="G72" s="29" t="s">
        <v>138</v>
      </c>
      <c r="H72" s="29" t="s">
        <v>92</v>
      </c>
      <c r="I72" s="4" t="s">
        <v>7</v>
      </c>
      <c r="J72" s="4" t="s">
        <v>0</v>
      </c>
      <c r="K72" s="4" t="s">
        <v>33</v>
      </c>
      <c r="L72" s="143"/>
    </row>
    <row r="73" spans="1:12" ht="34.950000000000003" customHeight="1">
      <c r="A73" s="137"/>
      <c r="B73" s="140"/>
      <c r="C73" s="5" t="s">
        <v>100</v>
      </c>
      <c r="D73" s="4" t="s">
        <v>31</v>
      </c>
      <c r="E73" s="27">
        <v>2</v>
      </c>
      <c r="F73" s="143"/>
      <c r="G73" s="29" t="s">
        <v>139</v>
      </c>
      <c r="H73" s="29" t="s">
        <v>92</v>
      </c>
      <c r="I73" s="4" t="s">
        <v>98</v>
      </c>
      <c r="J73" s="5" t="s">
        <v>269</v>
      </c>
      <c r="K73" s="4" t="s">
        <v>97</v>
      </c>
      <c r="L73" s="143"/>
    </row>
    <row r="74" spans="1:12" ht="34.950000000000003" customHeight="1">
      <c r="A74" s="138"/>
      <c r="B74" s="141"/>
      <c r="C74" s="5" t="s">
        <v>100</v>
      </c>
      <c r="D74" s="4" t="s">
        <v>31</v>
      </c>
      <c r="E74" s="27">
        <v>3</v>
      </c>
      <c r="F74" s="143"/>
      <c r="G74" s="29" t="s">
        <v>139</v>
      </c>
      <c r="H74" s="29" t="s">
        <v>93</v>
      </c>
      <c r="I74" s="4" t="s">
        <v>7</v>
      </c>
      <c r="J74" s="4" t="s">
        <v>0</v>
      </c>
      <c r="K74" s="4" t="s">
        <v>33</v>
      </c>
      <c r="L74" s="143"/>
    </row>
    <row r="75" spans="1:12" ht="34.950000000000003" customHeight="1">
      <c r="A75" s="136">
        <v>45</v>
      </c>
      <c r="B75" s="139" t="s">
        <v>290</v>
      </c>
      <c r="C75" s="5" t="s">
        <v>37</v>
      </c>
      <c r="D75" s="4" t="s">
        <v>31</v>
      </c>
      <c r="E75" s="27">
        <v>1</v>
      </c>
      <c r="F75" s="143"/>
      <c r="G75" s="29" t="s">
        <v>138</v>
      </c>
      <c r="H75" s="29" t="s">
        <v>92</v>
      </c>
      <c r="I75" s="4" t="s">
        <v>7</v>
      </c>
      <c r="J75" s="4" t="s">
        <v>0</v>
      </c>
      <c r="K75" s="4" t="s">
        <v>33</v>
      </c>
      <c r="L75" s="143"/>
    </row>
    <row r="76" spans="1:12" ht="34.950000000000003" customHeight="1">
      <c r="A76" s="137"/>
      <c r="B76" s="140"/>
      <c r="C76" s="5" t="s">
        <v>100</v>
      </c>
      <c r="D76" s="4" t="s">
        <v>31</v>
      </c>
      <c r="E76" s="27">
        <v>2</v>
      </c>
      <c r="F76" s="143"/>
      <c r="G76" s="29" t="s">
        <v>139</v>
      </c>
      <c r="H76" s="29" t="s">
        <v>92</v>
      </c>
      <c r="I76" s="4" t="s">
        <v>98</v>
      </c>
      <c r="J76" s="5" t="s">
        <v>269</v>
      </c>
      <c r="K76" s="4" t="s">
        <v>97</v>
      </c>
      <c r="L76" s="143"/>
    </row>
    <row r="77" spans="1:12" ht="34.950000000000003" customHeight="1">
      <c r="A77" s="138"/>
      <c r="B77" s="141"/>
      <c r="C77" s="5" t="s">
        <v>100</v>
      </c>
      <c r="D77" s="4" t="s">
        <v>31</v>
      </c>
      <c r="E77" s="27">
        <v>3</v>
      </c>
      <c r="F77" s="144"/>
      <c r="G77" s="29" t="s">
        <v>139</v>
      </c>
      <c r="H77" s="29" t="s">
        <v>93</v>
      </c>
      <c r="I77" s="4" t="s">
        <v>98</v>
      </c>
      <c r="J77" s="5" t="s">
        <v>269</v>
      </c>
      <c r="K77" s="4" t="s">
        <v>97</v>
      </c>
      <c r="L77" s="144"/>
    </row>
    <row r="78" spans="1:12" ht="34.950000000000003" customHeight="1">
      <c r="A78" s="4">
        <v>46</v>
      </c>
      <c r="B78" s="5" t="s">
        <v>218</v>
      </c>
      <c r="C78" s="4" t="s">
        <v>22</v>
      </c>
      <c r="D78" s="4" t="s">
        <v>23</v>
      </c>
      <c r="E78" s="27">
        <v>1</v>
      </c>
      <c r="F78" s="142" t="s">
        <v>232</v>
      </c>
      <c r="G78" s="29" t="s">
        <v>142</v>
      </c>
      <c r="H78" s="6" t="s">
        <v>32</v>
      </c>
      <c r="I78" s="4" t="s">
        <v>7</v>
      </c>
      <c r="J78" s="4" t="s">
        <v>0</v>
      </c>
      <c r="K78" s="4" t="s">
        <v>33</v>
      </c>
      <c r="L78" s="142" t="s">
        <v>233</v>
      </c>
    </row>
    <row r="79" spans="1:12" ht="34.950000000000003" customHeight="1">
      <c r="A79" s="4">
        <v>47</v>
      </c>
      <c r="B79" s="5" t="s">
        <v>219</v>
      </c>
      <c r="C79" s="4" t="s">
        <v>22</v>
      </c>
      <c r="D79" s="4" t="s">
        <v>23</v>
      </c>
      <c r="E79" s="27">
        <v>1</v>
      </c>
      <c r="F79" s="143"/>
      <c r="G79" s="29" t="s">
        <v>142</v>
      </c>
      <c r="H79" s="6" t="s">
        <v>32</v>
      </c>
      <c r="I79" s="4" t="s">
        <v>125</v>
      </c>
      <c r="J79" s="4" t="s">
        <v>94</v>
      </c>
      <c r="K79" s="6" t="s">
        <v>32</v>
      </c>
      <c r="L79" s="143"/>
    </row>
    <row r="80" spans="1:12" ht="34.950000000000003" customHeight="1">
      <c r="A80" s="4">
        <v>48</v>
      </c>
      <c r="B80" s="5" t="s">
        <v>220</v>
      </c>
      <c r="C80" s="4" t="s">
        <v>22</v>
      </c>
      <c r="D80" s="4" t="s">
        <v>23</v>
      </c>
      <c r="E80" s="27">
        <v>1</v>
      </c>
      <c r="F80" s="143"/>
      <c r="G80" s="29" t="s">
        <v>142</v>
      </c>
      <c r="H80" s="6" t="s">
        <v>32</v>
      </c>
      <c r="I80" s="4" t="s">
        <v>7</v>
      </c>
      <c r="J80" s="4" t="s">
        <v>0</v>
      </c>
      <c r="K80" s="4" t="s">
        <v>96</v>
      </c>
      <c r="L80" s="143"/>
    </row>
    <row r="81" spans="1:12" ht="34.950000000000003" customHeight="1">
      <c r="A81" s="4">
        <v>49</v>
      </c>
      <c r="B81" s="5" t="s">
        <v>221</v>
      </c>
      <c r="C81" s="4" t="s">
        <v>22</v>
      </c>
      <c r="D81" s="4" t="s">
        <v>23</v>
      </c>
      <c r="E81" s="27">
        <v>1</v>
      </c>
      <c r="F81" s="143"/>
      <c r="G81" s="29" t="s">
        <v>142</v>
      </c>
      <c r="H81" s="6" t="s">
        <v>32</v>
      </c>
      <c r="I81" s="4" t="s">
        <v>98</v>
      </c>
      <c r="J81" s="5" t="s">
        <v>269</v>
      </c>
      <c r="K81" s="4" t="s">
        <v>97</v>
      </c>
      <c r="L81" s="143"/>
    </row>
    <row r="82" spans="1:12" ht="34.950000000000003" customHeight="1">
      <c r="A82" s="136">
        <v>50</v>
      </c>
      <c r="B82" s="139" t="s">
        <v>141</v>
      </c>
      <c r="C82" s="5" t="s">
        <v>37</v>
      </c>
      <c r="D82" s="4" t="s">
        <v>31</v>
      </c>
      <c r="E82" s="27">
        <v>1</v>
      </c>
      <c r="F82" s="143"/>
      <c r="G82" s="29" t="s">
        <v>138</v>
      </c>
      <c r="H82" s="29" t="s">
        <v>92</v>
      </c>
      <c r="I82" s="4" t="s">
        <v>7</v>
      </c>
      <c r="J82" s="4" t="s">
        <v>0</v>
      </c>
      <c r="K82" s="4" t="s">
        <v>33</v>
      </c>
      <c r="L82" s="143"/>
    </row>
    <row r="83" spans="1:12" ht="34.950000000000003" customHeight="1">
      <c r="A83" s="138"/>
      <c r="B83" s="141"/>
      <c r="C83" s="4" t="s">
        <v>22</v>
      </c>
      <c r="D83" s="4" t="s">
        <v>23</v>
      </c>
      <c r="E83" s="27">
        <v>2</v>
      </c>
      <c r="F83" s="143"/>
      <c r="G83" s="29" t="s">
        <v>142</v>
      </c>
      <c r="H83" s="29" t="s">
        <v>92</v>
      </c>
      <c r="I83" s="4" t="s">
        <v>7</v>
      </c>
      <c r="J83" s="4" t="s">
        <v>0</v>
      </c>
      <c r="K83" s="4" t="s">
        <v>33</v>
      </c>
      <c r="L83" s="143"/>
    </row>
    <row r="84" spans="1:12" ht="34.950000000000003" customHeight="1">
      <c r="A84" s="136">
        <v>51</v>
      </c>
      <c r="B84" s="139" t="s">
        <v>228</v>
      </c>
      <c r="C84" s="5" t="s">
        <v>37</v>
      </c>
      <c r="D84" s="4" t="s">
        <v>31</v>
      </c>
      <c r="E84" s="27">
        <v>1</v>
      </c>
      <c r="F84" s="143"/>
      <c r="G84" s="29" t="s">
        <v>138</v>
      </c>
      <c r="H84" s="29" t="s">
        <v>92</v>
      </c>
      <c r="I84" s="4" t="s">
        <v>7</v>
      </c>
      <c r="J84" s="4" t="s">
        <v>0</v>
      </c>
      <c r="K84" s="4" t="s">
        <v>33</v>
      </c>
      <c r="L84" s="143"/>
    </row>
    <row r="85" spans="1:12" ht="34.950000000000003" customHeight="1">
      <c r="A85" s="137"/>
      <c r="B85" s="140"/>
      <c r="C85" s="4" t="s">
        <v>22</v>
      </c>
      <c r="D85" s="4" t="s">
        <v>23</v>
      </c>
      <c r="E85" s="27">
        <v>2</v>
      </c>
      <c r="F85" s="143"/>
      <c r="G85" s="29" t="s">
        <v>142</v>
      </c>
      <c r="H85" s="29" t="s">
        <v>92</v>
      </c>
      <c r="I85" s="4" t="s">
        <v>7</v>
      </c>
      <c r="J85" s="4" t="s">
        <v>0</v>
      </c>
      <c r="K85" s="4" t="s">
        <v>33</v>
      </c>
      <c r="L85" s="143"/>
    </row>
    <row r="86" spans="1:12" ht="34.950000000000003" customHeight="1">
      <c r="A86" s="138"/>
      <c r="B86" s="141"/>
      <c r="C86" s="5" t="s">
        <v>100</v>
      </c>
      <c r="D86" s="4" t="s">
        <v>31</v>
      </c>
      <c r="E86" s="27">
        <v>3</v>
      </c>
      <c r="F86" s="143"/>
      <c r="G86" s="29" t="s">
        <v>139</v>
      </c>
      <c r="H86" s="29" t="s">
        <v>92</v>
      </c>
      <c r="I86" s="4" t="s">
        <v>7</v>
      </c>
      <c r="J86" s="4" t="s">
        <v>0</v>
      </c>
      <c r="K86" s="4" t="s">
        <v>33</v>
      </c>
      <c r="L86" s="143"/>
    </row>
    <row r="87" spans="1:12" ht="34.950000000000003" customHeight="1">
      <c r="A87" s="136">
        <v>52</v>
      </c>
      <c r="B87" s="139" t="s">
        <v>229</v>
      </c>
      <c r="C87" s="5" t="s">
        <v>37</v>
      </c>
      <c r="D87" s="4" t="s">
        <v>31</v>
      </c>
      <c r="E87" s="27">
        <v>1</v>
      </c>
      <c r="F87" s="143"/>
      <c r="G87" s="29" t="s">
        <v>138</v>
      </c>
      <c r="H87" s="29" t="s">
        <v>92</v>
      </c>
      <c r="I87" s="4" t="s">
        <v>7</v>
      </c>
      <c r="J87" s="4" t="s">
        <v>0</v>
      </c>
      <c r="K87" s="4" t="s">
        <v>33</v>
      </c>
      <c r="L87" s="143"/>
    </row>
    <row r="88" spans="1:12" ht="34.950000000000003" customHeight="1">
      <c r="A88" s="137"/>
      <c r="B88" s="140"/>
      <c r="C88" s="4" t="s">
        <v>22</v>
      </c>
      <c r="D88" s="4" t="s">
        <v>23</v>
      </c>
      <c r="E88" s="27">
        <v>2</v>
      </c>
      <c r="F88" s="143"/>
      <c r="G88" s="29" t="s">
        <v>142</v>
      </c>
      <c r="H88" s="29" t="s">
        <v>92</v>
      </c>
      <c r="I88" s="4" t="s">
        <v>7</v>
      </c>
      <c r="J88" s="4" t="s">
        <v>0</v>
      </c>
      <c r="K88" s="4" t="s">
        <v>33</v>
      </c>
      <c r="L88" s="143"/>
    </row>
    <row r="89" spans="1:12" ht="34.950000000000003" customHeight="1">
      <c r="A89" s="138"/>
      <c r="B89" s="141"/>
      <c r="C89" s="5" t="s">
        <v>100</v>
      </c>
      <c r="D89" s="4" t="s">
        <v>31</v>
      </c>
      <c r="E89" s="27">
        <v>3</v>
      </c>
      <c r="F89" s="144"/>
      <c r="G89" s="29" t="s">
        <v>139</v>
      </c>
      <c r="H89" s="29" t="s">
        <v>92</v>
      </c>
      <c r="I89" s="4" t="s">
        <v>125</v>
      </c>
      <c r="J89" s="5" t="s">
        <v>99</v>
      </c>
      <c r="K89" s="4" t="s">
        <v>207</v>
      </c>
      <c r="L89" s="144"/>
    </row>
    <row r="90" spans="1:12" ht="34.950000000000003" customHeight="1">
      <c r="A90" s="4"/>
      <c r="B90" s="5"/>
      <c r="C90" s="4"/>
      <c r="D90" s="4"/>
      <c r="E90" s="27"/>
      <c r="F90" s="4"/>
      <c r="G90" s="4"/>
      <c r="H90" s="4"/>
      <c r="I90" s="7"/>
      <c r="J90" s="7"/>
      <c r="K90" s="7"/>
      <c r="L90" s="7"/>
    </row>
    <row r="91" spans="1:12" ht="34.950000000000003" customHeight="1"/>
    <row r="92" spans="1:12" ht="34.950000000000003" customHeight="1"/>
    <row r="93" spans="1:12" ht="34.950000000000003" customHeight="1"/>
  </sheetData>
  <autoFilter ref="A3:L89" xr:uid="{00000000-0001-0000-0000-000000000000}"/>
  <mergeCells count="63">
    <mergeCell ref="F2:H2"/>
    <mergeCell ref="A62:A63"/>
    <mergeCell ref="A2:A3"/>
    <mergeCell ref="B2:B3"/>
    <mergeCell ref="I2:L2"/>
    <mergeCell ref="A8:A9"/>
    <mergeCell ref="B8:B9"/>
    <mergeCell ref="A10:A11"/>
    <mergeCell ref="B10:B11"/>
    <mergeCell ref="A16:A17"/>
    <mergeCell ref="B16:B17"/>
    <mergeCell ref="A18:A19"/>
    <mergeCell ref="B18:B19"/>
    <mergeCell ref="C2:C3"/>
    <mergeCell ref="D2:D3"/>
    <mergeCell ref="E2:E3"/>
    <mergeCell ref="F4:F29"/>
    <mergeCell ref="L4:L29"/>
    <mergeCell ref="A38:A39"/>
    <mergeCell ref="B38:B39"/>
    <mergeCell ref="B24:B26"/>
    <mergeCell ref="A24:A26"/>
    <mergeCell ref="A27:A29"/>
    <mergeCell ref="B27:B29"/>
    <mergeCell ref="A20:A21"/>
    <mergeCell ref="B20:B21"/>
    <mergeCell ref="A22:A23"/>
    <mergeCell ref="B22:B23"/>
    <mergeCell ref="L30:L51"/>
    <mergeCell ref="A46:A48"/>
    <mergeCell ref="B46:B48"/>
    <mergeCell ref="A49:A51"/>
    <mergeCell ref="F30:F51"/>
    <mergeCell ref="B62:B63"/>
    <mergeCell ref="A66:A67"/>
    <mergeCell ref="B66:B67"/>
    <mergeCell ref="A68:A69"/>
    <mergeCell ref="B68:B69"/>
    <mergeCell ref="A64:A65"/>
    <mergeCell ref="B64:B65"/>
    <mergeCell ref="B49:B51"/>
    <mergeCell ref="B40:B42"/>
    <mergeCell ref="A40:A42"/>
    <mergeCell ref="A60:A61"/>
    <mergeCell ref="B60:B61"/>
    <mergeCell ref="A43:A45"/>
    <mergeCell ref="B43:B45"/>
    <mergeCell ref="A87:A89"/>
    <mergeCell ref="B87:B89"/>
    <mergeCell ref="F52:F77"/>
    <mergeCell ref="L52:L77"/>
    <mergeCell ref="F78:F89"/>
    <mergeCell ref="L78:L89"/>
    <mergeCell ref="A75:A77"/>
    <mergeCell ref="B75:B77"/>
    <mergeCell ref="A82:A83"/>
    <mergeCell ref="B82:B83"/>
    <mergeCell ref="B84:B86"/>
    <mergeCell ref="A84:A86"/>
    <mergeCell ref="A70:A71"/>
    <mergeCell ref="B70:B71"/>
    <mergeCell ref="B72:B74"/>
    <mergeCell ref="A72:A74"/>
  </mergeCells>
  <phoneticPr fontId="12"/>
  <pageMargins left="0.7" right="0.7" top="0.75" bottom="0.75" header="0.3" footer="0.3"/>
  <pageSetup paperSize="9" scale="14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18E0-FFAD-41AA-A041-5D0E9616FF1D}">
  <sheetPr codeName="Sheet3"/>
  <dimension ref="A1:F18"/>
  <sheetViews>
    <sheetView view="pageBreakPreview" zoomScale="70" zoomScaleNormal="100" zoomScaleSheetLayoutView="70" workbookViewId="0">
      <selection activeCell="F8" sqref="F8"/>
    </sheetView>
  </sheetViews>
  <sheetFormatPr defaultColWidth="8.69921875" defaultRowHeight="18"/>
  <cols>
    <col min="1" max="1" width="11" style="9" bestFit="1" customWidth="1"/>
    <col min="2" max="2" width="20.296875" style="9" customWidth="1"/>
    <col min="3" max="3" width="19.69921875" style="9" customWidth="1"/>
    <col min="4" max="4" width="12.796875" style="9" customWidth="1"/>
    <col min="5" max="5" width="12.69921875" style="9" customWidth="1"/>
    <col min="6" max="6" width="56" style="9" customWidth="1"/>
    <col min="7" max="16384" width="8.69921875" style="9"/>
  </cols>
  <sheetData>
    <row r="1" spans="1:6">
      <c r="A1" s="156" t="s">
        <v>90</v>
      </c>
      <c r="B1" s="157"/>
      <c r="C1" s="51" t="s">
        <v>235</v>
      </c>
      <c r="D1" s="34" t="s">
        <v>117</v>
      </c>
      <c r="E1" s="34" t="s">
        <v>118</v>
      </c>
      <c r="F1" s="8" t="s">
        <v>11</v>
      </c>
    </row>
    <row r="2" spans="1:6">
      <c r="A2" s="158" t="s">
        <v>12</v>
      </c>
      <c r="B2" s="10"/>
      <c r="C2" s="10"/>
      <c r="D2" s="35"/>
      <c r="E2" s="35"/>
      <c r="F2" s="10"/>
    </row>
    <row r="3" spans="1:6">
      <c r="A3" s="158"/>
      <c r="B3" s="11" t="s">
        <v>3</v>
      </c>
      <c r="C3" s="16" t="s">
        <v>236</v>
      </c>
      <c r="D3" s="37" t="s">
        <v>119</v>
      </c>
      <c r="E3" s="37" t="s">
        <v>119</v>
      </c>
      <c r="F3" s="12" t="s">
        <v>234</v>
      </c>
    </row>
    <row r="4" spans="1:6">
      <c r="A4" s="158"/>
      <c r="B4" s="10" t="s">
        <v>13</v>
      </c>
      <c r="C4" s="16" t="s">
        <v>237</v>
      </c>
      <c r="D4" s="37" t="s">
        <v>119</v>
      </c>
      <c r="E4" s="37" t="s">
        <v>119</v>
      </c>
      <c r="F4" s="14" t="str">
        <f t="shared" ref="F4:F12" si="0">"リクエスト「"&amp;B4&amp;"」の値を設定"</f>
        <v>リクエスト「企業ＩＤ」の値を設定</v>
      </c>
    </row>
    <row r="5" spans="1:6">
      <c r="A5" s="158"/>
      <c r="B5" s="13" t="s">
        <v>14</v>
      </c>
      <c r="C5" s="16" t="s">
        <v>238</v>
      </c>
      <c r="D5" s="37" t="s">
        <v>119</v>
      </c>
      <c r="E5" s="37" t="s">
        <v>119</v>
      </c>
      <c r="F5" s="14" t="str">
        <f t="shared" si="0"/>
        <v>リクエスト「店　番」の値を設定</v>
      </c>
    </row>
    <row r="6" spans="1:6">
      <c r="A6" s="158"/>
      <c r="B6" s="13" t="s">
        <v>16</v>
      </c>
      <c r="C6" s="16" t="s">
        <v>239</v>
      </c>
      <c r="D6" s="37" t="s">
        <v>119</v>
      </c>
      <c r="E6" s="37" t="s">
        <v>119</v>
      </c>
      <c r="F6" s="14" t="str">
        <f t="shared" si="0"/>
        <v>リクエスト「レジ　No.」の値を設定</v>
      </c>
    </row>
    <row r="7" spans="1:6">
      <c r="A7" s="158"/>
      <c r="B7" s="13" t="s">
        <v>76</v>
      </c>
      <c r="C7" s="16" t="s">
        <v>240</v>
      </c>
      <c r="D7" s="37" t="s">
        <v>119</v>
      </c>
      <c r="E7" s="37" t="s">
        <v>119</v>
      </c>
      <c r="F7" s="14" t="str">
        <f t="shared" si="0"/>
        <v>リクエスト「発券レジNo」の値を設定</v>
      </c>
    </row>
    <row r="8" spans="1:6">
      <c r="A8" s="158"/>
      <c r="B8" s="13" t="s">
        <v>17</v>
      </c>
      <c r="C8" s="16" t="s">
        <v>241</v>
      </c>
      <c r="D8" s="37" t="s">
        <v>119</v>
      </c>
      <c r="E8" s="37" t="s">
        <v>119</v>
      </c>
      <c r="F8" s="14" t="str">
        <f t="shared" si="0"/>
        <v>リクエスト「利用年月日時分秒」の値を設定</v>
      </c>
    </row>
    <row r="9" spans="1:6">
      <c r="A9" s="158"/>
      <c r="B9" s="13" t="s">
        <v>18</v>
      </c>
      <c r="C9" s="16" t="s">
        <v>242</v>
      </c>
      <c r="D9" s="37" t="s">
        <v>119</v>
      </c>
      <c r="E9" s="37" t="s">
        <v>119</v>
      </c>
      <c r="F9" s="14" t="str">
        <f t="shared" si="0"/>
        <v>リクエスト「処理通番」の値を設定</v>
      </c>
    </row>
    <row r="10" spans="1:6">
      <c r="A10" s="158"/>
      <c r="B10" s="13" t="s">
        <v>19</v>
      </c>
      <c r="C10" s="16" t="s">
        <v>243</v>
      </c>
      <c r="D10" s="37" t="s">
        <v>119</v>
      </c>
      <c r="E10" s="37" t="s">
        <v>119</v>
      </c>
      <c r="F10" s="14" t="str">
        <f t="shared" si="0"/>
        <v>リクエスト「再送区分」の値を設定</v>
      </c>
    </row>
    <row r="11" spans="1:6">
      <c r="A11" s="158"/>
      <c r="B11" s="13" t="s">
        <v>20</v>
      </c>
      <c r="C11" s="16" t="s">
        <v>244</v>
      </c>
      <c r="D11" s="37" t="s">
        <v>119</v>
      </c>
      <c r="E11" s="37" t="s">
        <v>119</v>
      </c>
      <c r="F11" s="14" t="str">
        <f t="shared" si="0"/>
        <v>リクエスト「要求区分」の値を設定</v>
      </c>
    </row>
    <row r="12" spans="1:6">
      <c r="A12" s="158"/>
      <c r="B12" s="13" t="s">
        <v>10</v>
      </c>
      <c r="C12" s="16" t="s">
        <v>245</v>
      </c>
      <c r="D12" s="37" t="s">
        <v>119</v>
      </c>
      <c r="E12" s="37" t="s">
        <v>119</v>
      </c>
      <c r="F12" s="14" t="str">
        <f t="shared" si="0"/>
        <v>リクエスト「バーコード情報」の値を設定</v>
      </c>
    </row>
    <row r="13" spans="1:6">
      <c r="A13" s="158"/>
      <c r="B13" s="11" t="s">
        <v>291</v>
      </c>
      <c r="C13" s="16" t="s">
        <v>292</v>
      </c>
      <c r="D13" s="37" t="s">
        <v>119</v>
      </c>
      <c r="E13" s="37" t="s">
        <v>119</v>
      </c>
      <c r="F13" s="12" t="s">
        <v>234</v>
      </c>
    </row>
    <row r="14" spans="1:6" ht="72">
      <c r="A14" s="158"/>
      <c r="B14" s="16" t="s">
        <v>54</v>
      </c>
      <c r="C14" s="16" t="s">
        <v>350</v>
      </c>
      <c r="D14" s="37" t="s">
        <v>119</v>
      </c>
      <c r="E14" s="37" t="s">
        <v>119</v>
      </c>
      <c r="F14" s="23" t="s">
        <v>389</v>
      </c>
    </row>
    <row r="15" spans="1:6">
      <c r="A15" s="158"/>
      <c r="B15" s="11" t="s">
        <v>61</v>
      </c>
      <c r="C15" s="16" t="s">
        <v>248</v>
      </c>
      <c r="D15" s="37" t="s">
        <v>119</v>
      </c>
      <c r="E15" s="37" t="s">
        <v>119</v>
      </c>
      <c r="F15" s="12" t="s">
        <v>234</v>
      </c>
    </row>
    <row r="16" spans="1:6">
      <c r="A16" s="158"/>
      <c r="B16" s="16" t="s">
        <v>84</v>
      </c>
      <c r="C16" s="16" t="s">
        <v>249</v>
      </c>
      <c r="D16" s="37" t="s">
        <v>119</v>
      </c>
      <c r="E16" s="37" t="s">
        <v>119</v>
      </c>
      <c r="F16" s="14" t="s">
        <v>387</v>
      </c>
    </row>
    <row r="17" spans="1:6">
      <c r="A17" s="158"/>
      <c r="B17" s="11" t="s">
        <v>85</v>
      </c>
      <c r="C17" s="16" t="s">
        <v>250</v>
      </c>
      <c r="D17" s="37" t="s">
        <v>119</v>
      </c>
      <c r="E17" s="37" t="s">
        <v>119</v>
      </c>
      <c r="F17" s="12" t="s">
        <v>234</v>
      </c>
    </row>
    <row r="18" spans="1:6">
      <c r="A18" s="158"/>
      <c r="B18" s="11" t="s">
        <v>79</v>
      </c>
      <c r="C18" s="16" t="s">
        <v>251</v>
      </c>
      <c r="D18" s="37" t="s">
        <v>119</v>
      </c>
      <c r="E18" s="37" t="s">
        <v>119</v>
      </c>
      <c r="F18" s="12" t="s">
        <v>234</v>
      </c>
    </row>
  </sheetData>
  <mergeCells count="2">
    <mergeCell ref="A1:B1"/>
    <mergeCell ref="A2:A18"/>
  </mergeCells>
  <phoneticPr fontId="12"/>
  <pageMargins left="0.7" right="0.7" top="0.75" bottom="0.75" header="0.3" footer="0.3"/>
  <pageSetup paperSize="9"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7164-1F7F-4DC8-B065-61423C9570EC}">
  <sheetPr codeName="Sheet1"/>
  <dimension ref="A1:AJ53"/>
  <sheetViews>
    <sheetView view="pageBreakPreview" zoomScale="60" zoomScaleNormal="70" workbookViewId="0">
      <pane xSplit="1" topLeftCell="B1" activePane="topRight" state="frozen"/>
      <selection sqref="A1:C1"/>
      <selection pane="topRight" activeCell="H10" sqref="H10"/>
    </sheetView>
  </sheetViews>
  <sheetFormatPr defaultColWidth="8.69921875" defaultRowHeight="18"/>
  <cols>
    <col min="1" max="1" width="28.59765625" style="9" customWidth="1"/>
    <col min="2" max="2" width="46.09765625" style="9" customWidth="1"/>
    <col min="3" max="3" width="27.8984375" style="9" customWidth="1"/>
    <col min="4" max="4" width="21.8984375" style="9" customWidth="1"/>
    <col min="5" max="5" width="19.59765625" style="9" customWidth="1"/>
    <col min="6" max="6" width="29.5" style="9" customWidth="1"/>
    <col min="7" max="7" width="32.3984375" style="9" customWidth="1"/>
    <col min="8" max="8" width="27.8984375" style="9" customWidth="1"/>
    <col min="9" max="9" width="22.3984375" style="9" customWidth="1"/>
    <col min="10" max="10" width="34" style="9" customWidth="1"/>
    <col min="11" max="11" width="16.69921875" style="9" customWidth="1"/>
    <col min="12" max="12" width="14.69921875" style="9" customWidth="1"/>
    <col min="13" max="16384" width="8.69921875" style="9"/>
  </cols>
  <sheetData>
    <row r="1" spans="1:12" ht="34.799999999999997" customHeight="1">
      <c r="A1" s="161" t="s">
        <v>116</v>
      </c>
      <c r="B1" s="160" t="str">
        <f xml:space="preserve"> "レスポンスパターン" &amp; "（" &amp; SUM(B20:K20) &amp; "ビット）"</f>
        <v>レスポンスパターン（26ビット）</v>
      </c>
      <c r="C1" s="160"/>
      <c r="D1" s="160"/>
      <c r="E1" s="160"/>
      <c r="F1" s="160"/>
      <c r="G1" s="160"/>
      <c r="H1" s="160"/>
      <c r="I1" s="160"/>
      <c r="J1" s="160"/>
      <c r="K1" s="160"/>
      <c r="L1" s="161" t="s">
        <v>307</v>
      </c>
    </row>
    <row r="2" spans="1:12" ht="33.6" customHeight="1">
      <c r="A2" s="161"/>
      <c r="B2" s="162" t="str">
        <f xml:space="preserve"> "購入のレスポンス" &amp; "（" &amp; SUM(B20:F20) &amp; "ビット）"</f>
        <v>購入のレスポンス（14ビット）</v>
      </c>
      <c r="C2" s="162"/>
      <c r="D2" s="162"/>
      <c r="E2" s="162"/>
      <c r="F2" s="162"/>
      <c r="G2" s="162" t="str">
        <f xml:space="preserve"> "購入取消のレスポンス" &amp; "（" &amp; SUM(G20:K20) &amp; "ビット）"</f>
        <v>購入取消のレスポンス（12ビット）</v>
      </c>
      <c r="H2" s="162"/>
      <c r="I2" s="162"/>
      <c r="J2" s="162"/>
      <c r="K2" s="162"/>
      <c r="L2" s="161"/>
    </row>
    <row r="3" spans="1:12" ht="36">
      <c r="A3" s="161"/>
      <c r="B3" s="15" t="str">
        <f xml:space="preserve"> "処理結果" &amp; CHAR(10) &amp; "（" &amp; B20 &amp; "ビット）"</f>
        <v>処理結果
（3ビット）</v>
      </c>
      <c r="C3" s="15" t="str">
        <f xml:space="preserve"> "応答結果" &amp; CHAR(10) &amp; "（" &amp; C20 &amp; "ビット）"</f>
        <v>応答結果
（4ビット）</v>
      </c>
      <c r="D3" s="15" t="str">
        <f xml:space="preserve"> "チケット代金" &amp; CHAR(10) &amp; "（" &amp; D20 &amp; "ビット）"</f>
        <v>チケット代金
（3ビット）</v>
      </c>
      <c r="E3" s="15" t="str">
        <f xml:space="preserve"> "チケット枚数" &amp; CHAR(10) &amp; "（" &amp; E20 &amp; "ビット）"</f>
        <v>チケット枚数
（3ビット）</v>
      </c>
      <c r="F3" s="15" t="str">
        <f xml:space="preserve"> "レスポンスパターン（再送用）" &amp; CHAR(10) &amp; "（" &amp; F20 &amp; "ビット）"</f>
        <v>レスポンスパターン（再送用）
（1ビット）</v>
      </c>
      <c r="G3" s="15" t="str">
        <f xml:space="preserve"> "処理結果" &amp; CHAR(10) &amp; "（" &amp; G20 &amp; "ビット）"</f>
        <v>処理結果
（3ビット）</v>
      </c>
      <c r="H3" s="15" t="str">
        <f xml:space="preserve"> "応答結果" &amp; CHAR(10) &amp; "（" &amp; H20 &amp; "ビット）"</f>
        <v>応答結果
（3ビット）</v>
      </c>
      <c r="I3" s="15" t="str">
        <f xml:space="preserve"> "チケット代金" &amp; CHAR(10) &amp; "（" &amp; I20 &amp; "ビット）"</f>
        <v>チケット代金
（3ビット）</v>
      </c>
      <c r="J3" s="15" t="str">
        <f xml:space="preserve"> "レスポンスパターン（再送用）" &amp; CHAR(10) &amp; "（" &amp; J20 &amp; "ビット）"</f>
        <v>レスポンスパターン（再送用）
（1ビット）</v>
      </c>
      <c r="K3" s="15" t="str">
        <f xml:space="preserve"> "ショップID" &amp; CHAR(10) &amp; "（" &amp; K20 &amp; "ビット）"</f>
        <v>ショップID
（2ビット）</v>
      </c>
      <c r="L3" s="161"/>
    </row>
    <row r="4" spans="1:12">
      <c r="A4" s="19">
        <v>0</v>
      </c>
      <c r="B4" s="14" t="s">
        <v>0</v>
      </c>
      <c r="C4" s="14" t="s">
        <v>33</v>
      </c>
      <c r="D4" s="21" t="s">
        <v>120</v>
      </c>
      <c r="E4" s="38">
        <v>0</v>
      </c>
      <c r="F4" s="14" t="s">
        <v>321</v>
      </c>
      <c r="G4" s="14" t="s">
        <v>0</v>
      </c>
      <c r="H4" s="14" t="s">
        <v>33</v>
      </c>
      <c r="I4" s="21" t="s">
        <v>120</v>
      </c>
      <c r="J4" s="14" t="s">
        <v>321</v>
      </c>
      <c r="K4" s="65" t="s">
        <v>293</v>
      </c>
      <c r="L4" s="88">
        <v>0</v>
      </c>
    </row>
    <row r="5" spans="1:12">
      <c r="A5" s="19">
        <v>1</v>
      </c>
      <c r="B5" s="14" t="s">
        <v>2</v>
      </c>
      <c r="C5" s="14" t="s">
        <v>25</v>
      </c>
      <c r="D5" s="21" t="s">
        <v>271</v>
      </c>
      <c r="E5" s="38">
        <v>1</v>
      </c>
      <c r="F5" s="14" t="s">
        <v>322</v>
      </c>
      <c r="G5" s="14" t="s">
        <v>63</v>
      </c>
      <c r="H5" s="14" t="s">
        <v>40</v>
      </c>
      <c r="I5" s="21" t="s">
        <v>271</v>
      </c>
      <c r="J5" s="14" t="s">
        <v>322</v>
      </c>
      <c r="K5" s="65" t="s">
        <v>294</v>
      </c>
      <c r="L5" s="22">
        <v>1</v>
      </c>
    </row>
    <row r="6" spans="1:12">
      <c r="A6" s="19">
        <v>10</v>
      </c>
      <c r="B6" s="14" t="s">
        <v>63</v>
      </c>
      <c r="C6" s="14" t="s">
        <v>34</v>
      </c>
      <c r="D6" s="21" t="s">
        <v>358</v>
      </c>
      <c r="E6" s="38">
        <v>2</v>
      </c>
      <c r="F6" s="22"/>
      <c r="G6" s="14" t="s">
        <v>101</v>
      </c>
      <c r="H6" s="14" t="s">
        <v>41</v>
      </c>
      <c r="I6" s="21" t="s">
        <v>358</v>
      </c>
      <c r="J6" s="22"/>
      <c r="K6" s="103" t="s">
        <v>329</v>
      </c>
      <c r="L6" s="22">
        <v>2</v>
      </c>
    </row>
    <row r="7" spans="1:12">
      <c r="A7" s="19">
        <v>11</v>
      </c>
      <c r="B7" s="14" t="s">
        <v>101</v>
      </c>
      <c r="C7" s="14" t="s">
        <v>35</v>
      </c>
      <c r="D7" s="21" t="s">
        <v>121</v>
      </c>
      <c r="E7" s="38">
        <v>3</v>
      </c>
      <c r="F7" s="22"/>
      <c r="G7" s="14" t="s">
        <v>102</v>
      </c>
      <c r="H7" s="14" t="s">
        <v>42</v>
      </c>
      <c r="I7" s="21" t="s">
        <v>121</v>
      </c>
      <c r="J7" s="22"/>
      <c r="K7" s="102" t="s">
        <v>295</v>
      </c>
      <c r="L7" s="22">
        <v>3</v>
      </c>
    </row>
    <row r="8" spans="1:12">
      <c r="A8" s="19">
        <v>100</v>
      </c>
      <c r="B8" s="14" t="s">
        <v>268</v>
      </c>
      <c r="C8" s="14" t="s">
        <v>50</v>
      </c>
      <c r="D8" s="135" t="s">
        <v>391</v>
      </c>
      <c r="E8" s="38">
        <v>4</v>
      </c>
      <c r="F8" s="22"/>
      <c r="G8" s="14" t="s">
        <v>318</v>
      </c>
      <c r="H8" s="14" t="s">
        <v>28</v>
      </c>
      <c r="I8" s="135" t="s">
        <v>391</v>
      </c>
      <c r="J8" s="22"/>
      <c r="K8" s="22"/>
      <c r="L8" s="22"/>
    </row>
    <row r="9" spans="1:12">
      <c r="A9" s="19">
        <v>101</v>
      </c>
      <c r="B9" s="14" t="s">
        <v>318</v>
      </c>
      <c r="C9" s="14" t="s">
        <v>41</v>
      </c>
      <c r="D9" s="135" t="s">
        <v>392</v>
      </c>
      <c r="E9" s="38">
        <v>5</v>
      </c>
      <c r="F9" s="22"/>
      <c r="G9" s="14" t="s">
        <v>317</v>
      </c>
      <c r="H9" s="14" t="s">
        <v>1</v>
      </c>
      <c r="I9" s="135" t="s">
        <v>392</v>
      </c>
      <c r="J9" s="22"/>
      <c r="K9" s="22"/>
      <c r="L9" s="22"/>
    </row>
    <row r="10" spans="1:12">
      <c r="A10" s="19">
        <v>110</v>
      </c>
      <c r="B10" s="14" t="s">
        <v>317</v>
      </c>
      <c r="C10" s="14" t="s">
        <v>42</v>
      </c>
      <c r="D10" s="22"/>
      <c r="E10" s="22"/>
      <c r="F10" s="22"/>
      <c r="G10" s="22"/>
      <c r="H10" s="173" t="s">
        <v>25</v>
      </c>
      <c r="I10" s="22"/>
      <c r="J10" s="22"/>
      <c r="K10" s="22"/>
      <c r="L10" s="22"/>
    </row>
    <row r="11" spans="1:12">
      <c r="A11" s="19">
        <v>111</v>
      </c>
      <c r="B11" s="22"/>
      <c r="C11" s="14" t="s">
        <v>28</v>
      </c>
      <c r="D11" s="22"/>
      <c r="E11" s="22"/>
      <c r="F11" s="22"/>
      <c r="G11" s="22"/>
      <c r="H11" s="22"/>
      <c r="I11" s="22"/>
      <c r="J11" s="22"/>
      <c r="K11" s="22"/>
      <c r="L11" s="22"/>
    </row>
    <row r="12" spans="1:12">
      <c r="A12" s="19">
        <v>1000</v>
      </c>
      <c r="B12" s="22"/>
      <c r="C12" s="14" t="s">
        <v>1</v>
      </c>
      <c r="D12" s="22"/>
      <c r="E12" s="22"/>
      <c r="F12" s="22"/>
      <c r="G12" s="22"/>
      <c r="H12" s="22"/>
      <c r="I12" s="22"/>
      <c r="J12" s="22"/>
      <c r="K12" s="22"/>
      <c r="L12" s="22"/>
    </row>
    <row r="13" spans="1:12">
      <c r="A13" s="78">
        <v>1001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2" hidden="1">
      <c r="A14" s="78">
        <v>1010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hidden="1">
      <c r="A15" s="78">
        <v>1011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 hidden="1">
      <c r="A16" s="78">
        <v>1100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 hidden="1">
      <c r="A17" s="78">
        <v>1101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 hidden="1">
      <c r="A18" s="78">
        <v>1110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 hidden="1">
      <c r="A19" s="78">
        <v>1111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>
      <c r="A20" s="18"/>
      <c r="B20" s="18">
        <v>3</v>
      </c>
      <c r="C20" s="18">
        <v>4</v>
      </c>
      <c r="D20" s="134">
        <v>3</v>
      </c>
      <c r="E20" s="18">
        <v>3</v>
      </c>
      <c r="F20" s="18">
        <v>1</v>
      </c>
      <c r="G20" s="18">
        <v>3</v>
      </c>
      <c r="H20" s="18">
        <v>3</v>
      </c>
      <c r="I20" s="18">
        <v>3</v>
      </c>
      <c r="J20" s="18">
        <v>1</v>
      </c>
      <c r="K20" s="18">
        <v>2</v>
      </c>
      <c r="L20" s="18">
        <v>2</v>
      </c>
    </row>
    <row r="21" spans="1:12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1:12" ht="44.4" customHeight="1">
      <c r="A22" s="77" t="s">
        <v>300</v>
      </c>
      <c r="B22" s="80" t="s">
        <v>299</v>
      </c>
      <c r="C22" s="80" t="s">
        <v>305</v>
      </c>
      <c r="D22" s="80" t="s">
        <v>366</v>
      </c>
      <c r="E22" s="80">
        <v>1</v>
      </c>
      <c r="F22" s="80" t="s">
        <v>321</v>
      </c>
      <c r="G22" s="80" t="s">
        <v>393</v>
      </c>
      <c r="H22" s="80" t="s">
        <v>305</v>
      </c>
      <c r="I22" s="80" t="s">
        <v>366</v>
      </c>
      <c r="J22" s="80" t="s">
        <v>321</v>
      </c>
      <c r="K22" s="80" t="s">
        <v>394</v>
      </c>
      <c r="L22" s="76">
        <v>0</v>
      </c>
    </row>
    <row r="23" spans="1:12" ht="43.8" customHeight="1">
      <c r="A23" s="84" t="s">
        <v>304</v>
      </c>
      <c r="B23" s="72"/>
      <c r="C23" s="72"/>
      <c r="D23" s="73"/>
      <c r="E23" s="73"/>
      <c r="F23" s="73"/>
      <c r="G23" s="73"/>
      <c r="H23" s="73"/>
      <c r="I23" s="73"/>
      <c r="J23" s="73"/>
      <c r="K23" s="73"/>
      <c r="L23" s="76" t="s">
        <v>362</v>
      </c>
    </row>
    <row r="24" spans="1:12" ht="24.6" customHeight="1">
      <c r="A24" s="66" t="s">
        <v>296</v>
      </c>
      <c r="B24" s="79" t="str">
        <f>IF(AND(B26&lt;&gt;"",B26&gt;(COUNTA(B4:B19)-1)),"選択された項目が不正",IF(AND(B23&lt;&gt;"",BIN2DEC(B23)&gt;(COUNTA(B4:B19)-1)),"２進数値がオーバー",IF(AND(B23&lt;&gt;"",B26&lt;&gt;"",BIN2DEC(B23)&lt;&gt;B26),"両方入力したが不一致",IF(AND(B23="", B26=""),"未入力","OK"))))</f>
        <v>OK</v>
      </c>
      <c r="C24" s="79" t="str">
        <f t="shared" ref="C24:L24" si="0">IF(AND(C26&lt;&gt;"",C26&gt;(COUNTA(C4:C19)-1)),"選択された項目が不正",IF(AND(C23&lt;&gt;"",BIN2DEC(C23)&gt;(COUNTA(C4:C19)-1)),"２進数値がオーバー",IF(AND(C23&lt;&gt;"",C26&lt;&gt;"",BIN2DEC(C23)&lt;&gt;C26),"両方入力したが不一致",IF(AND(C23="", C26=""),"未入力","OK"))))</f>
        <v>OK</v>
      </c>
      <c r="D24" s="79" t="str">
        <f t="shared" si="0"/>
        <v>OK</v>
      </c>
      <c r="E24" s="79" t="str">
        <f t="shared" si="0"/>
        <v>OK</v>
      </c>
      <c r="F24" s="79" t="str">
        <f t="shared" si="0"/>
        <v>OK</v>
      </c>
      <c r="G24" s="79" t="str">
        <f t="shared" si="0"/>
        <v>OK</v>
      </c>
      <c r="H24" s="79" t="str">
        <f t="shared" si="0"/>
        <v>OK</v>
      </c>
      <c r="I24" s="79" t="str">
        <f t="shared" si="0"/>
        <v>OK</v>
      </c>
      <c r="J24" s="79" t="str">
        <f t="shared" si="0"/>
        <v>OK</v>
      </c>
      <c r="K24" s="79" t="str">
        <f t="shared" si="0"/>
        <v>OK</v>
      </c>
      <c r="L24" s="79" t="str">
        <f t="shared" si="0"/>
        <v>OK</v>
      </c>
    </row>
    <row r="25" spans="1:12">
      <c r="A25" s="83" t="s">
        <v>309</v>
      </c>
    </row>
    <row r="26" spans="1:12">
      <c r="A26" s="74" t="s">
        <v>306</v>
      </c>
      <c r="B26" s="18">
        <f>IF(B22="","",MATCH(B22,B4:B19,0)-1)</f>
        <v>0</v>
      </c>
      <c r="C26" s="18">
        <f t="shared" ref="C26:K26" si="1">IF(C22="","",MATCH(C22,C4:C19,0)-1)</f>
        <v>0</v>
      </c>
      <c r="D26" s="18">
        <f t="shared" si="1"/>
        <v>1</v>
      </c>
      <c r="E26" s="18">
        <f t="shared" si="1"/>
        <v>1</v>
      </c>
      <c r="F26" s="18">
        <f t="shared" si="1"/>
        <v>0</v>
      </c>
      <c r="G26" s="18">
        <f t="shared" si="1"/>
        <v>1</v>
      </c>
      <c r="H26" s="18">
        <f t="shared" si="1"/>
        <v>0</v>
      </c>
      <c r="I26" s="18">
        <f t="shared" si="1"/>
        <v>1</v>
      </c>
      <c r="J26" s="18">
        <f t="shared" si="1"/>
        <v>0</v>
      </c>
      <c r="K26" s="18">
        <f t="shared" si="1"/>
        <v>0</v>
      </c>
      <c r="L26" s="18"/>
    </row>
    <row r="27" spans="1:12">
      <c r="A27" s="74" t="s">
        <v>301</v>
      </c>
      <c r="B27" s="18">
        <f t="shared" ref="B27:K27" si="2">ROUNDUP(LOG(COUNTA(B4:B19),2),0)</f>
        <v>3</v>
      </c>
      <c r="C27" s="18">
        <f t="shared" si="2"/>
        <v>4</v>
      </c>
      <c r="D27" s="18">
        <f t="shared" si="2"/>
        <v>3</v>
      </c>
      <c r="E27" s="18">
        <f t="shared" si="2"/>
        <v>3</v>
      </c>
      <c r="F27" s="18">
        <f t="shared" si="2"/>
        <v>1</v>
      </c>
      <c r="G27" s="18">
        <f t="shared" si="2"/>
        <v>3</v>
      </c>
      <c r="H27" s="18">
        <f t="shared" si="2"/>
        <v>3</v>
      </c>
      <c r="I27" s="18">
        <f t="shared" si="2"/>
        <v>3</v>
      </c>
      <c r="J27" s="18">
        <f t="shared" si="2"/>
        <v>1</v>
      </c>
      <c r="K27" s="18">
        <f t="shared" si="2"/>
        <v>2</v>
      </c>
      <c r="L27" s="18">
        <v>2</v>
      </c>
    </row>
    <row r="28" spans="1:12">
      <c r="A28" s="75" t="s">
        <v>302</v>
      </c>
      <c r="B28" s="9">
        <f>POWER(2,B27)*C28</f>
        <v>268435456</v>
      </c>
      <c r="C28" s="9">
        <f>POWER(2,C27)*D28</f>
        <v>33554432</v>
      </c>
      <c r="D28" s="9">
        <f>POWER(2,D27)*E28</f>
        <v>2097152</v>
      </c>
      <c r="E28" s="9">
        <f>POWER(2,E27)*F28</f>
        <v>262144</v>
      </c>
      <c r="F28" s="9">
        <f t="shared" ref="F28:K28" si="3">POWER(2,F27)*G28</f>
        <v>32768</v>
      </c>
      <c r="G28" s="9">
        <f t="shared" si="3"/>
        <v>16384</v>
      </c>
      <c r="H28" s="9">
        <f t="shared" si="3"/>
        <v>2048</v>
      </c>
      <c r="I28" s="9">
        <f t="shared" si="3"/>
        <v>256</v>
      </c>
      <c r="J28" s="9">
        <f t="shared" si="3"/>
        <v>32</v>
      </c>
      <c r="K28" s="9">
        <f t="shared" si="3"/>
        <v>16</v>
      </c>
      <c r="L28" s="9">
        <f>POWER(2,L27)*1</f>
        <v>4</v>
      </c>
    </row>
    <row r="29" spans="1:12">
      <c r="A29" s="75" t="s">
        <v>303</v>
      </c>
      <c r="B29" s="9">
        <f t="shared" ref="B29:L29" si="4">IF(B23="",B26,BIN2DEC(B23))*C28</f>
        <v>0</v>
      </c>
      <c r="C29" s="9">
        <f t="shared" si="4"/>
        <v>0</v>
      </c>
      <c r="D29" s="9">
        <f t="shared" si="4"/>
        <v>262144</v>
      </c>
      <c r="E29" s="9">
        <f t="shared" si="4"/>
        <v>32768</v>
      </c>
      <c r="F29" s="9">
        <f t="shared" si="4"/>
        <v>0</v>
      </c>
      <c r="G29" s="9">
        <f t="shared" si="4"/>
        <v>2048</v>
      </c>
      <c r="H29" s="9">
        <f t="shared" si="4"/>
        <v>0</v>
      </c>
      <c r="I29" s="9">
        <f t="shared" si="4"/>
        <v>32</v>
      </c>
      <c r="J29" s="9">
        <f t="shared" si="4"/>
        <v>0</v>
      </c>
      <c r="K29" s="9">
        <f t="shared" si="4"/>
        <v>0</v>
      </c>
      <c r="L29" s="9">
        <f t="shared" si="4"/>
        <v>0</v>
      </c>
    </row>
    <row r="30" spans="1:12">
      <c r="A30" s="83" t="s">
        <v>308</v>
      </c>
    </row>
    <row r="31" spans="1:12" ht="28.8" customHeight="1">
      <c r="A31" s="90" t="s">
        <v>313</v>
      </c>
      <c r="B31" s="81" t="str">
        <f>"40" &amp; REPT("0",10-LEN(SUM(B29:L29)))   &amp; SUM(B29:L29)</f>
        <v>400000296992</v>
      </c>
      <c r="I31" s="67"/>
      <c r="J31" s="67"/>
    </row>
    <row r="32" spans="1:12" ht="19.8">
      <c r="A32" s="68" t="s">
        <v>297</v>
      </c>
      <c r="B32" s="82" cm="1">
        <f t="array" ref="B32">MOD(10 - MOD(SUMPRODUCT(MID(B31, {2,4,6,8,10,12}, 1) + 0) * 3 + SUMPRODUCT(MID(B31, {1,3,5,7,9,11}, 1) + 0), 10), 10)</f>
        <v>9</v>
      </c>
      <c r="I32" s="67"/>
      <c r="J32" s="67"/>
    </row>
    <row r="33" spans="1:36" ht="36.6" customHeight="1">
      <c r="A33" s="69" t="s">
        <v>298</v>
      </c>
      <c r="B33" s="131" t="str">
        <f>""&amp;B31&amp;B32&amp;""</f>
        <v>4000002969929</v>
      </c>
      <c r="C33" s="70"/>
      <c r="I33" s="67"/>
      <c r="J33" s="67"/>
    </row>
    <row r="34" spans="1:36" ht="45.6" customHeight="1">
      <c r="A34" s="117" t="s">
        <v>367</v>
      </c>
      <c r="B34" s="133" t="str">
        <f>"b"&amp; B33 &amp; "b"</f>
        <v>b4000002969929b</v>
      </c>
      <c r="C34" s="70"/>
    </row>
    <row r="35" spans="1:36" ht="22.2">
      <c r="A35" s="114"/>
      <c r="B35" s="115" t="s">
        <v>368</v>
      </c>
      <c r="C35" s="70"/>
    </row>
    <row r="36" spans="1:36">
      <c r="B36" s="114" t="s">
        <v>369</v>
      </c>
      <c r="C36" s="116" t="s">
        <v>370</v>
      </c>
    </row>
    <row r="37" spans="1:36">
      <c r="B37" s="114"/>
      <c r="C37" s="116"/>
    </row>
    <row r="38" spans="1:36" ht="22.2">
      <c r="A38" s="128" t="s">
        <v>380</v>
      </c>
      <c r="B38" s="129"/>
      <c r="C38" s="116"/>
    </row>
    <row r="39" spans="1:36" ht="20.399999999999999" thickBot="1">
      <c r="A39" s="120"/>
      <c r="B39" s="130" t="s">
        <v>381</v>
      </c>
      <c r="C39" s="116"/>
    </row>
    <row r="40" spans="1:36" ht="34.799999999999997" customHeight="1" thickBot="1">
      <c r="A40" s="69" t="s">
        <v>371</v>
      </c>
      <c r="B40" s="118">
        <v>4000002969608</v>
      </c>
      <c r="D40" s="67"/>
      <c r="I40" s="67"/>
      <c r="J40" s="67"/>
      <c r="K40" s="67"/>
      <c r="O40" s="18"/>
    </row>
    <row r="41" spans="1:36" ht="22.8" customHeight="1">
      <c r="A41" s="132" t="s">
        <v>386</v>
      </c>
      <c r="B41" s="120" t="e">
        <f ca="1">IF(LEN(B40)=0,"バーコードは未入力。",IF(LEN(B40)&lt;&gt;13,"バーコードの桁数が不正。",IF(RIGHT(B51,2)&lt;&gt;"00","No."&amp; BIN2DEC(RIGHT(B51,2)) +1 &amp; "マッピングに参照してください。","")))</f>
        <v>#NAME?</v>
      </c>
      <c r="D41" s="67"/>
      <c r="I41" s="67"/>
      <c r="J41" s="67"/>
      <c r="K41" s="67"/>
      <c r="O41" s="18"/>
    </row>
    <row r="42" spans="1:36" ht="34.200000000000003" customHeight="1">
      <c r="A42" s="159" t="s">
        <v>372</v>
      </c>
      <c r="B42" s="160" t="str">
        <f xml:space="preserve"> "レスポンスパターン"</f>
        <v>レスポンスパターン</v>
      </c>
      <c r="C42" s="160"/>
      <c r="D42" s="160"/>
      <c r="E42" s="160"/>
      <c r="F42" s="160"/>
      <c r="G42" s="160"/>
      <c r="H42" s="160"/>
      <c r="I42" s="160"/>
      <c r="J42" s="160"/>
      <c r="K42" s="160"/>
      <c r="L42" s="161" t="s">
        <v>384</v>
      </c>
    </row>
    <row r="43" spans="1:36" ht="34.200000000000003" customHeight="1">
      <c r="A43" s="159"/>
      <c r="B43" s="162" t="str">
        <f xml:space="preserve"> "購入のレスポンス"</f>
        <v>購入のレスポンス</v>
      </c>
      <c r="C43" s="162"/>
      <c r="D43" s="162"/>
      <c r="E43" s="162"/>
      <c r="F43" s="162"/>
      <c r="G43" s="162" t="str">
        <f xml:space="preserve"> "購入取消のレスポンス"</f>
        <v>購入取消のレスポンス</v>
      </c>
      <c r="H43" s="162"/>
      <c r="I43" s="162"/>
      <c r="J43" s="162"/>
      <c r="K43" s="162"/>
      <c r="L43" s="161"/>
    </row>
    <row r="44" spans="1:36" ht="36">
      <c r="A44" s="159"/>
      <c r="B44" s="15" t="str">
        <f xml:space="preserve"> "処理結果" &amp; CHAR(10) &amp; "（" &amp; B60 &amp; "ビット）"</f>
        <v>処理結果
（ビット）</v>
      </c>
      <c r="C44" s="15" t="str">
        <f xml:space="preserve"> "応答結果" &amp; CHAR(10) &amp; "（" &amp; C60 &amp; "ビット）"</f>
        <v>応答結果
（ビット）</v>
      </c>
      <c r="D44" s="15" t="str">
        <f xml:space="preserve"> "チケット代金" &amp; CHAR(10) &amp; "（" &amp; D60 &amp; "ビット）"</f>
        <v>チケット代金
（ビット）</v>
      </c>
      <c r="E44" s="15" t="str">
        <f xml:space="preserve"> "チケット枚数" &amp; CHAR(10) &amp; "（" &amp; E60 &amp; "ビット）"</f>
        <v>チケット枚数
（ビット）</v>
      </c>
      <c r="F44" s="15" t="str">
        <f xml:space="preserve"> "レスポンスパターン（再送用）" &amp; CHAR(10) &amp; "（" &amp; F60 &amp; "ビット）"</f>
        <v>レスポンスパターン（再送用）
（ビット）</v>
      </c>
      <c r="G44" s="15" t="str">
        <f xml:space="preserve"> "処理結果" &amp; CHAR(10) &amp; "（" &amp; G60 &amp; "ビット）"</f>
        <v>処理結果
（ビット）</v>
      </c>
      <c r="H44" s="15" t="str">
        <f xml:space="preserve"> "応答結果" &amp; CHAR(10) &amp; "（" &amp; H60 &amp; "ビット）"</f>
        <v>応答結果
（ビット）</v>
      </c>
      <c r="I44" s="15" t="str">
        <f xml:space="preserve"> "チケット代金" &amp; CHAR(10) &amp; "（" &amp; I60 &amp; "ビット）"</f>
        <v>チケット代金
（ビット）</v>
      </c>
      <c r="J44" s="15" t="str">
        <f xml:space="preserve"> "レスポンスパターン（再送用）" &amp; CHAR(10) &amp; "（" &amp; J60 &amp; "ビット）"</f>
        <v>レスポンスパターン（再送用）
（ビット）</v>
      </c>
      <c r="K44" s="15" t="str">
        <f xml:space="preserve"> "ショップID" &amp; CHAR(10) &amp; "（" &amp; K60 &amp; "ビット）"</f>
        <v>ショップID
（ビット）</v>
      </c>
      <c r="L44" s="161"/>
    </row>
    <row r="45" spans="1:36" ht="31.8" customHeight="1">
      <c r="A45" s="121" t="s">
        <v>373</v>
      </c>
      <c r="B45" s="122" t="e">
        <f ca="1">IF($B$41="",IF(LOOKUP(B53,$A$4:$A$19,B4:B19)=0,LOOKUP(0,$A$4:$A$19,B4:B19),LOOKUP(B53,$A$4:$A$19,B4:B19)),"")</f>
        <v>#NAME?</v>
      </c>
      <c r="C45" s="122" t="e">
        <f ca="1">IF($B$41="",IF(LOOKUP(C53,$A$4:$A$19,C4:C19)=0,LOOKUP(0,$A$4:$A$19,C4:C19),LOOKUP(C53,$A$4:$A$19,C4:C19)),"")</f>
        <v>#NAME?</v>
      </c>
      <c r="D45" s="122" t="e">
        <f ca="1">IF($B$41="",IF(LOOKUP(D53,$A$4:$A$19,D4:D19)=0,LOOKUP(0,$A$4:$A$19,D4:D19),LOOKUP(D53,$A$4:$A$19,D4:D19)),"")</f>
        <v>#NAME?</v>
      </c>
      <c r="E45" s="122" t="e">
        <f ca="1">IF($B$41="",IF(LOOKUP(E53,$A$4:$A$19,E4:E19)=0,LOOKUP(1,$A$4:$A$19,E4:E19),LOOKUP(E53,$A$4:$A$19,E4:E19)),"")</f>
        <v>#NAME?</v>
      </c>
      <c r="F45" s="122" t="e">
        <f t="shared" ref="F45:L45" ca="1" si="5">IF($B$41="",IF(LOOKUP(F53,$A$4:$A$19,F4:F19)=0,LOOKUP(0,$A$4:$A$19,F4:F19),LOOKUP(F53,$A$4:$A$19,F4:F19)),"")</f>
        <v>#NAME?</v>
      </c>
      <c r="G45" s="122" t="e">
        <f t="shared" ca="1" si="5"/>
        <v>#NAME?</v>
      </c>
      <c r="H45" s="122" t="e">
        <f t="shared" ca="1" si="5"/>
        <v>#NAME?</v>
      </c>
      <c r="I45" s="122" t="e">
        <f t="shared" ca="1" si="5"/>
        <v>#NAME?</v>
      </c>
      <c r="J45" s="122" t="e">
        <f t="shared" ca="1" si="5"/>
        <v>#NAME?</v>
      </c>
      <c r="K45" s="122" t="e">
        <f t="shared" ca="1" si="5"/>
        <v>#NAME?</v>
      </c>
      <c r="L45" s="122" t="e">
        <f t="shared" ca="1" si="5"/>
        <v>#NAME?</v>
      </c>
    </row>
    <row r="47" spans="1:36" customFormat="1">
      <c r="A47" s="123" t="s">
        <v>374</v>
      </c>
      <c r="B47" s="124">
        <f>_xlfn.NUMBERVALUE(MID(B40,3,10))</f>
        <v>296960</v>
      </c>
      <c r="C47" s="119" t="s">
        <v>375</v>
      </c>
      <c r="D47" s="124">
        <f>SUM(27:27)</f>
        <v>28</v>
      </c>
    </row>
    <row r="48" spans="1:36" customFormat="1">
      <c r="A48" s="123"/>
      <c r="B48">
        <f>MOD(B47,2)</f>
        <v>0</v>
      </c>
      <c r="C48">
        <f>IF(MOD(B49,2)=1,1,IF(C49&gt;0,0,""))</f>
        <v>0</v>
      </c>
      <c r="D48">
        <f t="shared" ref="D48:AJ48" si="6">IF(MOD(C49,2)=1,1,IF(D49&gt;0,0,""))</f>
        <v>0</v>
      </c>
      <c r="E48">
        <f t="shared" si="6"/>
        <v>0</v>
      </c>
      <c r="F48">
        <f t="shared" si="6"/>
        <v>0</v>
      </c>
      <c r="G48">
        <f t="shared" si="6"/>
        <v>0</v>
      </c>
      <c r="H48">
        <f t="shared" si="6"/>
        <v>0</v>
      </c>
      <c r="I48">
        <f t="shared" si="6"/>
        <v>0</v>
      </c>
      <c r="J48">
        <f t="shared" si="6"/>
        <v>0</v>
      </c>
      <c r="K48">
        <f t="shared" si="6"/>
        <v>0</v>
      </c>
      <c r="L48">
        <f t="shared" si="6"/>
        <v>0</v>
      </c>
      <c r="M48">
        <f t="shared" si="6"/>
        <v>1</v>
      </c>
      <c r="N48">
        <f t="shared" si="6"/>
        <v>0</v>
      </c>
      <c r="O48">
        <f t="shared" si="6"/>
        <v>0</v>
      </c>
      <c r="P48">
        <f t="shared" si="6"/>
        <v>0</v>
      </c>
      <c r="Q48">
        <f t="shared" si="6"/>
        <v>1</v>
      </c>
      <c r="R48">
        <f t="shared" si="6"/>
        <v>0</v>
      </c>
      <c r="S48">
        <f t="shared" si="6"/>
        <v>0</v>
      </c>
      <c r="T48">
        <f t="shared" si="6"/>
        <v>1</v>
      </c>
      <c r="U48" t="str">
        <f t="shared" si="6"/>
        <v/>
      </c>
      <c r="V48" t="str">
        <f t="shared" si="6"/>
        <v/>
      </c>
      <c r="W48" t="str">
        <f t="shared" si="6"/>
        <v/>
      </c>
      <c r="X48" t="str">
        <f t="shared" si="6"/>
        <v/>
      </c>
      <c r="Y48" t="str">
        <f t="shared" si="6"/>
        <v/>
      </c>
      <c r="Z48" t="str">
        <f t="shared" si="6"/>
        <v/>
      </c>
      <c r="AA48" t="str">
        <f t="shared" si="6"/>
        <v/>
      </c>
      <c r="AB48" t="str">
        <f t="shared" si="6"/>
        <v/>
      </c>
      <c r="AC48" t="str">
        <f t="shared" si="6"/>
        <v/>
      </c>
      <c r="AD48" t="str">
        <f t="shared" si="6"/>
        <v/>
      </c>
      <c r="AE48" t="str">
        <f t="shared" si="6"/>
        <v/>
      </c>
      <c r="AF48" t="str">
        <f t="shared" si="6"/>
        <v/>
      </c>
      <c r="AG48" t="str">
        <f t="shared" si="6"/>
        <v/>
      </c>
      <c r="AH48" t="str">
        <f t="shared" si="6"/>
        <v/>
      </c>
      <c r="AI48" t="str">
        <f t="shared" si="6"/>
        <v/>
      </c>
      <c r="AJ48" t="str">
        <f t="shared" si="6"/>
        <v/>
      </c>
    </row>
    <row r="49" spans="1:36" customFormat="1">
      <c r="A49" s="123" t="s">
        <v>374</v>
      </c>
      <c r="B49">
        <f>INT(B47/2)</f>
        <v>148480</v>
      </c>
      <c r="C49">
        <f>INT(B49/2)</f>
        <v>74240</v>
      </c>
      <c r="D49">
        <f t="shared" ref="D49:AJ49" si="7">INT(C49/2)</f>
        <v>37120</v>
      </c>
      <c r="E49">
        <f t="shared" si="7"/>
        <v>18560</v>
      </c>
      <c r="F49">
        <f t="shared" si="7"/>
        <v>9280</v>
      </c>
      <c r="G49">
        <f t="shared" si="7"/>
        <v>4640</v>
      </c>
      <c r="H49">
        <f t="shared" si="7"/>
        <v>2320</v>
      </c>
      <c r="I49">
        <f t="shared" si="7"/>
        <v>1160</v>
      </c>
      <c r="J49">
        <f t="shared" si="7"/>
        <v>580</v>
      </c>
      <c r="K49">
        <f t="shared" si="7"/>
        <v>290</v>
      </c>
      <c r="L49">
        <f t="shared" si="7"/>
        <v>145</v>
      </c>
      <c r="M49">
        <f t="shared" si="7"/>
        <v>72</v>
      </c>
      <c r="N49">
        <f t="shared" si="7"/>
        <v>36</v>
      </c>
      <c r="O49">
        <f t="shared" si="7"/>
        <v>18</v>
      </c>
      <c r="P49">
        <f t="shared" si="7"/>
        <v>9</v>
      </c>
      <c r="Q49">
        <f t="shared" si="7"/>
        <v>4</v>
      </c>
      <c r="R49">
        <f t="shared" si="7"/>
        <v>2</v>
      </c>
      <c r="S49">
        <f t="shared" si="7"/>
        <v>1</v>
      </c>
      <c r="T49">
        <f t="shared" si="7"/>
        <v>0</v>
      </c>
      <c r="U49">
        <f t="shared" si="7"/>
        <v>0</v>
      </c>
      <c r="V49">
        <f t="shared" si="7"/>
        <v>0</v>
      </c>
      <c r="W49">
        <f t="shared" si="7"/>
        <v>0</v>
      </c>
      <c r="X49">
        <f t="shared" si="7"/>
        <v>0</v>
      </c>
      <c r="Y49">
        <f t="shared" si="7"/>
        <v>0</v>
      </c>
      <c r="Z49">
        <f t="shared" si="7"/>
        <v>0</v>
      </c>
      <c r="AA49">
        <f t="shared" si="7"/>
        <v>0</v>
      </c>
      <c r="AB49">
        <f t="shared" si="7"/>
        <v>0</v>
      </c>
      <c r="AC49">
        <f t="shared" si="7"/>
        <v>0</v>
      </c>
      <c r="AD49">
        <f t="shared" si="7"/>
        <v>0</v>
      </c>
      <c r="AE49">
        <f t="shared" si="7"/>
        <v>0</v>
      </c>
      <c r="AF49">
        <f t="shared" si="7"/>
        <v>0</v>
      </c>
      <c r="AG49">
        <f t="shared" si="7"/>
        <v>0</v>
      </c>
      <c r="AH49">
        <f t="shared" si="7"/>
        <v>0</v>
      </c>
      <c r="AI49">
        <f t="shared" si="7"/>
        <v>0</v>
      </c>
      <c r="AJ49">
        <f t="shared" si="7"/>
        <v>0</v>
      </c>
    </row>
    <row r="50" spans="1:36">
      <c r="A50" s="119" t="s">
        <v>376</v>
      </c>
      <c r="B50" s="9" t="e">
        <f ca="1">_xlfn.TEXTJOIN("", TRUE, MID(_xlfn.CONCAT(48:48), _xlfn.SEQUENCE(LEN(_xlfn.CONCAT(48:48)), 1, LEN(_xlfn.CONCAT(48:48)), -1), 1))</f>
        <v>#NAME?</v>
      </c>
      <c r="I50" s="67"/>
      <c r="J50" s="67"/>
      <c r="K50" s="67"/>
      <c r="O50" s="18"/>
    </row>
    <row r="51" spans="1:36">
      <c r="A51" s="125" t="s">
        <v>377</v>
      </c>
      <c r="B51" s="126" t="e">
        <f ca="1">REPT("0",IF(D47-LEN(B50)&lt;0,0,D47-LEN(B50))) &amp; B50</f>
        <v>#NAME?</v>
      </c>
      <c r="I51" s="67"/>
      <c r="J51" s="67"/>
      <c r="K51" s="67"/>
      <c r="O51" s="18"/>
    </row>
    <row r="52" spans="1:36">
      <c r="A52" s="125" t="s">
        <v>378</v>
      </c>
      <c r="B52" s="9" t="e">
        <f ca="1">MID(RIGHT($B$51,$D$47),$D$47+1-SUM(OFFSET(B27, 0, 0, 1, 20)),B27)</f>
        <v>#NAME?</v>
      </c>
      <c r="C52" s="9" t="e">
        <f t="shared" ref="C52:L52" ca="1" si="8">MID(RIGHT($B$51,$D$47),$D$47+1-SUM(OFFSET(C27, 0, 0, 1, 20)),C27)</f>
        <v>#NAME?</v>
      </c>
      <c r="D52" s="9" t="e">
        <f t="shared" ca="1" si="8"/>
        <v>#NAME?</v>
      </c>
      <c r="E52" s="9" t="e">
        <f t="shared" ca="1" si="8"/>
        <v>#NAME?</v>
      </c>
      <c r="F52" s="9" t="e">
        <f t="shared" ca="1" si="8"/>
        <v>#NAME?</v>
      </c>
      <c r="G52" s="9" t="e">
        <f t="shared" ca="1" si="8"/>
        <v>#NAME?</v>
      </c>
      <c r="H52" s="9" t="e">
        <f t="shared" ca="1" si="8"/>
        <v>#NAME?</v>
      </c>
      <c r="I52" s="9" t="e">
        <f t="shared" ca="1" si="8"/>
        <v>#NAME?</v>
      </c>
      <c r="J52" s="9" t="e">
        <f t="shared" ca="1" si="8"/>
        <v>#NAME?</v>
      </c>
      <c r="K52" s="9" t="e">
        <f t="shared" ca="1" si="8"/>
        <v>#NAME?</v>
      </c>
      <c r="L52" s="9" t="e">
        <f t="shared" ca="1" si="8"/>
        <v>#NAME?</v>
      </c>
      <c r="M52" s="9" t="e">
        <f t="shared" ref="M52:Q52" ca="1" si="9">MID($B$51,$D$47+1-SUM(OFFSET(M27, 0, 0, 1, 20)),M27)</f>
        <v>#NAME?</v>
      </c>
      <c r="N52" s="9" t="e">
        <f t="shared" ca="1" si="9"/>
        <v>#NAME?</v>
      </c>
      <c r="O52" s="9" t="e">
        <f t="shared" ca="1" si="9"/>
        <v>#NAME?</v>
      </c>
      <c r="P52" s="9" t="e">
        <f t="shared" ca="1" si="9"/>
        <v>#NAME?</v>
      </c>
      <c r="Q52" s="9" t="e">
        <f t="shared" ca="1" si="9"/>
        <v>#NAME?</v>
      </c>
    </row>
    <row r="53" spans="1:36">
      <c r="A53" s="127" t="s">
        <v>379</v>
      </c>
      <c r="B53" s="9" t="e">
        <f ca="1">INT(DEC2BIN(BIN2DEC(B52)))</f>
        <v>#NAME?</v>
      </c>
      <c r="C53" s="9" t="e">
        <f t="shared" ref="C53:Q53" ca="1" si="10">INT(DEC2BIN(BIN2DEC(C52)))</f>
        <v>#NAME?</v>
      </c>
      <c r="D53" s="9" t="e">
        <f t="shared" ca="1" si="10"/>
        <v>#NAME?</v>
      </c>
      <c r="E53" s="9" t="e">
        <f t="shared" ca="1" si="10"/>
        <v>#NAME?</v>
      </c>
      <c r="F53" s="9" t="e">
        <f t="shared" ca="1" si="10"/>
        <v>#NAME?</v>
      </c>
      <c r="G53" s="9" t="e">
        <f t="shared" ca="1" si="10"/>
        <v>#NAME?</v>
      </c>
      <c r="H53" s="9" t="e">
        <f t="shared" ca="1" si="10"/>
        <v>#NAME?</v>
      </c>
      <c r="I53" s="9" t="e">
        <f t="shared" ca="1" si="10"/>
        <v>#NAME?</v>
      </c>
      <c r="J53" s="9" t="e">
        <f t="shared" ca="1" si="10"/>
        <v>#NAME?</v>
      </c>
      <c r="K53" s="9" t="e">
        <f t="shared" ca="1" si="10"/>
        <v>#NAME?</v>
      </c>
      <c r="L53" s="9" t="e">
        <f t="shared" ca="1" si="10"/>
        <v>#NAME?</v>
      </c>
      <c r="M53" s="9" t="e">
        <f t="shared" ca="1" si="10"/>
        <v>#NAME?</v>
      </c>
      <c r="N53" s="9" t="e">
        <f t="shared" ca="1" si="10"/>
        <v>#NAME?</v>
      </c>
      <c r="O53" s="9" t="e">
        <f t="shared" ca="1" si="10"/>
        <v>#NAME?</v>
      </c>
      <c r="P53" s="9" t="e">
        <f t="shared" ca="1" si="10"/>
        <v>#NAME?</v>
      </c>
      <c r="Q53" s="9" t="e">
        <f t="shared" ca="1" si="10"/>
        <v>#NAME?</v>
      </c>
    </row>
  </sheetData>
  <mergeCells count="10">
    <mergeCell ref="A1:A3"/>
    <mergeCell ref="B2:F2"/>
    <mergeCell ref="G2:K2"/>
    <mergeCell ref="B1:K1"/>
    <mergeCell ref="L1:L3"/>
    <mergeCell ref="A42:A44"/>
    <mergeCell ref="B42:K42"/>
    <mergeCell ref="L42:L44"/>
    <mergeCell ref="B43:F43"/>
    <mergeCell ref="G43:K43"/>
  </mergeCells>
  <phoneticPr fontId="12"/>
  <conditionalFormatting sqref="B33:B34">
    <cfRule type="cellIs" dxfId="27" priority="4" operator="equal">
      <formula>"OK"</formula>
    </cfRule>
  </conditionalFormatting>
  <conditionalFormatting sqref="B40">
    <cfRule type="cellIs" dxfId="26" priority="1" operator="equal">
      <formula>"OK"</formula>
    </cfRule>
  </conditionalFormatting>
  <conditionalFormatting sqref="B28:K28">
    <cfRule type="cellIs" dxfId="25" priority="11" operator="equal">
      <formula>"OK"</formula>
    </cfRule>
    <cfRule type="containsText" dxfId="24" priority="12" operator="containsText" text="&lt;&gt;&quot;OK&quot;">
      <formula>NOT(ISERROR(SEARCH("&lt;&gt;""OK""",B28)))</formula>
    </cfRule>
  </conditionalFormatting>
  <conditionalFormatting sqref="B24:L24">
    <cfRule type="cellIs" dxfId="23" priority="5" operator="equal">
      <formula>"OK"</formula>
    </cfRule>
    <cfRule type="containsText" dxfId="22" priority="6" operator="containsText" text="&lt;&gt;&quot;OK&quot;">
      <formula>NOT(ISERROR(SEARCH("&lt;&gt;""OK""",B24)))</formula>
    </cfRule>
  </conditionalFormatting>
  <conditionalFormatting sqref="B45:Q45">
    <cfRule type="expression" dxfId="21" priority="29">
      <formula>BIN2DEC(B$52)&gt;COUNTA(B$3:B$25)-1</formula>
    </cfRule>
  </conditionalFormatting>
  <dataValidations count="10">
    <dataValidation type="list" allowBlank="1" showInputMessage="1" showErrorMessage="1" sqref="B22" xr:uid="{92D9FD7E-C3C2-4C26-ABB0-7CCD96F447A9}">
      <formula1>$B$4:$B$11</formula1>
    </dataValidation>
    <dataValidation type="list" allowBlank="1" showInputMessage="1" showErrorMessage="1" sqref="C22" xr:uid="{D2244F92-0834-4523-9F26-48B781ED2BA0}">
      <formula1>$C$4:$C$19</formula1>
    </dataValidation>
    <dataValidation type="list" allowBlank="1" showInputMessage="1" showErrorMessage="1" sqref="D22" xr:uid="{CA105686-539B-4DC5-9252-D94970F5771C}">
      <formula1>$D$4:$D$9</formula1>
    </dataValidation>
    <dataValidation type="list" allowBlank="1" showInputMessage="1" showErrorMessage="1" sqref="E22" xr:uid="{3678B971-AC57-4B22-9D94-F88E20C19B62}">
      <formula1>$E$4:$E$11</formula1>
    </dataValidation>
    <dataValidation type="list" allowBlank="1" showInputMessage="1" showErrorMessage="1" sqref="F22" xr:uid="{A020EDA4-18AB-48BE-9924-298D7406F213}">
      <formula1>$F$4:$F$5</formula1>
    </dataValidation>
    <dataValidation type="list" allowBlank="1" showInputMessage="1" showErrorMessage="1" sqref="G22" xr:uid="{C5CA6F57-0E63-451B-B8AB-4FA9C6E3EC00}">
      <formula1>$G$4:$G$11</formula1>
    </dataValidation>
    <dataValidation type="list" allowBlank="1" showInputMessage="1" showErrorMessage="1" sqref="H22" xr:uid="{0B2EE714-C753-4642-876C-6B66CD05D2C5}">
      <formula1>$H$4:$H$11</formula1>
    </dataValidation>
    <dataValidation type="list" allowBlank="1" showInputMessage="1" showErrorMessage="1" sqref="I22" xr:uid="{64290D27-9B40-41E2-A9DF-206FAA858B93}">
      <formula1>$I$4:$I$9</formula1>
    </dataValidation>
    <dataValidation type="list" allowBlank="1" showInputMessage="1" showErrorMessage="1" sqref="J22" xr:uid="{13B71862-B7AB-4C77-8A8F-4926E2590313}">
      <formula1>$J$4:$J$5</formula1>
    </dataValidation>
    <dataValidation type="list" allowBlank="1" showInputMessage="1" showErrorMessage="1" sqref="K22" xr:uid="{56F87A73-4DB9-4D88-98DE-4EF704D9B878}">
      <formula1>$K$4:$K$7</formula1>
    </dataValidation>
  </dataValidations>
  <pageMargins left="0.7" right="0.7" top="0.75" bottom="0.75" header="0.3" footer="0.3"/>
  <pageSetup paperSize="9" scale="15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98958-CF62-463F-9356-76B2A84D7392}">
  <sheetPr codeName="Sheet4"/>
  <dimension ref="A1:F44"/>
  <sheetViews>
    <sheetView view="pageBreakPreview" topLeftCell="A28" zoomScale="85" zoomScaleNormal="100" zoomScaleSheetLayoutView="85" workbookViewId="0">
      <selection activeCell="F38" sqref="F38"/>
    </sheetView>
  </sheetViews>
  <sheetFormatPr defaultColWidth="8.69921875" defaultRowHeight="18"/>
  <cols>
    <col min="1" max="1" width="11" style="9" bestFit="1" customWidth="1"/>
    <col min="2" max="3" width="28.69921875" style="9" customWidth="1"/>
    <col min="4" max="4" width="20.69921875" style="9" customWidth="1"/>
    <col min="5" max="5" width="19.3984375" style="9" customWidth="1"/>
    <col min="6" max="6" width="59.19921875" style="9" customWidth="1"/>
    <col min="7" max="16384" width="8.69921875" style="9"/>
  </cols>
  <sheetData>
    <row r="1" spans="1:6">
      <c r="A1" s="163" t="s">
        <v>89</v>
      </c>
      <c r="B1" s="163"/>
      <c r="C1" s="58" t="s">
        <v>235</v>
      </c>
      <c r="D1" s="58" t="s">
        <v>122</v>
      </c>
      <c r="E1" s="58" t="s">
        <v>123</v>
      </c>
      <c r="F1" s="64" t="s">
        <v>11</v>
      </c>
    </row>
    <row r="2" spans="1:6">
      <c r="A2" s="59" t="s">
        <v>12</v>
      </c>
      <c r="B2" s="13"/>
      <c r="C2" s="55"/>
      <c r="D2" s="60"/>
      <c r="E2" s="60"/>
      <c r="F2" s="13"/>
    </row>
    <row r="3" spans="1:6">
      <c r="A3" s="61"/>
      <c r="B3" s="11" t="s">
        <v>3</v>
      </c>
      <c r="C3" s="55" t="s">
        <v>236</v>
      </c>
      <c r="D3" s="37" t="s">
        <v>119</v>
      </c>
      <c r="E3" s="37" t="s">
        <v>119</v>
      </c>
      <c r="F3" s="12" t="s">
        <v>212</v>
      </c>
    </row>
    <row r="4" spans="1:6">
      <c r="A4" s="61"/>
      <c r="B4" s="13" t="s">
        <v>13</v>
      </c>
      <c r="C4" s="55" t="s">
        <v>237</v>
      </c>
      <c r="D4" s="37" t="s">
        <v>119</v>
      </c>
      <c r="E4" s="37" t="s">
        <v>119</v>
      </c>
      <c r="F4" s="14" t="s">
        <v>15</v>
      </c>
    </row>
    <row r="5" spans="1:6">
      <c r="A5" s="61"/>
      <c r="B5" s="13" t="s">
        <v>14</v>
      </c>
      <c r="C5" s="55" t="s">
        <v>238</v>
      </c>
      <c r="D5" s="37" t="s">
        <v>119</v>
      </c>
      <c r="E5" s="37" t="s">
        <v>119</v>
      </c>
      <c r="F5" s="14" t="s">
        <v>15</v>
      </c>
    </row>
    <row r="6" spans="1:6">
      <c r="A6" s="61"/>
      <c r="B6" s="13" t="s">
        <v>16</v>
      </c>
      <c r="C6" s="55" t="s">
        <v>239</v>
      </c>
      <c r="D6" s="37" t="s">
        <v>119</v>
      </c>
      <c r="E6" s="37" t="s">
        <v>119</v>
      </c>
      <c r="F6" s="14" t="s">
        <v>15</v>
      </c>
    </row>
    <row r="7" spans="1:6">
      <c r="A7" s="61"/>
      <c r="B7" s="13" t="s">
        <v>277</v>
      </c>
      <c r="C7" s="55" t="s">
        <v>240</v>
      </c>
      <c r="D7" s="37" t="s">
        <v>119</v>
      </c>
      <c r="E7" s="37" t="s">
        <v>119</v>
      </c>
      <c r="F7" s="14" t="s">
        <v>15</v>
      </c>
    </row>
    <row r="8" spans="1:6">
      <c r="A8" s="61"/>
      <c r="B8" s="13" t="s">
        <v>17</v>
      </c>
      <c r="C8" s="55" t="s">
        <v>241</v>
      </c>
      <c r="D8" s="37" t="s">
        <v>119</v>
      </c>
      <c r="E8" s="37" t="s">
        <v>119</v>
      </c>
      <c r="F8" s="14" t="s">
        <v>15</v>
      </c>
    </row>
    <row r="9" spans="1:6">
      <c r="A9" s="61"/>
      <c r="B9" s="13" t="s">
        <v>18</v>
      </c>
      <c r="C9" s="55" t="s">
        <v>242</v>
      </c>
      <c r="D9" s="37" t="s">
        <v>119</v>
      </c>
      <c r="E9" s="37" t="s">
        <v>119</v>
      </c>
      <c r="F9" s="14" t="s">
        <v>15</v>
      </c>
    </row>
    <row r="10" spans="1:6">
      <c r="A10" s="61"/>
      <c r="B10" s="13" t="s">
        <v>20</v>
      </c>
      <c r="C10" s="55" t="s">
        <v>244</v>
      </c>
      <c r="D10" s="37" t="s">
        <v>119</v>
      </c>
      <c r="E10" s="37" t="s">
        <v>119</v>
      </c>
      <c r="F10" s="14" t="s">
        <v>15</v>
      </c>
    </row>
    <row r="11" spans="1:6">
      <c r="A11" s="61"/>
      <c r="B11" s="13" t="s">
        <v>10</v>
      </c>
      <c r="C11" s="55" t="s">
        <v>245</v>
      </c>
      <c r="D11" s="37" t="s">
        <v>119</v>
      </c>
      <c r="E11" s="37" t="s">
        <v>119</v>
      </c>
      <c r="F11" s="14" t="s">
        <v>15</v>
      </c>
    </row>
    <row r="12" spans="1:6" ht="72">
      <c r="A12" s="61"/>
      <c r="B12" s="16" t="s">
        <v>54</v>
      </c>
      <c r="C12" s="55" t="s">
        <v>247</v>
      </c>
      <c r="D12" s="37" t="s">
        <v>119</v>
      </c>
      <c r="E12" s="37" t="s">
        <v>119</v>
      </c>
      <c r="F12" s="23" t="s">
        <v>86</v>
      </c>
    </row>
    <row r="13" spans="1:6">
      <c r="A13" s="61"/>
      <c r="B13" s="13" t="s">
        <v>278</v>
      </c>
      <c r="C13" s="55" t="s">
        <v>252</v>
      </c>
      <c r="D13" s="37" t="s">
        <v>119</v>
      </c>
      <c r="E13" s="37" t="s">
        <v>119</v>
      </c>
      <c r="F13" s="14" t="s">
        <v>15</v>
      </c>
    </row>
    <row r="14" spans="1:6">
      <c r="A14" s="61"/>
      <c r="B14" s="13" t="s">
        <v>55</v>
      </c>
      <c r="C14" s="55" t="s">
        <v>253</v>
      </c>
      <c r="D14" s="37" t="s">
        <v>119</v>
      </c>
      <c r="E14" s="37" t="s">
        <v>119</v>
      </c>
      <c r="F14" s="14" t="s">
        <v>15</v>
      </c>
    </row>
    <row r="15" spans="1:6">
      <c r="A15" s="61"/>
      <c r="B15" s="13" t="s">
        <v>58</v>
      </c>
      <c r="C15" s="55" t="s">
        <v>254</v>
      </c>
      <c r="D15" s="37" t="s">
        <v>119</v>
      </c>
      <c r="E15" s="37" t="s">
        <v>119</v>
      </c>
      <c r="F15" s="14" t="s">
        <v>15</v>
      </c>
    </row>
    <row r="16" spans="1:6">
      <c r="A16" s="61"/>
      <c r="B16" s="13" t="s">
        <v>59</v>
      </c>
      <c r="C16" s="55" t="s">
        <v>255</v>
      </c>
      <c r="D16" s="37" t="s">
        <v>119</v>
      </c>
      <c r="E16" s="37" t="s">
        <v>119</v>
      </c>
      <c r="F16" s="14" t="s">
        <v>15</v>
      </c>
    </row>
    <row r="17" spans="1:6">
      <c r="A17" s="61"/>
      <c r="B17" s="13" t="s">
        <v>77</v>
      </c>
      <c r="C17" s="55" t="s">
        <v>256</v>
      </c>
      <c r="D17" s="37" t="s">
        <v>119</v>
      </c>
      <c r="E17" s="37" t="s">
        <v>119</v>
      </c>
      <c r="F17" s="14" t="s">
        <v>15</v>
      </c>
    </row>
    <row r="18" spans="1:6" ht="72">
      <c r="A18" s="61"/>
      <c r="B18" s="16" t="s">
        <v>78</v>
      </c>
      <c r="C18" s="55" t="s">
        <v>257</v>
      </c>
      <c r="D18" s="37" t="s">
        <v>119</v>
      </c>
      <c r="E18" s="37" t="s">
        <v>119</v>
      </c>
      <c r="F18" s="23" t="s">
        <v>86</v>
      </c>
    </row>
    <row r="19" spans="1:6">
      <c r="A19" s="61"/>
      <c r="B19" s="11" t="s">
        <v>61</v>
      </c>
      <c r="C19" s="55" t="s">
        <v>248</v>
      </c>
      <c r="D19" s="37" t="s">
        <v>119</v>
      </c>
      <c r="E19" s="37" t="s">
        <v>119</v>
      </c>
      <c r="F19" s="12" t="s">
        <v>212</v>
      </c>
    </row>
    <row r="20" spans="1:6">
      <c r="A20" s="61"/>
      <c r="B20" s="11" t="s">
        <v>279</v>
      </c>
      <c r="C20" s="55" t="s">
        <v>258</v>
      </c>
      <c r="D20" s="37" t="s">
        <v>119</v>
      </c>
      <c r="E20" s="37" t="s">
        <v>119</v>
      </c>
      <c r="F20" s="12" t="s">
        <v>212</v>
      </c>
    </row>
    <row r="21" spans="1:6">
      <c r="A21" s="61"/>
      <c r="B21" s="11" t="s">
        <v>79</v>
      </c>
      <c r="C21" s="55" t="s">
        <v>251</v>
      </c>
      <c r="D21" s="37" t="s">
        <v>119</v>
      </c>
      <c r="E21" s="37" t="s">
        <v>119</v>
      </c>
      <c r="F21" s="12" t="s">
        <v>212</v>
      </c>
    </row>
    <row r="22" spans="1:6" ht="36">
      <c r="A22" s="61"/>
      <c r="B22" s="24" t="s">
        <v>80</v>
      </c>
      <c r="C22" s="56" t="s">
        <v>260</v>
      </c>
      <c r="D22" s="37" t="s">
        <v>119</v>
      </c>
      <c r="E22" s="39"/>
      <c r="F22" s="23" t="s">
        <v>87</v>
      </c>
    </row>
    <row r="23" spans="1:6" ht="109.8" customHeight="1">
      <c r="A23" s="61"/>
      <c r="B23" s="62" t="s">
        <v>81</v>
      </c>
      <c r="C23" s="54" t="s">
        <v>320</v>
      </c>
      <c r="D23" s="37" t="s">
        <v>119</v>
      </c>
      <c r="E23" s="63"/>
      <c r="F23" s="109" t="s">
        <v>360</v>
      </c>
    </row>
    <row r="24" spans="1:6" ht="30" customHeight="1">
      <c r="A24" s="61"/>
      <c r="B24" s="62" t="s">
        <v>82</v>
      </c>
      <c r="C24" s="54" t="s">
        <v>281</v>
      </c>
      <c r="D24" s="37" t="s">
        <v>119</v>
      </c>
      <c r="E24" s="63"/>
      <c r="F24" s="110" t="s">
        <v>212</v>
      </c>
    </row>
    <row r="25" spans="1:6" ht="129" customHeight="1">
      <c r="A25" s="89"/>
      <c r="B25" s="25" t="s">
        <v>83</v>
      </c>
      <c r="C25" s="25" t="s">
        <v>282</v>
      </c>
      <c r="D25" s="37" t="s">
        <v>119</v>
      </c>
      <c r="E25" s="36"/>
      <c r="F25" s="111" t="s">
        <v>337</v>
      </c>
    </row>
    <row r="27" spans="1:6">
      <c r="A27" s="156" t="s">
        <v>90</v>
      </c>
      <c r="B27" s="157"/>
      <c r="C27" s="51" t="s">
        <v>235</v>
      </c>
      <c r="D27" s="34" t="s">
        <v>117</v>
      </c>
      <c r="E27" s="34" t="s">
        <v>118</v>
      </c>
      <c r="F27" s="8" t="s">
        <v>11</v>
      </c>
    </row>
    <row r="28" spans="1:6">
      <c r="A28" s="158" t="s">
        <v>12</v>
      </c>
      <c r="B28" s="10"/>
      <c r="C28" s="10"/>
      <c r="D28" s="35"/>
      <c r="E28" s="35"/>
      <c r="F28" s="10"/>
    </row>
    <row r="29" spans="1:6">
      <c r="A29" s="158"/>
      <c r="B29" s="11" t="s">
        <v>3</v>
      </c>
      <c r="C29" s="16" t="s">
        <v>236</v>
      </c>
      <c r="D29" s="37" t="s">
        <v>119</v>
      </c>
      <c r="E29" s="37" t="s">
        <v>119</v>
      </c>
      <c r="F29" s="110" t="s">
        <v>212</v>
      </c>
    </row>
    <row r="30" spans="1:6">
      <c r="A30" s="158"/>
      <c r="B30" s="10" t="s">
        <v>13</v>
      </c>
      <c r="C30" s="16" t="s">
        <v>237</v>
      </c>
      <c r="D30" s="37" t="s">
        <v>119</v>
      </c>
      <c r="E30" s="37" t="s">
        <v>119</v>
      </c>
      <c r="F30" s="14" t="str">
        <f t="shared" ref="F30:F38" si="0">"リクエスト「"&amp;B30&amp;"」の値を設定"</f>
        <v>リクエスト「企業ＩＤ」の値を設定</v>
      </c>
    </row>
    <row r="31" spans="1:6">
      <c r="A31" s="158"/>
      <c r="B31" s="13" t="s">
        <v>14</v>
      </c>
      <c r="C31" s="16" t="s">
        <v>238</v>
      </c>
      <c r="D31" s="37" t="s">
        <v>119</v>
      </c>
      <c r="E31" s="37" t="s">
        <v>119</v>
      </c>
      <c r="F31" s="14" t="str">
        <f t="shared" si="0"/>
        <v>リクエスト「店　番」の値を設定</v>
      </c>
    </row>
    <row r="32" spans="1:6">
      <c r="A32" s="158"/>
      <c r="B32" s="13" t="s">
        <v>16</v>
      </c>
      <c r="C32" s="16" t="s">
        <v>239</v>
      </c>
      <c r="D32" s="37" t="s">
        <v>119</v>
      </c>
      <c r="E32" s="37" t="s">
        <v>119</v>
      </c>
      <c r="F32" s="14" t="str">
        <f t="shared" si="0"/>
        <v>リクエスト「レジ　No.」の値を設定</v>
      </c>
    </row>
    <row r="33" spans="1:6">
      <c r="A33" s="158"/>
      <c r="B33" s="13" t="s">
        <v>76</v>
      </c>
      <c r="C33" s="16" t="s">
        <v>240</v>
      </c>
      <c r="D33" s="37" t="s">
        <v>119</v>
      </c>
      <c r="E33" s="37" t="s">
        <v>119</v>
      </c>
      <c r="F33" s="14" t="str">
        <f t="shared" si="0"/>
        <v>リクエスト「発券レジNo」の値を設定</v>
      </c>
    </row>
    <row r="34" spans="1:6">
      <c r="A34" s="158"/>
      <c r="B34" s="13" t="s">
        <v>17</v>
      </c>
      <c r="C34" s="16" t="s">
        <v>241</v>
      </c>
      <c r="D34" s="37" t="s">
        <v>119</v>
      </c>
      <c r="E34" s="37" t="s">
        <v>119</v>
      </c>
      <c r="F34" s="14" t="str">
        <f t="shared" si="0"/>
        <v>リクエスト「利用年月日時分秒」の値を設定</v>
      </c>
    </row>
    <row r="35" spans="1:6">
      <c r="A35" s="158"/>
      <c r="B35" s="13" t="s">
        <v>18</v>
      </c>
      <c r="C35" s="16" t="s">
        <v>242</v>
      </c>
      <c r="D35" s="37" t="s">
        <v>119</v>
      </c>
      <c r="E35" s="37" t="s">
        <v>119</v>
      </c>
      <c r="F35" s="14" t="str">
        <f t="shared" si="0"/>
        <v>リクエスト「処理通番」の値を設定</v>
      </c>
    </row>
    <row r="36" spans="1:6">
      <c r="A36" s="158"/>
      <c r="B36" s="13" t="s">
        <v>19</v>
      </c>
      <c r="C36" s="16" t="s">
        <v>243</v>
      </c>
      <c r="D36" s="37" t="s">
        <v>119</v>
      </c>
      <c r="E36" s="37" t="s">
        <v>119</v>
      </c>
      <c r="F36" s="14" t="str">
        <f t="shared" si="0"/>
        <v>リクエスト「再送区分」の値を設定</v>
      </c>
    </row>
    <row r="37" spans="1:6">
      <c r="A37" s="158"/>
      <c r="B37" s="13" t="s">
        <v>20</v>
      </c>
      <c r="C37" s="16" t="s">
        <v>244</v>
      </c>
      <c r="D37" s="37" t="s">
        <v>119</v>
      </c>
      <c r="E37" s="37" t="s">
        <v>119</v>
      </c>
      <c r="F37" s="14" t="str">
        <f t="shared" si="0"/>
        <v>リクエスト「要求区分」の値を設定</v>
      </c>
    </row>
    <row r="38" spans="1:6">
      <c r="A38" s="158"/>
      <c r="B38" s="13" t="s">
        <v>10</v>
      </c>
      <c r="C38" s="16" t="s">
        <v>245</v>
      </c>
      <c r="D38" s="37" t="s">
        <v>119</v>
      </c>
      <c r="E38" s="37" t="s">
        <v>119</v>
      </c>
      <c r="F38" s="14" t="str">
        <f t="shared" si="0"/>
        <v>リクエスト「バーコード情報」の値を設定</v>
      </c>
    </row>
    <row r="39" spans="1:6">
      <c r="A39" s="158"/>
      <c r="B39" s="11" t="s">
        <v>291</v>
      </c>
      <c r="C39" s="16" t="s">
        <v>292</v>
      </c>
      <c r="D39" s="37" t="s">
        <v>119</v>
      </c>
      <c r="E39" s="37" t="s">
        <v>119</v>
      </c>
      <c r="F39" s="110" t="s">
        <v>364</v>
      </c>
    </row>
    <row r="40" spans="1:6" ht="72">
      <c r="A40" s="158"/>
      <c r="B40" s="16" t="s">
        <v>54</v>
      </c>
      <c r="C40" s="16" t="s">
        <v>350</v>
      </c>
      <c r="D40" s="37" t="s">
        <v>119</v>
      </c>
      <c r="E40" s="37" t="s">
        <v>119</v>
      </c>
      <c r="F40" s="23" t="s">
        <v>389</v>
      </c>
    </row>
    <row r="41" spans="1:6">
      <c r="A41" s="158"/>
      <c r="B41" s="11" t="s">
        <v>61</v>
      </c>
      <c r="C41" s="16" t="s">
        <v>248</v>
      </c>
      <c r="D41" s="37" t="s">
        <v>119</v>
      </c>
      <c r="E41" s="37" t="s">
        <v>119</v>
      </c>
      <c r="F41" s="110" t="s">
        <v>212</v>
      </c>
    </row>
    <row r="42" spans="1:6">
      <c r="A42" s="158"/>
      <c r="B42" s="16" t="s">
        <v>84</v>
      </c>
      <c r="C42" s="16" t="s">
        <v>249</v>
      </c>
      <c r="D42" s="37" t="s">
        <v>119</v>
      </c>
      <c r="E42" s="37" t="s">
        <v>119</v>
      </c>
      <c r="F42" s="14" t="s">
        <v>387</v>
      </c>
    </row>
    <row r="43" spans="1:6">
      <c r="A43" s="158"/>
      <c r="B43" s="11" t="s">
        <v>85</v>
      </c>
      <c r="C43" s="16" t="s">
        <v>250</v>
      </c>
      <c r="D43" s="37" t="s">
        <v>119</v>
      </c>
      <c r="E43" s="37" t="s">
        <v>119</v>
      </c>
      <c r="F43" s="110" t="s">
        <v>212</v>
      </c>
    </row>
    <row r="44" spans="1:6">
      <c r="A44" s="158"/>
      <c r="B44" s="11" t="s">
        <v>79</v>
      </c>
      <c r="C44" s="16" t="s">
        <v>251</v>
      </c>
      <c r="D44" s="37" t="s">
        <v>119</v>
      </c>
      <c r="E44" s="37" t="s">
        <v>119</v>
      </c>
      <c r="F44" s="110" t="s">
        <v>212</v>
      </c>
    </row>
  </sheetData>
  <mergeCells count="3">
    <mergeCell ref="A1:B1"/>
    <mergeCell ref="A27:B27"/>
    <mergeCell ref="A28:A44"/>
  </mergeCells>
  <phoneticPr fontId="12"/>
  <pageMargins left="0.7" right="0.7" top="0.75" bottom="0.75" header="0.3" footer="0.3"/>
  <pageSetup paperSize="9" scale="3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477C-7706-46BA-A1AC-3B760216C00B}">
  <sheetPr codeName="Sheet5"/>
  <dimension ref="A1:AJ62"/>
  <sheetViews>
    <sheetView tabSelected="1" view="pageBreakPreview" zoomScale="50" zoomScaleNormal="100" zoomScaleSheetLayoutView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33" sqref="D33"/>
    </sheetView>
  </sheetViews>
  <sheetFormatPr defaultColWidth="8.69921875" defaultRowHeight="18"/>
  <cols>
    <col min="1" max="1" width="23.5" style="18" customWidth="1"/>
    <col min="2" max="2" width="40.09765625" style="18" customWidth="1"/>
    <col min="3" max="3" width="20.796875" style="18" customWidth="1"/>
    <col min="4" max="4" width="35.59765625" style="18" customWidth="1"/>
    <col min="5" max="5" width="28.796875" style="18" customWidth="1"/>
    <col min="6" max="6" width="32.5" style="18" customWidth="1"/>
    <col min="7" max="7" width="32.8984375" style="18" customWidth="1"/>
    <col min="8" max="9" width="20.19921875" style="18" customWidth="1"/>
    <col min="10" max="10" width="21.8984375" style="18" customWidth="1"/>
    <col min="11" max="11" width="29.5" style="18" customWidth="1"/>
    <col min="12" max="12" width="33.19921875" style="18" customWidth="1"/>
    <col min="13" max="13" width="21.09765625" style="18" customWidth="1"/>
    <col min="14" max="14" width="15.09765625" style="18" customWidth="1"/>
    <col min="15" max="36" width="0" style="18" hidden="1" customWidth="1"/>
    <col min="37" max="16384" width="8.69921875" style="18"/>
  </cols>
  <sheetData>
    <row r="1" spans="1:14" ht="39.6" customHeight="1">
      <c r="A1" s="164" t="s">
        <v>116</v>
      </c>
      <c r="B1" s="160" t="str">
        <f xml:space="preserve"> "レスポンスパターン" &amp; "（" &amp; SUM(B20:M20) &amp; "ビット）"</f>
        <v>レスポンスパターン（31ビット）</v>
      </c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1" t="s">
        <v>307</v>
      </c>
    </row>
    <row r="2" spans="1:14" ht="39.6" customHeight="1">
      <c r="A2" s="165"/>
      <c r="B2" s="162" t="str">
        <f xml:space="preserve"> "購入のレスポンス" &amp; "（" &amp; SUM(B20:C20) &amp; "ビット）"</f>
        <v>購入のレスポンス（5ビット）</v>
      </c>
      <c r="C2" s="162"/>
      <c r="D2" s="167" t="str">
        <f xml:space="preserve"> "購入取消のレスポンス" &amp; "（" &amp; SUM(D20:E20) &amp; "ビット）"</f>
        <v>購入取消のレスポンス（6ビット）</v>
      </c>
      <c r="E2" s="168"/>
      <c r="F2" s="169" t="str">
        <f xml:space="preserve"> "本投票問合せのレスポンス" &amp; "（" &amp; SUM(F20:J20) &amp; "ビット）"</f>
        <v>本投票問合せのレスポンス（12ビット）</v>
      </c>
      <c r="G2" s="169"/>
      <c r="H2" s="169"/>
      <c r="I2" s="169"/>
      <c r="J2" s="168"/>
      <c r="K2" s="162" t="str">
        <f xml:space="preserve"> "本投票障害取消のレスポンス" &amp; "（" &amp; SUM(K20:M20) &amp; "ビット）"</f>
        <v>本投票障害取消のレスポンス（8ビット）</v>
      </c>
      <c r="L2" s="162"/>
      <c r="M2" s="162"/>
      <c r="N2" s="161"/>
    </row>
    <row r="3" spans="1:14" ht="54">
      <c r="A3" s="166"/>
      <c r="B3" s="15" t="str">
        <f xml:space="preserve"> "チケット代金" &amp; CHAR(10) &amp; "（" &amp; B20 &amp; "ビット）"</f>
        <v>チケット代金
（3ビット）</v>
      </c>
      <c r="C3" s="15" t="str">
        <f xml:space="preserve"> "チケット枚数" &amp; CHAR(10) &amp; "（" &amp; C20 &amp; "ビット）"</f>
        <v>チケット枚数
（2ビット）</v>
      </c>
      <c r="D3" s="15" t="str">
        <f xml:space="preserve"> "処理結果" &amp; CHAR(10) &amp; "（" &amp; D20 &amp; "ビット）"</f>
        <v>処理結果
（3ビット）</v>
      </c>
      <c r="E3" s="15" t="str">
        <f xml:space="preserve"> "応答結果" &amp; CHAR(10) &amp; "（" &amp; E20 &amp; "ビット）"</f>
        <v>応答結果
（3ビット）</v>
      </c>
      <c r="F3" s="15" t="str">
        <f xml:space="preserve"> "処理結果" &amp; CHAR(10) &amp; "（" &amp; F20 &amp; "ビット）"</f>
        <v>処理結果
（3ビット）</v>
      </c>
      <c r="G3" s="15" t="str">
        <f xml:space="preserve"> "応答結果" &amp; CHAR(10) &amp; "（" &amp; G20 &amp; "ビット）"</f>
        <v>応答結果
（4ビット）</v>
      </c>
      <c r="H3" s="15" t="str">
        <f xml:space="preserve"> "券面情報データ※" &amp; CHAR(10) &amp; "（" &amp; H20 &amp; "ビット）"</f>
        <v>券面情報データ※
（3ビット）</v>
      </c>
      <c r="I3" s="15" t="str">
        <f xml:space="preserve"> "投票券バーコード番号印字要否" &amp; CHAR(10) &amp; "（" &amp; I20 &amp; "ビット）"</f>
        <v>投票券バーコード番号印字要否
（1ビット）</v>
      </c>
      <c r="J3" s="15" t="str">
        <f xml:space="preserve"> "totoセンター応答結果" &amp; CHAR(10) &amp; "（" &amp; J20 &amp; "ビット）"</f>
        <v>totoセンター応答結果
（1ビット）</v>
      </c>
      <c r="K3" s="15" t="str">
        <f xml:space="preserve"> "処理結果" &amp; CHAR(10) &amp; "（" &amp; K20 &amp; "ビット）"</f>
        <v>処理結果
（3ビット）</v>
      </c>
      <c r="L3" s="15" t="str">
        <f xml:space="preserve"> "応答結果" &amp; CHAR(10) &amp; "（" &amp; L20 &amp; "ビット）"</f>
        <v>応答結果
（4ビット）</v>
      </c>
      <c r="M3" s="15" t="str">
        <f xml:space="preserve"> "totoセンター応答結果" &amp; CHAR(10) &amp; "（" &amp; M20 &amp; "ビット）"</f>
        <v>totoセンター応答結果
（1ビット）</v>
      </c>
      <c r="N3" s="161"/>
    </row>
    <row r="4" spans="1:14">
      <c r="A4" s="19">
        <v>0</v>
      </c>
      <c r="B4" s="21" t="s">
        <v>120</v>
      </c>
      <c r="C4" s="105">
        <v>0</v>
      </c>
      <c r="D4" s="14" t="s">
        <v>0</v>
      </c>
      <c r="E4" s="14" t="s">
        <v>33</v>
      </c>
      <c r="F4" s="14" t="s">
        <v>0</v>
      </c>
      <c r="G4" s="14" t="s">
        <v>64</v>
      </c>
      <c r="H4" s="106" t="s">
        <v>323</v>
      </c>
      <c r="I4" s="106" t="s">
        <v>352</v>
      </c>
      <c r="J4" s="21" t="s">
        <v>120</v>
      </c>
      <c r="K4" s="14" t="s">
        <v>0</v>
      </c>
      <c r="L4" s="14" t="s">
        <v>33</v>
      </c>
      <c r="M4" s="21" t="s">
        <v>120</v>
      </c>
      <c r="N4" s="22">
        <v>0</v>
      </c>
    </row>
    <row r="5" spans="1:14">
      <c r="A5" s="19">
        <v>1</v>
      </c>
      <c r="B5" s="21" t="s">
        <v>271</v>
      </c>
      <c r="C5" s="105">
        <v>1</v>
      </c>
      <c r="D5" s="14" t="s">
        <v>63</v>
      </c>
      <c r="E5" s="14" t="s">
        <v>40</v>
      </c>
      <c r="F5" s="20" t="s">
        <v>65</v>
      </c>
      <c r="G5" s="14" t="s">
        <v>66</v>
      </c>
      <c r="H5" s="106" t="s">
        <v>324</v>
      </c>
      <c r="I5" s="106" t="s">
        <v>353</v>
      </c>
      <c r="J5" s="21" t="s">
        <v>272</v>
      </c>
      <c r="K5" s="20" t="s">
        <v>65</v>
      </c>
      <c r="L5" s="14" t="s">
        <v>25</v>
      </c>
      <c r="M5" s="21" t="s">
        <v>272</v>
      </c>
      <c r="N5" s="88">
        <v>1</v>
      </c>
    </row>
    <row r="6" spans="1:14">
      <c r="A6" s="19">
        <v>10</v>
      </c>
      <c r="B6" s="21" t="s">
        <v>358</v>
      </c>
      <c r="C6" s="105">
        <v>2</v>
      </c>
      <c r="D6" s="14" t="s">
        <v>101</v>
      </c>
      <c r="E6" s="14" t="s">
        <v>41</v>
      </c>
      <c r="F6" s="14" t="s">
        <v>63</v>
      </c>
      <c r="G6" s="14" t="s">
        <v>36</v>
      </c>
      <c r="H6" s="106" t="s">
        <v>325</v>
      </c>
      <c r="I6" s="107"/>
      <c r="J6" s="22"/>
      <c r="K6" s="14" t="s">
        <v>63</v>
      </c>
      <c r="L6" s="14" t="s">
        <v>36</v>
      </c>
      <c r="M6" s="22"/>
      <c r="N6" s="22">
        <v>2</v>
      </c>
    </row>
    <row r="7" spans="1:14">
      <c r="A7" s="19">
        <v>11</v>
      </c>
      <c r="B7" s="21" t="s">
        <v>121</v>
      </c>
      <c r="C7" s="105">
        <v>5</v>
      </c>
      <c r="D7" s="14" t="s">
        <v>102</v>
      </c>
      <c r="E7" s="14" t="s">
        <v>42</v>
      </c>
      <c r="F7" s="14" t="s">
        <v>101</v>
      </c>
      <c r="G7" s="14" t="s">
        <v>41</v>
      </c>
      <c r="H7" s="108" t="s">
        <v>326</v>
      </c>
      <c r="I7" s="107"/>
      <c r="J7" s="22"/>
      <c r="K7" s="14" t="s">
        <v>101</v>
      </c>
      <c r="L7" s="14" t="s">
        <v>41</v>
      </c>
      <c r="M7" s="22"/>
      <c r="N7" s="22">
        <v>3</v>
      </c>
    </row>
    <row r="8" spans="1:14">
      <c r="A8" s="19">
        <v>100</v>
      </c>
      <c r="B8" s="135" t="s">
        <v>391</v>
      </c>
      <c r="C8" s="22"/>
      <c r="D8" s="14" t="s">
        <v>318</v>
      </c>
      <c r="E8" s="14" t="s">
        <v>28</v>
      </c>
      <c r="F8" s="14" t="s">
        <v>102</v>
      </c>
      <c r="G8" s="14" t="s">
        <v>42</v>
      </c>
      <c r="H8" s="108" t="s">
        <v>327</v>
      </c>
      <c r="I8" s="107"/>
      <c r="J8" s="22"/>
      <c r="K8" s="14" t="s">
        <v>102</v>
      </c>
      <c r="L8" s="14" t="s">
        <v>42</v>
      </c>
      <c r="M8" s="22"/>
      <c r="N8" s="22"/>
    </row>
    <row r="9" spans="1:14">
      <c r="A9" s="19">
        <v>101</v>
      </c>
      <c r="B9" s="135" t="s">
        <v>392</v>
      </c>
      <c r="C9" s="22"/>
      <c r="D9" s="14" t="s">
        <v>359</v>
      </c>
      <c r="E9" s="14" t="s">
        <v>1</v>
      </c>
      <c r="F9" s="14" t="s">
        <v>318</v>
      </c>
      <c r="G9" s="14" t="s">
        <v>28</v>
      </c>
      <c r="H9" s="108" t="s">
        <v>328</v>
      </c>
      <c r="I9" s="107"/>
      <c r="J9" s="22"/>
      <c r="K9" s="14" t="s">
        <v>318</v>
      </c>
      <c r="L9" s="14" t="s">
        <v>28</v>
      </c>
      <c r="M9" s="22"/>
      <c r="N9" s="22"/>
    </row>
    <row r="10" spans="1:14">
      <c r="A10" s="19">
        <v>110</v>
      </c>
      <c r="B10" s="22"/>
      <c r="C10" s="22"/>
      <c r="D10" s="22"/>
      <c r="E10" s="173" t="s">
        <v>25</v>
      </c>
      <c r="F10" s="14" t="s">
        <v>317</v>
      </c>
      <c r="G10" s="14" t="s">
        <v>29</v>
      </c>
      <c r="H10" s="22"/>
      <c r="I10" s="22"/>
      <c r="J10" s="22"/>
      <c r="K10" s="14" t="s">
        <v>317</v>
      </c>
      <c r="L10" s="14" t="s">
        <v>43</v>
      </c>
      <c r="M10" s="22"/>
      <c r="N10" s="22"/>
    </row>
    <row r="11" spans="1:14">
      <c r="A11" s="19">
        <v>111</v>
      </c>
      <c r="B11" s="22"/>
      <c r="C11" s="22"/>
      <c r="D11" s="22"/>
      <c r="E11" s="22"/>
      <c r="F11" s="22"/>
      <c r="G11" s="14" t="s">
        <v>67</v>
      </c>
      <c r="H11" s="22"/>
      <c r="I11" s="22"/>
      <c r="J11" s="22"/>
      <c r="K11" s="22"/>
      <c r="L11" s="14" t="s">
        <v>29</v>
      </c>
      <c r="M11" s="22"/>
      <c r="N11" s="22"/>
    </row>
    <row r="12" spans="1:14">
      <c r="A12" s="19">
        <v>1000</v>
      </c>
      <c r="B12" s="22"/>
      <c r="C12" s="22"/>
      <c r="D12" s="22"/>
      <c r="E12" s="22"/>
      <c r="F12" s="22"/>
      <c r="G12" s="14" t="s">
        <v>68</v>
      </c>
      <c r="H12" s="22"/>
      <c r="I12" s="22"/>
      <c r="J12" s="22"/>
      <c r="K12" s="22"/>
      <c r="L12" s="14" t="s">
        <v>67</v>
      </c>
      <c r="M12" s="22"/>
      <c r="N12" s="22"/>
    </row>
    <row r="13" spans="1:14" s="9" customFormat="1">
      <c r="A13" s="78">
        <v>1001</v>
      </c>
      <c r="B13" s="22"/>
      <c r="C13" s="22"/>
      <c r="D13" s="22"/>
      <c r="E13" s="22"/>
      <c r="F13" s="22"/>
      <c r="G13" s="71" t="s">
        <v>69</v>
      </c>
      <c r="H13" s="22"/>
      <c r="I13" s="22"/>
      <c r="J13" s="22"/>
      <c r="K13" s="22"/>
      <c r="L13" s="71" t="s">
        <v>68</v>
      </c>
      <c r="M13" s="22"/>
      <c r="N13" s="22"/>
    </row>
    <row r="14" spans="1:14" s="9" customFormat="1">
      <c r="A14" s="78">
        <v>1010</v>
      </c>
      <c r="B14" s="22"/>
      <c r="C14" s="22"/>
      <c r="D14" s="22"/>
      <c r="E14" s="22"/>
      <c r="F14" s="22"/>
      <c r="G14" s="71" t="s">
        <v>1</v>
      </c>
      <c r="H14" s="22"/>
      <c r="I14" s="22"/>
      <c r="J14" s="22"/>
      <c r="K14" s="22"/>
      <c r="L14" s="71" t="s">
        <v>69</v>
      </c>
      <c r="M14" s="22"/>
      <c r="N14" s="22"/>
    </row>
    <row r="15" spans="1:14" s="9" customFormat="1">
      <c r="A15" s="78">
        <v>1011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71" t="s">
        <v>1</v>
      </c>
      <c r="M15" s="22"/>
      <c r="N15" s="22"/>
    </row>
    <row r="16" spans="1:14" s="9" customFormat="1">
      <c r="A16" s="78">
        <v>1100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14" s="9" customFormat="1" hidden="1">
      <c r="A17" s="78">
        <v>1101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1:14" s="9" customFormat="1" hidden="1">
      <c r="A18" s="78">
        <v>1110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4" s="9" customFormat="1" hidden="1">
      <c r="A19" s="78">
        <v>1111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1:14">
      <c r="B20" s="134">
        <v>3</v>
      </c>
      <c r="C20" s="104">
        <v>2</v>
      </c>
      <c r="D20" s="18">
        <v>3</v>
      </c>
      <c r="E20" s="18">
        <v>3</v>
      </c>
      <c r="F20" s="18">
        <v>3</v>
      </c>
      <c r="G20" s="18">
        <v>4</v>
      </c>
      <c r="H20" s="104">
        <v>3</v>
      </c>
      <c r="I20" s="104">
        <v>1</v>
      </c>
      <c r="J20" s="18">
        <v>1</v>
      </c>
      <c r="K20" s="18">
        <v>3</v>
      </c>
      <c r="L20" s="18">
        <v>4</v>
      </c>
      <c r="M20" s="18">
        <v>1</v>
      </c>
      <c r="N20" s="18">
        <v>2</v>
      </c>
    </row>
    <row r="21" spans="1:14">
      <c r="A21" s="18" t="s">
        <v>310</v>
      </c>
    </row>
    <row r="22" spans="1:14" s="9" customFormat="1" ht="35.4" customHeight="1">
      <c r="A22" s="84" t="s">
        <v>300</v>
      </c>
      <c r="B22" s="80" t="s">
        <v>361</v>
      </c>
      <c r="C22" s="80">
        <v>1</v>
      </c>
      <c r="D22" s="80" t="s">
        <v>299</v>
      </c>
      <c r="E22" s="80" t="s">
        <v>305</v>
      </c>
      <c r="F22" s="80" t="s">
        <v>299</v>
      </c>
      <c r="G22" s="80" t="s">
        <v>305</v>
      </c>
      <c r="H22" s="80" t="s">
        <v>395</v>
      </c>
      <c r="I22" s="80" t="s">
        <v>352</v>
      </c>
      <c r="J22" s="80" t="s">
        <v>361</v>
      </c>
      <c r="K22" s="80" t="s">
        <v>101</v>
      </c>
      <c r="L22" s="80" t="s">
        <v>305</v>
      </c>
      <c r="M22" s="80" t="s">
        <v>361</v>
      </c>
      <c r="N22" s="76">
        <v>1</v>
      </c>
    </row>
    <row r="23" spans="1:14" s="9" customFormat="1" ht="46.8" customHeight="1">
      <c r="A23" s="101" t="s">
        <v>304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87" t="s">
        <v>311</v>
      </c>
    </row>
    <row r="24" spans="1:14" s="9" customFormat="1" ht="24.6" customHeight="1">
      <c r="A24" s="66" t="s">
        <v>296</v>
      </c>
      <c r="B24" s="79" t="str">
        <f>IF(AND(B26&lt;&gt;"",B26&gt;(COUNTA(B4:B19)-1)),"選択された項目が不正",IF(AND(B23&lt;&gt;"",BIN2DEC(B23)&gt;(COUNTA(B4:B19)-1)),"２進数値がオーバー",IF(AND(B23&lt;&gt;"",B26&lt;&gt;"",BIN2DEC(B23)&lt;&gt;B26),"両方入力したが不一致",IF(AND(B23="", B26=""),"未入力","OK"))))</f>
        <v>OK</v>
      </c>
      <c r="C24" s="79" t="str">
        <f t="shared" ref="C24:L24" si="0">IF(AND(C26&lt;&gt;"",C26&gt;(COUNTA(C4:C19)-1)),"選択された項目が不正",IF(AND(C23&lt;&gt;"",BIN2DEC(C23)&gt;(COUNTA(C4:C19)-1)),"２進数値がオーバー",IF(AND(C23&lt;&gt;"",C26&lt;&gt;"",BIN2DEC(C23)&lt;&gt;C26),"両方入力したが不一致",IF(AND(C23="", C26=""),"未入力","OK"))))</f>
        <v>OK</v>
      </c>
      <c r="D24" s="79" t="str">
        <f t="shared" si="0"/>
        <v>OK</v>
      </c>
      <c r="E24" s="85" t="str">
        <f t="shared" si="0"/>
        <v>OK</v>
      </c>
      <c r="F24" s="85" t="str">
        <f t="shared" si="0"/>
        <v>OK</v>
      </c>
      <c r="G24" s="85" t="str">
        <f t="shared" si="0"/>
        <v>OK</v>
      </c>
      <c r="H24" s="85" t="str">
        <f t="shared" ref="H24:I24" si="1">IF(AND(H26&lt;&gt;"",H26&gt;(COUNTA(H4:H19)-1)),"選択された項目が不正",IF(AND(H23&lt;&gt;"",BIN2DEC(H23)&gt;(COUNTA(H4:H19)-1)),"２進数値がオーバー",IF(AND(H23&lt;&gt;"",H26&lt;&gt;"",BIN2DEC(H23)&lt;&gt;H26),"両方入力したが不一致",IF(AND(H23="", H26=""),"未入力","OK"))))</f>
        <v>OK</v>
      </c>
      <c r="I24" s="85" t="str">
        <f t="shared" si="1"/>
        <v>OK</v>
      </c>
      <c r="J24" s="85" t="str">
        <f t="shared" si="0"/>
        <v>OK</v>
      </c>
      <c r="K24" s="85" t="str">
        <f t="shared" si="0"/>
        <v>OK</v>
      </c>
      <c r="L24" s="85" t="str">
        <f t="shared" si="0"/>
        <v>OK</v>
      </c>
      <c r="M24" s="85" t="str">
        <f t="shared" ref="M24" si="2">IF(AND(M26&lt;&gt;"",M26&gt;(COUNTA(M4:M19)-1)),"選択された項目が不正",IF(AND(M23&lt;&gt;"",BIN2DEC(M23)&gt;(COUNTA(M4:M19)-1)),"２進数値がオーバー",IF(AND(M23&lt;&gt;"",M26&lt;&gt;"",BIN2DEC(M23)&lt;&gt;M26),"両方入力したが不一致",IF(AND(M23="", M26=""),"未入力","OK"))))</f>
        <v>OK</v>
      </c>
      <c r="N24" s="85" t="str">
        <f t="shared" ref="N24" si="3">IF(AND(N26&lt;&gt;"",N26&gt;(COUNTA(N4:N19)-1)),"選択された項目が不正",IF(AND(N23&lt;&gt;"",BIN2DEC(N23)&gt;(COUNTA(N4:N19)-1)),"２進数値がオーバー",IF(AND(N23&lt;&gt;"",N26&lt;&gt;"",BIN2DEC(N23)&lt;&gt;N26),"両方入力したが不一致",IF(AND(N23="", N26=""),"未入力","OK"))))</f>
        <v>OK</v>
      </c>
    </row>
    <row r="25" spans="1:14" s="9" customFormat="1">
      <c r="A25" s="83" t="s">
        <v>309</v>
      </c>
    </row>
    <row r="26" spans="1:14" s="9" customFormat="1">
      <c r="A26" s="74" t="s">
        <v>306</v>
      </c>
      <c r="B26" s="18">
        <f t="shared" ref="B26:J26" si="4">IF(B22="","",MATCH(B22,B4:B19,0)-1)</f>
        <v>0</v>
      </c>
      <c r="C26" s="18">
        <f t="shared" si="4"/>
        <v>1</v>
      </c>
      <c r="D26" s="18">
        <f t="shared" si="4"/>
        <v>0</v>
      </c>
      <c r="E26" s="18">
        <f t="shared" si="4"/>
        <v>0</v>
      </c>
      <c r="F26" s="18">
        <f t="shared" si="4"/>
        <v>0</v>
      </c>
      <c r="G26" s="18">
        <f t="shared" si="4"/>
        <v>0</v>
      </c>
      <c r="H26" s="18">
        <f t="shared" si="4"/>
        <v>4</v>
      </c>
      <c r="I26" s="18">
        <f t="shared" si="4"/>
        <v>0</v>
      </c>
      <c r="J26" s="18">
        <f t="shared" si="4"/>
        <v>0</v>
      </c>
      <c r="K26" s="18">
        <f t="shared" ref="K26:L26" si="5">IF(K22="","",MATCH(K22,K4:K19,0)-1)</f>
        <v>3</v>
      </c>
      <c r="L26" s="18">
        <f t="shared" si="5"/>
        <v>0</v>
      </c>
      <c r="M26" s="18">
        <f t="shared" ref="M26:N26" si="6">IF(M22="","",MATCH(M22,M4:M19,0)-1)</f>
        <v>0</v>
      </c>
      <c r="N26" s="18">
        <f t="shared" si="6"/>
        <v>1</v>
      </c>
    </row>
    <row r="27" spans="1:14" s="9" customFormat="1">
      <c r="A27" s="74" t="s">
        <v>301</v>
      </c>
      <c r="B27" s="18">
        <f t="shared" ref="B27:J27" si="7">ROUNDUP(LOG(COUNTA(B4:B19),2),0)</f>
        <v>3</v>
      </c>
      <c r="C27" s="18">
        <f t="shared" si="7"/>
        <v>2</v>
      </c>
      <c r="D27" s="18">
        <f t="shared" si="7"/>
        <v>3</v>
      </c>
      <c r="E27" s="18">
        <f t="shared" si="7"/>
        <v>3</v>
      </c>
      <c r="F27" s="18">
        <f t="shared" si="7"/>
        <v>3</v>
      </c>
      <c r="G27" s="18">
        <f t="shared" si="7"/>
        <v>4</v>
      </c>
      <c r="H27" s="18">
        <f t="shared" si="7"/>
        <v>3</v>
      </c>
      <c r="I27" s="18">
        <f t="shared" si="7"/>
        <v>1</v>
      </c>
      <c r="J27" s="18">
        <f t="shared" si="7"/>
        <v>1</v>
      </c>
      <c r="K27" s="18">
        <f t="shared" ref="K27:M27" si="8">ROUNDUP(LOG(COUNTA(K4:K19),2),0)</f>
        <v>3</v>
      </c>
      <c r="L27" s="18">
        <f t="shared" si="8"/>
        <v>4</v>
      </c>
      <c r="M27" s="18">
        <f t="shared" si="8"/>
        <v>1</v>
      </c>
      <c r="N27" s="18">
        <v>2</v>
      </c>
    </row>
    <row r="28" spans="1:14" s="9" customFormat="1">
      <c r="A28" s="75" t="s">
        <v>302</v>
      </c>
      <c r="B28" s="9">
        <f>POWER(2,B27)*C28</f>
        <v>8589934592</v>
      </c>
      <c r="C28" s="9">
        <f t="shared" ref="C28" si="9">POWER(2,C27)*D28</f>
        <v>1073741824</v>
      </c>
      <c r="D28" s="9">
        <f t="shared" ref="D28" si="10">POWER(2,D27)*E28</f>
        <v>268435456</v>
      </c>
      <c r="E28" s="9">
        <f t="shared" ref="E28" si="11">POWER(2,E27)*F28</f>
        <v>33554432</v>
      </c>
      <c r="F28" s="9">
        <f t="shared" ref="F28" si="12">POWER(2,F27)*G28</f>
        <v>4194304</v>
      </c>
      <c r="G28" s="9">
        <f t="shared" ref="G28" si="13">POWER(2,G27)*H28</f>
        <v>524288</v>
      </c>
      <c r="H28" s="9">
        <f t="shared" ref="H28" si="14">POWER(2,H27)*I28</f>
        <v>32768</v>
      </c>
      <c r="I28" s="9">
        <f t="shared" ref="I28" si="15">POWER(2,I27)*J28</f>
        <v>4096</v>
      </c>
      <c r="J28" s="9">
        <f t="shared" ref="J28" si="16">POWER(2,J27)*K28</f>
        <v>2048</v>
      </c>
      <c r="K28" s="9">
        <f t="shared" ref="K28:L28" si="17">POWER(2,K27)*L28</f>
        <v>1024</v>
      </c>
      <c r="L28" s="9">
        <f t="shared" si="17"/>
        <v>128</v>
      </c>
      <c r="M28" s="9">
        <f t="shared" ref="M28" si="18">POWER(2,M27)*N28</f>
        <v>8</v>
      </c>
      <c r="N28" s="9">
        <f>POWER(2,N27)*1</f>
        <v>4</v>
      </c>
    </row>
    <row r="29" spans="1:14" s="9" customFormat="1">
      <c r="A29" s="75" t="s">
        <v>303</v>
      </c>
      <c r="B29" s="9">
        <f t="shared" ref="B29" si="19">IF(B23="",B26,BIN2DEC(B23))*C28</f>
        <v>0</v>
      </c>
      <c r="C29" s="9">
        <f t="shared" ref="C29" si="20">IF(C23="",C26,BIN2DEC(C23))*D28</f>
        <v>268435456</v>
      </c>
      <c r="D29" s="9">
        <f t="shared" ref="D29" si="21">IF(D23="",D26,BIN2DEC(D23))*E28</f>
        <v>0</v>
      </c>
      <c r="E29" s="9">
        <f t="shared" ref="E29" si="22">IF(E23="",E26,BIN2DEC(E23))*F28</f>
        <v>0</v>
      </c>
      <c r="F29" s="9">
        <f t="shared" ref="F29" si="23">IF(F23="",F26,BIN2DEC(F23))*G28</f>
        <v>0</v>
      </c>
      <c r="G29" s="9">
        <f t="shared" ref="G29" si="24">IF(G23="",G26,BIN2DEC(G23))*H28</f>
        <v>0</v>
      </c>
      <c r="H29" s="9">
        <f t="shared" ref="H29" si="25">IF(H23="",H26,BIN2DEC(H23))*I28</f>
        <v>16384</v>
      </c>
      <c r="I29" s="9">
        <f t="shared" ref="I29" si="26">IF(I23="",I26,BIN2DEC(I23))*J28</f>
        <v>0</v>
      </c>
      <c r="J29" s="9">
        <f t="shared" ref="J29" si="27">IF(J23="",J26,BIN2DEC(J23))*K28</f>
        <v>0</v>
      </c>
      <c r="K29" s="9">
        <f t="shared" ref="K29:M29" si="28">IF(K23="",K26,BIN2DEC(K23))*L28</f>
        <v>384</v>
      </c>
      <c r="L29" s="9">
        <f t="shared" si="28"/>
        <v>0</v>
      </c>
      <c r="M29" s="9">
        <f t="shared" si="28"/>
        <v>0</v>
      </c>
      <c r="N29" s="9">
        <f>IF(N23="",N26,BIN2DEC(N23))*1</f>
        <v>1</v>
      </c>
    </row>
    <row r="30" spans="1:14" s="9" customFormat="1">
      <c r="A30" s="83" t="s">
        <v>308</v>
      </c>
    </row>
    <row r="31" spans="1:14" s="9" customFormat="1" ht="28.8" customHeight="1">
      <c r="A31" s="90" t="s">
        <v>313</v>
      </c>
      <c r="B31" s="100" t="str">
        <f>"40" &amp; REPT("0",10-LEN(SUM(B29:N29)))   &amp; SUM(B29:N29)</f>
        <v>400268452225</v>
      </c>
      <c r="C31" s="81"/>
      <c r="J31" s="67"/>
      <c r="K31" s="67"/>
    </row>
    <row r="32" spans="1:14" s="9" customFormat="1" ht="19.8">
      <c r="A32" s="68" t="s">
        <v>297</v>
      </c>
      <c r="B32" s="82" cm="1">
        <f t="array" ref="B32">MOD(10 - MOD(SUMPRODUCT(MID(B31, {2,4,6,8,10,12}, 1) + 0) * 3 + SUMPRODUCT(MID(B31, {1,3,5,7,9,11}, 1) + 0), 10), 10)</f>
        <v>6</v>
      </c>
      <c r="C32" s="82"/>
      <c r="J32" s="67"/>
      <c r="K32" s="67"/>
    </row>
    <row r="33" spans="1:11" s="9" customFormat="1" ht="36.6" customHeight="1">
      <c r="A33" s="69" t="s">
        <v>298</v>
      </c>
      <c r="B33" s="131" t="str">
        <f>""&amp;B31&amp;B32&amp;""</f>
        <v>4002684522256</v>
      </c>
      <c r="J33" s="67"/>
      <c r="K33" s="67"/>
    </row>
    <row r="34" spans="1:11" ht="40.799999999999997" customHeight="1">
      <c r="A34" s="117" t="s">
        <v>367</v>
      </c>
      <c r="B34" s="133" t="str">
        <f>"b"&amp; B33 &amp; "b"</f>
        <v>b4002684522256b</v>
      </c>
      <c r="C34" s="70"/>
    </row>
    <row r="35" spans="1:11" ht="22.2">
      <c r="A35" s="114"/>
      <c r="B35" s="115" t="s">
        <v>368</v>
      </c>
      <c r="C35" s="70"/>
    </row>
    <row r="36" spans="1:11">
      <c r="A36" s="9"/>
      <c r="B36" s="114" t="s">
        <v>369</v>
      </c>
      <c r="C36" s="116" t="s">
        <v>370</v>
      </c>
    </row>
    <row r="37" spans="1:11" ht="22.2">
      <c r="A37" s="98" t="s">
        <v>382</v>
      </c>
    </row>
    <row r="38" spans="1:11">
      <c r="A38" s="93" t="s">
        <v>235</v>
      </c>
      <c r="B38" s="93" t="s">
        <v>336</v>
      </c>
      <c r="C38" s="93" t="s">
        <v>82</v>
      </c>
      <c r="D38" s="93" t="s">
        <v>338</v>
      </c>
      <c r="E38" s="93" t="s">
        <v>339</v>
      </c>
      <c r="H38" s="9"/>
      <c r="I38" s="9"/>
    </row>
    <row r="39" spans="1:11">
      <c r="A39" s="92" t="s">
        <v>323</v>
      </c>
      <c r="B39" s="94" t="s">
        <v>333</v>
      </c>
      <c r="C39" s="95" t="s">
        <v>330</v>
      </c>
      <c r="D39" s="113" t="s">
        <v>365</v>
      </c>
      <c r="E39" s="91" t="s">
        <v>351</v>
      </c>
      <c r="H39" s="96"/>
      <c r="I39" s="96"/>
    </row>
    <row r="40" spans="1:11">
      <c r="A40" s="92" t="s">
        <v>324</v>
      </c>
      <c r="B40" s="94" t="s">
        <v>333</v>
      </c>
      <c r="C40" s="95" t="s">
        <v>330</v>
      </c>
      <c r="D40" s="91" t="s">
        <v>345</v>
      </c>
      <c r="E40" s="91" t="s">
        <v>340</v>
      </c>
      <c r="H40" s="9"/>
      <c r="I40" s="9"/>
    </row>
    <row r="41" spans="1:11">
      <c r="A41" s="92" t="s">
        <v>325</v>
      </c>
      <c r="B41" s="94" t="s">
        <v>333</v>
      </c>
      <c r="C41" s="95" t="s">
        <v>330</v>
      </c>
      <c r="D41" s="91" t="s">
        <v>346</v>
      </c>
      <c r="E41" s="91" t="s">
        <v>341</v>
      </c>
      <c r="H41" s="9"/>
      <c r="I41" s="9"/>
    </row>
    <row r="42" spans="1:11">
      <c r="A42" s="92" t="s">
        <v>326</v>
      </c>
      <c r="B42" s="94" t="s">
        <v>334</v>
      </c>
      <c r="C42" s="95" t="s">
        <v>355</v>
      </c>
      <c r="D42" s="91" t="s">
        <v>347</v>
      </c>
      <c r="E42" s="91" t="s">
        <v>342</v>
      </c>
      <c r="H42" s="9"/>
      <c r="I42" s="9"/>
    </row>
    <row r="43" spans="1:11">
      <c r="A43" s="97" t="s">
        <v>327</v>
      </c>
      <c r="B43" s="94" t="s">
        <v>334</v>
      </c>
      <c r="C43" s="95" t="s">
        <v>331</v>
      </c>
      <c r="D43" s="91" t="s">
        <v>348</v>
      </c>
      <c r="E43" s="91" t="s">
        <v>343</v>
      </c>
      <c r="H43" s="9"/>
      <c r="I43" s="9"/>
    </row>
    <row r="44" spans="1:11">
      <c r="A44" s="97" t="s">
        <v>328</v>
      </c>
      <c r="B44" s="94" t="s">
        <v>335</v>
      </c>
      <c r="C44" s="95" t="s">
        <v>332</v>
      </c>
      <c r="D44" s="91" t="s">
        <v>349</v>
      </c>
      <c r="E44" s="91" t="s">
        <v>344</v>
      </c>
      <c r="H44" s="9"/>
      <c r="I44" s="9"/>
    </row>
    <row r="47" spans="1:11" s="9" customFormat="1" ht="22.2">
      <c r="A47" s="128" t="s">
        <v>380</v>
      </c>
      <c r="B47" s="129"/>
      <c r="C47" s="116"/>
    </row>
    <row r="48" spans="1:11" s="9" customFormat="1" ht="20.399999999999999" thickBot="1">
      <c r="A48" s="120"/>
      <c r="B48" s="130" t="s">
        <v>381</v>
      </c>
      <c r="C48" s="116"/>
    </row>
    <row r="49" spans="1:36" s="9" customFormat="1" ht="34.799999999999997" customHeight="1" thickBot="1">
      <c r="A49" s="69" t="s">
        <v>371</v>
      </c>
      <c r="B49" s="118"/>
      <c r="D49" s="67"/>
      <c r="I49" s="67"/>
      <c r="J49" s="67"/>
      <c r="K49" s="67"/>
      <c r="O49" s="18"/>
    </row>
    <row r="50" spans="1:36" s="9" customFormat="1" ht="33.6" customHeight="1">
      <c r="A50" s="132" t="s">
        <v>386</v>
      </c>
      <c r="B50" s="120" t="str">
        <f>IF(LEN(B49)=0,"バーコードは未入力。",IF(LEN(B49)&lt;&gt;13,"バーコードの桁数が不正。",IF(RIGHT(B60,2)&lt;&gt;"01","No."&amp; BIN2DEC(RIGHT(B60,2)) +1 &amp; "マッピングに参照してください。","")))</f>
        <v>バーコードは未入力。</v>
      </c>
      <c r="D50" s="67"/>
      <c r="I50" s="67"/>
      <c r="J50" s="67"/>
      <c r="K50" s="67"/>
      <c r="O50" s="18"/>
    </row>
    <row r="51" spans="1:36" s="9" customFormat="1" ht="34.200000000000003" customHeight="1">
      <c r="A51" s="159" t="s">
        <v>372</v>
      </c>
      <c r="B51" s="160" t="str">
        <f xml:space="preserve"> "レスポンスパターン"</f>
        <v>レスポンスパターン</v>
      </c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1" t="s">
        <v>384</v>
      </c>
    </row>
    <row r="52" spans="1:36" s="9" customFormat="1" ht="34.200000000000003" customHeight="1">
      <c r="A52" s="159"/>
      <c r="B52" s="162" t="str">
        <f xml:space="preserve"> "購入のレスポンス"</f>
        <v>購入のレスポンス</v>
      </c>
      <c r="C52" s="162"/>
      <c r="D52" s="167" t="str">
        <f xml:space="preserve"> "購入取消のレスポンス"</f>
        <v>購入取消のレスポンス</v>
      </c>
      <c r="E52" s="168"/>
      <c r="F52" s="169" t="str">
        <f xml:space="preserve"> "本投票問合せのレスポンス"</f>
        <v>本投票問合せのレスポンス</v>
      </c>
      <c r="G52" s="169"/>
      <c r="H52" s="169"/>
      <c r="I52" s="169"/>
      <c r="J52" s="168"/>
      <c r="K52" s="162" t="str">
        <f xml:space="preserve"> "本投票障害取消のレスポンス"</f>
        <v>本投票障害取消のレスポンス</v>
      </c>
      <c r="L52" s="162"/>
      <c r="M52" s="162"/>
      <c r="N52" s="161"/>
    </row>
    <row r="53" spans="1:36" s="9" customFormat="1" ht="54">
      <c r="A53" s="159"/>
      <c r="B53" s="15" t="str">
        <f xml:space="preserve"> "チケット代金" &amp; CHAR(10) &amp; "（" &amp; B70 &amp; "ビット）"</f>
        <v>チケット代金
（ビット）</v>
      </c>
      <c r="C53" s="15" t="str">
        <f xml:space="preserve"> "チケット枚数" &amp; CHAR(10) &amp; "（" &amp; C70 &amp; "ビット）"</f>
        <v>チケット枚数
（ビット）</v>
      </c>
      <c r="D53" s="15" t="str">
        <f xml:space="preserve"> "処理結果" &amp; CHAR(10) &amp; "（" &amp; D70 &amp; "ビット）"</f>
        <v>処理結果
（ビット）</v>
      </c>
      <c r="E53" s="15" t="str">
        <f xml:space="preserve"> "応答結果" &amp; CHAR(10) &amp; "（" &amp; E70 &amp; "ビット）"</f>
        <v>応答結果
（ビット）</v>
      </c>
      <c r="F53" s="15" t="str">
        <f xml:space="preserve"> "処理結果" &amp; CHAR(10) &amp; "（" &amp; F70 &amp; "ビット）"</f>
        <v>処理結果
（ビット）</v>
      </c>
      <c r="G53" s="15" t="str">
        <f xml:space="preserve"> "応答結果" &amp; CHAR(10) &amp; "（" &amp; G70 &amp; "ビット）"</f>
        <v>応答結果
（ビット）</v>
      </c>
      <c r="H53" s="15" t="str">
        <f xml:space="preserve"> "券面情報データ※" &amp; CHAR(10) &amp; "（" &amp; H70 &amp; "ビット）"</f>
        <v>券面情報データ※
（ビット）</v>
      </c>
      <c r="I53" s="15" t="str">
        <f xml:space="preserve"> "投票券バーコード番号印字要否" &amp; CHAR(10) &amp; "（" &amp; I70 &amp; "ビット）"</f>
        <v>投票券バーコード番号印字要否
（ビット）</v>
      </c>
      <c r="J53" s="15" t="str">
        <f xml:space="preserve"> "totoセンター応答結果" &amp; CHAR(10) &amp; "（" &amp; J70 &amp; "ビット）"</f>
        <v>totoセンター応答結果
（ビット）</v>
      </c>
      <c r="K53" s="15" t="str">
        <f xml:space="preserve"> "処理結果" &amp; CHAR(10) &amp; "（" &amp; K70 &amp; "ビット）"</f>
        <v>処理結果
（ビット）</v>
      </c>
      <c r="L53" s="15" t="str">
        <f xml:space="preserve"> "応答結果" &amp; CHAR(10) &amp; "（" &amp; L70 &amp; "ビット）"</f>
        <v>応答結果
（ビット）</v>
      </c>
      <c r="M53" s="15" t="str">
        <f xml:space="preserve"> "totoセンター応答結果" &amp; CHAR(10) &amp; "（" &amp; M70 &amp; "ビット）"</f>
        <v>totoセンター応答結果
（ビット）</v>
      </c>
      <c r="N53" s="161"/>
    </row>
    <row r="54" spans="1:36" s="9" customFormat="1" ht="31.8" customHeight="1">
      <c r="A54" s="121" t="s">
        <v>373</v>
      </c>
      <c r="B54" s="122" t="str">
        <f>IF($B$50="",IF(LOOKUP(B62,$A$4:$A$19,B4:B19)=0,LOOKUP(0,$A$4:$A$19,B4:B19),LOOKUP(B62,$A$4:$A$19,B4:B19)),"")</f>
        <v/>
      </c>
      <c r="C54" s="122" t="str">
        <f>IF($B$50="",IF(LOOKUP(C62,$A$4:$A$19,C4:C19)=0,LOOKUP(1,$A$4:$A$19,C4:C19),LOOKUP(C62,$A$4:$A$19,C4:C19)),"")</f>
        <v/>
      </c>
      <c r="D54" s="122" t="str">
        <f>IF($B$50="",IF(LOOKUP(D62,$A$4:$A$19,D4:D19)=0,LOOKUP(0,$A$4:$A$19,D4:D19),LOOKUP(D62,$A$4:$A$19,D4:D19)),"")</f>
        <v/>
      </c>
      <c r="E54" s="122" t="str">
        <f>IF($B$50="",IF(LOOKUP(E62,$A$4:$A$19,E4:E19)=0,LOOKUP(0,$A$4:$A$19,E4:E19),LOOKUP(E62,$A$4:$A$19,E4:E19)),"")</f>
        <v/>
      </c>
      <c r="F54" s="122" t="str">
        <f>IF($B$50="",IF(LOOKUP(F62,$A$4:$A$19,F4:F19)=0,LOOKUP(0,$A$4:$A$19,F4:F19),LOOKUP(F62,$A$4:$A$19,F4:F19)),"")</f>
        <v/>
      </c>
      <c r="G54" s="122" t="str">
        <f>IF($B$50="",IF(LOOKUP(G62,$A$4:$A$19,G4:G19)=0,LOOKUP(0,$A$4:$A$19,G4:G19),LOOKUP(G62,$A$4:$A$19,G4:G19)),"")</f>
        <v/>
      </c>
      <c r="H54" s="122" t="str">
        <f>IF($B$50="",IF(LOOKUP(H62,$A$4:$A$19,H4:H19)=0,LOOKUP(1,$A$4:$A$19,H4:H19),LOOKUP(H62,$A$4:$A$19,H4:H19)),"")</f>
        <v/>
      </c>
      <c r="I54" s="122" t="str">
        <f>IF($B$50="",IF(LOOKUP(I62,$A$4:$A$19,I4:I19)=0,LOOKUP(0,$A$4:$A$19,I4:I19),LOOKUP(I62,$A$4:$A$19,I4:I19)),"")</f>
        <v/>
      </c>
      <c r="J54" s="122" t="str">
        <f>IF($B$50="",IF(LOOKUP(J62,$A$4:$A$19,J4:J19)=0,LOOKUP(0,$A$4:$A$19,J4:J19),LOOKUP(J62,$A$4:$A$19,J4:J19)),"")</f>
        <v/>
      </c>
      <c r="K54" s="122" t="str">
        <f>IF($B$50="",IF(LOOKUP(K62,$A$4:$A$19,K4:K19)=0,LOOKUP(0,$A$4:$A$19,K4:K19),LOOKUP(K62,$A$4:$A$19,K4:K19)),"")</f>
        <v/>
      </c>
      <c r="L54" s="122" t="str">
        <f>IF($B$50="",IF(LOOKUP(L62,$A$4:$A$19,L4:L19)=0,LOOKUP(0,$A$4:$A$19,L4:L19),LOOKUP(L62,$A$4:$A$19,L4:L19)),"")</f>
        <v/>
      </c>
      <c r="M54" s="122" t="str">
        <f t="shared" ref="M54:N54" si="29">IF($B$50="",IF(LOOKUP(M62,$A$4:$A$19,M4:M19)=0,LOOKUP(0,$A$4:$A$19,M4:M19),LOOKUP(M62,$A$4:$A$19,M4:M19)),"")</f>
        <v/>
      </c>
      <c r="N54" s="122" t="str">
        <f t="shared" si="29"/>
        <v/>
      </c>
    </row>
    <row r="55" spans="1:36" s="9" customFormat="1"/>
    <row r="56" spans="1:36" customFormat="1" hidden="1">
      <c r="A56" s="123" t="s">
        <v>374</v>
      </c>
      <c r="B56" s="124">
        <f>_xlfn.NUMBERVALUE(MID(B49,3,10))</f>
        <v>0</v>
      </c>
      <c r="C56" s="119" t="s">
        <v>375</v>
      </c>
      <c r="D56" s="124">
        <f>SUM(27:27)</f>
        <v>33</v>
      </c>
    </row>
    <row r="57" spans="1:36" customFormat="1" hidden="1">
      <c r="A57" s="123"/>
      <c r="B57">
        <f>MOD(B56,2)</f>
        <v>0</v>
      </c>
      <c r="C57" t="str">
        <f>IF(MOD(B58,2)=1,1,IF(C58&gt;0,0,""))</f>
        <v/>
      </c>
      <c r="D57" t="str">
        <f t="shared" ref="D57:AJ57" si="30">IF(MOD(C58,2)=1,1,IF(D58&gt;0,0,""))</f>
        <v/>
      </c>
      <c r="E57" t="str">
        <f t="shared" si="30"/>
        <v/>
      </c>
      <c r="F57" t="str">
        <f t="shared" si="30"/>
        <v/>
      </c>
      <c r="G57" t="str">
        <f t="shared" si="30"/>
        <v/>
      </c>
      <c r="H57" t="str">
        <f t="shared" si="30"/>
        <v/>
      </c>
      <c r="I57" t="str">
        <f t="shared" si="30"/>
        <v/>
      </c>
      <c r="J57" t="str">
        <f t="shared" si="30"/>
        <v/>
      </c>
      <c r="K57" t="str">
        <f t="shared" si="30"/>
        <v/>
      </c>
      <c r="L57" t="str">
        <f t="shared" si="30"/>
        <v/>
      </c>
      <c r="M57" t="str">
        <f t="shared" si="30"/>
        <v/>
      </c>
      <c r="N57" t="str">
        <f t="shared" si="30"/>
        <v/>
      </c>
      <c r="O57" t="str">
        <f t="shared" si="30"/>
        <v/>
      </c>
      <c r="P57" t="str">
        <f t="shared" si="30"/>
        <v/>
      </c>
      <c r="Q57" t="str">
        <f t="shared" si="30"/>
        <v/>
      </c>
      <c r="R57" t="str">
        <f t="shared" si="30"/>
        <v/>
      </c>
      <c r="S57" t="str">
        <f t="shared" si="30"/>
        <v/>
      </c>
      <c r="T57" t="str">
        <f t="shared" si="30"/>
        <v/>
      </c>
      <c r="U57" t="str">
        <f t="shared" si="30"/>
        <v/>
      </c>
      <c r="V57" t="str">
        <f t="shared" si="30"/>
        <v/>
      </c>
      <c r="W57" t="str">
        <f t="shared" si="30"/>
        <v/>
      </c>
      <c r="X57" t="str">
        <f t="shared" si="30"/>
        <v/>
      </c>
      <c r="Y57" t="str">
        <f t="shared" si="30"/>
        <v/>
      </c>
      <c r="Z57" t="str">
        <f t="shared" si="30"/>
        <v/>
      </c>
      <c r="AA57" t="str">
        <f t="shared" si="30"/>
        <v/>
      </c>
      <c r="AB57" t="str">
        <f t="shared" si="30"/>
        <v/>
      </c>
      <c r="AC57" t="str">
        <f t="shared" si="30"/>
        <v/>
      </c>
      <c r="AD57" t="str">
        <f t="shared" si="30"/>
        <v/>
      </c>
      <c r="AE57" t="str">
        <f t="shared" si="30"/>
        <v/>
      </c>
      <c r="AF57" t="str">
        <f t="shared" si="30"/>
        <v/>
      </c>
      <c r="AG57" t="str">
        <f t="shared" si="30"/>
        <v/>
      </c>
      <c r="AH57" t="str">
        <f t="shared" si="30"/>
        <v/>
      </c>
      <c r="AI57" t="str">
        <f t="shared" si="30"/>
        <v/>
      </c>
      <c r="AJ57" t="str">
        <f t="shared" si="30"/>
        <v/>
      </c>
    </row>
    <row r="58" spans="1:36" customFormat="1" hidden="1">
      <c r="A58" s="123" t="s">
        <v>374</v>
      </c>
      <c r="B58">
        <f>INT(B56/2)</f>
        <v>0</v>
      </c>
      <c r="C58">
        <f>INT(B58/2)</f>
        <v>0</v>
      </c>
      <c r="D58">
        <f t="shared" ref="D58:AJ58" si="31">INT(C58/2)</f>
        <v>0</v>
      </c>
      <c r="E58">
        <f t="shared" si="31"/>
        <v>0</v>
      </c>
      <c r="F58">
        <f t="shared" si="31"/>
        <v>0</v>
      </c>
      <c r="G58">
        <f t="shared" si="31"/>
        <v>0</v>
      </c>
      <c r="H58">
        <f t="shared" si="31"/>
        <v>0</v>
      </c>
      <c r="I58">
        <f t="shared" si="31"/>
        <v>0</v>
      </c>
      <c r="J58">
        <f t="shared" si="31"/>
        <v>0</v>
      </c>
      <c r="K58">
        <f t="shared" si="31"/>
        <v>0</v>
      </c>
      <c r="L58">
        <f t="shared" si="31"/>
        <v>0</v>
      </c>
      <c r="M58">
        <f t="shared" si="31"/>
        <v>0</v>
      </c>
      <c r="N58">
        <f t="shared" si="31"/>
        <v>0</v>
      </c>
      <c r="O58">
        <f t="shared" si="31"/>
        <v>0</v>
      </c>
      <c r="P58">
        <f t="shared" si="31"/>
        <v>0</v>
      </c>
      <c r="Q58">
        <f t="shared" si="31"/>
        <v>0</v>
      </c>
      <c r="R58">
        <f t="shared" si="31"/>
        <v>0</v>
      </c>
      <c r="S58">
        <f t="shared" si="31"/>
        <v>0</v>
      </c>
      <c r="T58">
        <f t="shared" si="31"/>
        <v>0</v>
      </c>
      <c r="U58">
        <f t="shared" si="31"/>
        <v>0</v>
      </c>
      <c r="V58">
        <f t="shared" si="31"/>
        <v>0</v>
      </c>
      <c r="W58">
        <f t="shared" si="31"/>
        <v>0</v>
      </c>
      <c r="X58">
        <f t="shared" si="31"/>
        <v>0</v>
      </c>
      <c r="Y58">
        <f t="shared" si="31"/>
        <v>0</v>
      </c>
      <c r="Z58">
        <f t="shared" si="31"/>
        <v>0</v>
      </c>
      <c r="AA58">
        <f t="shared" si="31"/>
        <v>0</v>
      </c>
      <c r="AB58">
        <f t="shared" si="31"/>
        <v>0</v>
      </c>
      <c r="AC58">
        <f t="shared" si="31"/>
        <v>0</v>
      </c>
      <c r="AD58">
        <f t="shared" si="31"/>
        <v>0</v>
      </c>
      <c r="AE58">
        <f t="shared" si="31"/>
        <v>0</v>
      </c>
      <c r="AF58">
        <f t="shared" si="31"/>
        <v>0</v>
      </c>
      <c r="AG58">
        <f t="shared" si="31"/>
        <v>0</v>
      </c>
      <c r="AH58">
        <f t="shared" si="31"/>
        <v>0</v>
      </c>
      <c r="AI58">
        <f t="shared" si="31"/>
        <v>0</v>
      </c>
      <c r="AJ58">
        <f t="shared" si="31"/>
        <v>0</v>
      </c>
    </row>
    <row r="59" spans="1:36" s="9" customFormat="1" hidden="1">
      <c r="A59" s="119" t="s">
        <v>376</v>
      </c>
      <c r="B59" s="9" t="str" cm="1">
        <f t="array" ref="B59">_xlfn.TEXTJOIN("", TRUE, MID(_xlfn.CONCAT(57:57), _xlfn.SEQUENCE(LEN(_xlfn.CONCAT(57:57)), 1, LEN(_xlfn.CONCAT(57:57)), -1), 1))</f>
        <v>0</v>
      </c>
      <c r="D59" s="9" t="str">
        <f>B33</f>
        <v>4002684522256</v>
      </c>
      <c r="I59" s="67"/>
      <c r="J59" s="67"/>
      <c r="K59" s="67"/>
      <c r="O59" s="18"/>
    </row>
    <row r="60" spans="1:36" s="9" customFormat="1" hidden="1">
      <c r="A60" s="125" t="s">
        <v>377</v>
      </c>
      <c r="B60" s="126" t="str">
        <f>REPT("0",IF(D56-LEN(B59)&lt;0,0,D56-LEN(B59))) &amp; B59</f>
        <v>000000000000000000000000000000000</v>
      </c>
      <c r="I60" s="67"/>
      <c r="J60" s="67"/>
      <c r="K60" s="67"/>
      <c r="O60" s="18"/>
    </row>
    <row r="61" spans="1:36" s="9" customFormat="1" hidden="1">
      <c r="A61" s="125" t="s">
        <v>378</v>
      </c>
      <c r="B61" s="9" t="str">
        <f ca="1">MID(RIGHT($B$60,$D$56),$D$56+1-SUM(OFFSET(B27, 0, 0, 1, 20)),B27)</f>
        <v>000</v>
      </c>
      <c r="C61" s="9" t="str">
        <f t="shared" ref="C61:N61" ca="1" si="32">MID(RIGHT($B$60,$D$56),$D$56+1-SUM(OFFSET(C27, 0, 0, 1, 20)),C27)</f>
        <v>00</v>
      </c>
      <c r="D61" s="9" t="str">
        <f t="shared" ca="1" si="32"/>
        <v>000</v>
      </c>
      <c r="E61" s="9" t="str">
        <f t="shared" ca="1" si="32"/>
        <v>000</v>
      </c>
      <c r="F61" s="9" t="str">
        <f t="shared" ca="1" si="32"/>
        <v>000</v>
      </c>
      <c r="G61" s="9" t="str">
        <f t="shared" ca="1" si="32"/>
        <v>0000</v>
      </c>
      <c r="H61" s="9" t="str">
        <f t="shared" ca="1" si="32"/>
        <v>000</v>
      </c>
      <c r="I61" s="9" t="str">
        <f t="shared" ca="1" si="32"/>
        <v>0</v>
      </c>
      <c r="J61" s="9" t="str">
        <f t="shared" ca="1" si="32"/>
        <v>0</v>
      </c>
      <c r="K61" s="9" t="str">
        <f t="shared" ca="1" si="32"/>
        <v>000</v>
      </c>
      <c r="L61" s="9" t="str">
        <f t="shared" ca="1" si="32"/>
        <v>0000</v>
      </c>
      <c r="M61" s="9" t="str">
        <f t="shared" ca="1" si="32"/>
        <v>0</v>
      </c>
      <c r="N61" s="9" t="str">
        <f t="shared" ca="1" si="32"/>
        <v>00</v>
      </c>
      <c r="O61" s="9" t="str">
        <f t="shared" ref="O61:Q61" ca="1" si="33">MID($B$60,$D$56+1-SUM(OFFSET(O27, 0, 0, 1, 20)),O27)</f>
        <v/>
      </c>
      <c r="P61" s="9" t="str">
        <f t="shared" ca="1" si="33"/>
        <v/>
      </c>
      <c r="Q61" s="9" t="str">
        <f t="shared" ca="1" si="33"/>
        <v/>
      </c>
    </row>
    <row r="62" spans="1:36" s="9" customFormat="1" hidden="1">
      <c r="A62" s="127" t="s">
        <v>379</v>
      </c>
      <c r="B62" s="9">
        <f ca="1">INT(DEC2BIN(BIN2DEC(B61)))</f>
        <v>0</v>
      </c>
      <c r="C62" s="9">
        <f t="shared" ref="C62:Q62" ca="1" si="34">INT(DEC2BIN(BIN2DEC(C61)))</f>
        <v>0</v>
      </c>
      <c r="D62" s="9">
        <f t="shared" ca="1" si="34"/>
        <v>0</v>
      </c>
      <c r="E62" s="9">
        <f t="shared" ca="1" si="34"/>
        <v>0</v>
      </c>
      <c r="F62" s="9">
        <f t="shared" ca="1" si="34"/>
        <v>0</v>
      </c>
      <c r="G62" s="9">
        <f t="shared" ca="1" si="34"/>
        <v>0</v>
      </c>
      <c r="H62" s="9">
        <f t="shared" ca="1" si="34"/>
        <v>0</v>
      </c>
      <c r="I62" s="9">
        <f t="shared" ca="1" si="34"/>
        <v>0</v>
      </c>
      <c r="J62" s="9">
        <f t="shared" ca="1" si="34"/>
        <v>0</v>
      </c>
      <c r="K62" s="9">
        <f t="shared" ca="1" si="34"/>
        <v>0</v>
      </c>
      <c r="L62" s="9">
        <f t="shared" ca="1" si="34"/>
        <v>0</v>
      </c>
      <c r="M62" s="9">
        <f t="shared" ca="1" si="34"/>
        <v>0</v>
      </c>
      <c r="N62" s="9">
        <f t="shared" ca="1" si="34"/>
        <v>0</v>
      </c>
      <c r="O62" s="9">
        <f t="shared" ca="1" si="34"/>
        <v>0</v>
      </c>
      <c r="P62" s="9">
        <f t="shared" ca="1" si="34"/>
        <v>0</v>
      </c>
      <c r="Q62" s="9">
        <f t="shared" ca="1" si="34"/>
        <v>0</v>
      </c>
    </row>
  </sheetData>
  <mergeCells count="14">
    <mergeCell ref="A51:A53"/>
    <mergeCell ref="B51:M51"/>
    <mergeCell ref="N1:N3"/>
    <mergeCell ref="A1:A3"/>
    <mergeCell ref="K2:M2"/>
    <mergeCell ref="B2:C2"/>
    <mergeCell ref="B1:M1"/>
    <mergeCell ref="D2:E2"/>
    <mergeCell ref="F2:J2"/>
    <mergeCell ref="N51:N53"/>
    <mergeCell ref="B52:C52"/>
    <mergeCell ref="D52:E52"/>
    <mergeCell ref="F52:J52"/>
    <mergeCell ref="K52:M52"/>
  </mergeCells>
  <phoneticPr fontId="12"/>
  <conditionalFormatting sqref="B33:B34">
    <cfRule type="cellIs" dxfId="20" priority="3" operator="equal">
      <formula>"OK"</formula>
    </cfRule>
  </conditionalFormatting>
  <conditionalFormatting sqref="B49">
    <cfRule type="cellIs" dxfId="19" priority="1" operator="equal">
      <formula>"OK"</formula>
    </cfRule>
  </conditionalFormatting>
  <conditionalFormatting sqref="B28:M28">
    <cfRule type="cellIs" dxfId="18" priority="4" operator="equal">
      <formula>"OK"</formula>
    </cfRule>
    <cfRule type="containsText" dxfId="17" priority="5" operator="containsText" text="&lt;&gt;&quot;OK&quot;">
      <formula>NOT(ISERROR(SEARCH("&lt;&gt;""OK""",B28)))</formula>
    </cfRule>
  </conditionalFormatting>
  <conditionalFormatting sqref="B24:N24">
    <cfRule type="cellIs" dxfId="16" priority="10" operator="equal">
      <formula>"OK"</formula>
    </cfRule>
    <cfRule type="containsText" dxfId="15" priority="11" operator="containsText" text="&lt;&gt;&quot;OK&quot;">
      <formula>NOT(ISERROR(SEARCH("&lt;&gt;""OK""",B24)))</formula>
    </cfRule>
  </conditionalFormatting>
  <conditionalFormatting sqref="B54:Q54">
    <cfRule type="expression" dxfId="14" priority="2">
      <formula>BIN2DEC(B$61)&gt;COUNTA(B$3:B$25)-1</formula>
    </cfRule>
  </conditionalFormatting>
  <dataValidations count="12">
    <dataValidation type="list" allowBlank="1" showInputMessage="1" showErrorMessage="1" sqref="M22" xr:uid="{0C344F45-2AA2-4B38-8964-E73613ED8440}">
      <formula1>$M$4:$M$7</formula1>
    </dataValidation>
    <dataValidation type="list" allowBlank="1" showInputMessage="1" showErrorMessage="1" sqref="K22" xr:uid="{5B466B6A-8F5E-456E-935D-3D350AFD6EBB}">
      <formula1>$K$4:$K$12</formula1>
    </dataValidation>
    <dataValidation type="list" allowBlank="1" showInputMessage="1" showErrorMessage="1" sqref="J22" xr:uid="{C327964D-F6B3-4FC4-9092-959C609F32A4}">
      <formula1>$J$4:$J$7</formula1>
    </dataValidation>
    <dataValidation type="list" allowBlank="1" showInputMessage="1" showErrorMessage="1" sqref="G22" xr:uid="{5D61B3D6-C3FC-4B8E-9606-B706B2ADD91B}">
      <formula1>$G$4:$G$14</formula1>
    </dataValidation>
    <dataValidation type="list" allowBlank="1" showInputMessage="1" showErrorMessage="1" sqref="F22" xr:uid="{B6913C6F-8CB1-4F02-ADB8-8298785EF830}">
      <formula1>$F$4:$F$11</formula1>
    </dataValidation>
    <dataValidation type="list" allowBlank="1" showInputMessage="1" showErrorMessage="1" sqref="H22" xr:uid="{0174DE10-9C11-410D-8681-698DBB89CAAE}">
      <formula1>$H$4:$H$9</formula1>
    </dataValidation>
    <dataValidation type="list" allowBlank="1" showInputMessage="1" showErrorMessage="1" sqref="E22" xr:uid="{8DE52CA0-C249-43E4-9F57-777D55F7052E}">
      <formula1>$E$4:$E$11</formula1>
    </dataValidation>
    <dataValidation type="list" allowBlank="1" showInputMessage="1" showErrorMessage="1" sqref="D22" xr:uid="{F8F2D1E6-A70F-463A-A73F-DEC05C6E8870}">
      <formula1>$D$4:$D$9</formula1>
    </dataValidation>
    <dataValidation type="list" allowBlank="1" showInputMessage="1" showErrorMessage="1" sqref="C22" xr:uid="{C7DBA864-BD0F-42EF-88C3-B013007C9FF9}">
      <formula1>$C$4:$C$19</formula1>
    </dataValidation>
    <dataValidation type="list" allowBlank="1" showInputMessage="1" showErrorMessage="1" sqref="B22" xr:uid="{B93ABD46-6BB5-4D87-8CCA-398531207449}">
      <formula1>$B$4:$B$11</formula1>
    </dataValidation>
    <dataValidation type="list" allowBlank="1" showInputMessage="1" showErrorMessage="1" sqref="L22" xr:uid="{F7A7C582-35C9-48F9-8805-BA17F4CFD625}">
      <formula1>$L$4:$L$17</formula1>
    </dataValidation>
    <dataValidation type="list" allowBlank="1" showInputMessage="1" showErrorMessage="1" sqref="I22" xr:uid="{2A640461-C507-4ED1-9678-4E1C6D8930D4}">
      <formula1>$I$4:$I$5</formula1>
    </dataValidation>
  </dataValidations>
  <pageMargins left="0.7" right="0.7" top="0.75" bottom="0.75" header="0.3" footer="0.3"/>
  <pageSetup paperSize="9" scale="17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595A-FA96-4F9D-8135-F8B769A786FE}">
  <sheetPr codeName="Sheet6"/>
  <dimension ref="A1:F17"/>
  <sheetViews>
    <sheetView view="pageBreakPreview" zoomScaleNormal="115" zoomScaleSheetLayoutView="100" workbookViewId="0">
      <selection activeCell="F16" sqref="F16"/>
    </sheetView>
  </sheetViews>
  <sheetFormatPr defaultColWidth="8.69921875" defaultRowHeight="18"/>
  <cols>
    <col min="1" max="1" width="11" style="9" bestFit="1" customWidth="1"/>
    <col min="2" max="2" width="21.296875" style="9" customWidth="1"/>
    <col min="3" max="3" width="19.8984375" style="9" customWidth="1"/>
    <col min="4" max="4" width="10.3984375" style="9" customWidth="1"/>
    <col min="5" max="5" width="13.09765625" style="9" customWidth="1"/>
    <col min="6" max="6" width="51.19921875" style="9" customWidth="1"/>
    <col min="7" max="16384" width="8.69921875" style="9"/>
  </cols>
  <sheetData>
    <row r="1" spans="1:6">
      <c r="A1" s="170" t="s">
        <v>88</v>
      </c>
      <c r="B1" s="157"/>
      <c r="C1" s="53" t="s">
        <v>235</v>
      </c>
      <c r="D1" s="53" t="s">
        <v>263</v>
      </c>
      <c r="E1" s="53" t="s">
        <v>262</v>
      </c>
      <c r="F1" s="8" t="s">
        <v>11</v>
      </c>
    </row>
    <row r="2" spans="1:6">
      <c r="A2" s="171" t="s">
        <v>12</v>
      </c>
      <c r="B2" s="10"/>
      <c r="C2" s="16"/>
      <c r="D2" s="52"/>
      <c r="E2" s="52"/>
      <c r="F2" s="10"/>
    </row>
    <row r="3" spans="1:6">
      <c r="A3" s="171"/>
      <c r="B3" s="11" t="s">
        <v>3</v>
      </c>
      <c r="C3" s="16" t="s">
        <v>236</v>
      </c>
      <c r="D3" s="37" t="s">
        <v>119</v>
      </c>
      <c r="E3" s="37" t="s">
        <v>119</v>
      </c>
      <c r="F3" s="12" t="s">
        <v>261</v>
      </c>
    </row>
    <row r="4" spans="1:6">
      <c r="A4" s="171"/>
      <c r="B4" s="10" t="s">
        <v>71</v>
      </c>
      <c r="C4" s="16" t="s">
        <v>237</v>
      </c>
      <c r="D4" s="37" t="s">
        <v>119</v>
      </c>
      <c r="E4" s="37" t="s">
        <v>119</v>
      </c>
      <c r="F4" s="14" t="str">
        <f t="shared" ref="F4:F10" si="0">"リクエスト「"&amp;B4&amp;"」の値を設定"</f>
        <v>リクエスト「企業ID」の値を設定</v>
      </c>
    </row>
    <row r="5" spans="1:6">
      <c r="A5" s="171"/>
      <c r="B5" s="13" t="s">
        <v>70</v>
      </c>
      <c r="C5" s="16" t="s">
        <v>238</v>
      </c>
      <c r="D5" s="37" t="s">
        <v>119</v>
      </c>
      <c r="E5" s="37" t="s">
        <v>119</v>
      </c>
      <c r="F5" s="14" t="str">
        <f t="shared" si="0"/>
        <v>リクエスト「店番」の値を設定</v>
      </c>
    </row>
    <row r="6" spans="1:6">
      <c r="A6" s="171"/>
      <c r="B6" s="13" t="s">
        <v>72</v>
      </c>
      <c r="C6" s="16" t="s">
        <v>239</v>
      </c>
      <c r="D6" s="37" t="s">
        <v>119</v>
      </c>
      <c r="E6" s="37" t="s">
        <v>119</v>
      </c>
      <c r="F6" s="14" t="str">
        <f t="shared" si="0"/>
        <v>リクエスト「レジNo」の値を設定</v>
      </c>
    </row>
    <row r="7" spans="1:6">
      <c r="A7" s="171"/>
      <c r="B7" s="13" t="s">
        <v>17</v>
      </c>
      <c r="C7" s="16" t="s">
        <v>241</v>
      </c>
      <c r="D7" s="37" t="s">
        <v>119</v>
      </c>
      <c r="E7" s="37" t="s">
        <v>119</v>
      </c>
      <c r="F7" s="14" t="str">
        <f t="shared" si="0"/>
        <v>リクエスト「利用年月日時分秒」の値を設定</v>
      </c>
    </row>
    <row r="8" spans="1:6">
      <c r="A8" s="171"/>
      <c r="B8" s="13" t="s">
        <v>18</v>
      </c>
      <c r="C8" s="16" t="s">
        <v>242</v>
      </c>
      <c r="D8" s="37" t="s">
        <v>119</v>
      </c>
      <c r="E8" s="37" t="s">
        <v>119</v>
      </c>
      <c r="F8" s="14" t="str">
        <f t="shared" si="0"/>
        <v>リクエスト「処理通番」の値を設定</v>
      </c>
    </row>
    <row r="9" spans="1:6">
      <c r="A9" s="171"/>
      <c r="B9" s="13" t="s">
        <v>19</v>
      </c>
      <c r="C9" s="16" t="s">
        <v>280</v>
      </c>
      <c r="D9" s="37" t="s">
        <v>119</v>
      </c>
      <c r="E9" s="37" t="s">
        <v>119</v>
      </c>
      <c r="F9" s="14" t="str">
        <f t="shared" si="0"/>
        <v>リクエスト「再送区分」の値を設定</v>
      </c>
    </row>
    <row r="10" spans="1:6">
      <c r="A10" s="171"/>
      <c r="B10" s="13" t="s">
        <v>20</v>
      </c>
      <c r="C10" s="16" t="s">
        <v>244</v>
      </c>
      <c r="D10" s="37" t="s">
        <v>119</v>
      </c>
      <c r="E10" s="37" t="s">
        <v>119</v>
      </c>
      <c r="F10" s="14" t="str">
        <f t="shared" si="0"/>
        <v>リクエスト「要求区分」の値を設定</v>
      </c>
    </row>
    <row r="11" spans="1:6">
      <c r="A11" s="171"/>
      <c r="B11" s="13" t="s">
        <v>52</v>
      </c>
      <c r="C11" s="16" t="s">
        <v>245</v>
      </c>
      <c r="D11" s="37" t="s">
        <v>119</v>
      </c>
      <c r="E11" s="37" t="s">
        <v>119</v>
      </c>
      <c r="F11" s="14" t="str">
        <f>"リクエスト「"&amp;B11&amp;"」の値を設定"</f>
        <v>リクエスト「バーコード情報」の値を設定</v>
      </c>
    </row>
    <row r="12" spans="1:6">
      <c r="A12" s="171"/>
      <c r="B12" s="13" t="s">
        <v>53</v>
      </c>
      <c r="C12" s="16" t="s">
        <v>259</v>
      </c>
      <c r="D12" s="37" t="s">
        <v>119</v>
      </c>
      <c r="E12" s="37" t="s">
        <v>119</v>
      </c>
      <c r="F12" s="14" t="s">
        <v>15</v>
      </c>
    </row>
    <row r="13" spans="1:6">
      <c r="A13" s="171"/>
      <c r="B13" s="11" t="s">
        <v>75</v>
      </c>
      <c r="C13" s="16" t="s">
        <v>246</v>
      </c>
      <c r="D13" s="37" t="s">
        <v>119</v>
      </c>
      <c r="E13" s="37" t="s">
        <v>119</v>
      </c>
      <c r="F13" s="12" t="s">
        <v>261</v>
      </c>
    </row>
    <row r="14" spans="1:6" ht="72">
      <c r="A14" s="171"/>
      <c r="B14" s="16" t="s">
        <v>54</v>
      </c>
      <c r="C14" s="16" t="s">
        <v>247</v>
      </c>
      <c r="D14" s="37" t="s">
        <v>119</v>
      </c>
      <c r="E14" s="37" t="s">
        <v>119</v>
      </c>
      <c r="F14" s="23" t="s">
        <v>388</v>
      </c>
    </row>
    <row r="15" spans="1:6">
      <c r="A15" s="171"/>
      <c r="B15" s="11" t="s">
        <v>61</v>
      </c>
      <c r="C15" s="16" t="s">
        <v>248</v>
      </c>
      <c r="D15" s="37" t="s">
        <v>119</v>
      </c>
      <c r="E15" s="37" t="s">
        <v>119</v>
      </c>
      <c r="F15" s="12" t="s">
        <v>261</v>
      </c>
    </row>
    <row r="16" spans="1:6">
      <c r="A16" s="171"/>
      <c r="B16" s="10" t="s">
        <v>73</v>
      </c>
      <c r="C16" s="16" t="s">
        <v>264</v>
      </c>
      <c r="D16" s="37" t="s">
        <v>119</v>
      </c>
      <c r="E16" s="37" t="s">
        <v>119</v>
      </c>
      <c r="F16" s="14" t="s">
        <v>387</v>
      </c>
    </row>
    <row r="17" spans="1:6">
      <c r="A17" s="171"/>
      <c r="B17" s="11" t="s">
        <v>74</v>
      </c>
      <c r="C17" s="16" t="s">
        <v>265</v>
      </c>
      <c r="D17" s="37" t="s">
        <v>119</v>
      </c>
      <c r="E17" s="37" t="s">
        <v>119</v>
      </c>
      <c r="F17" s="12" t="s">
        <v>261</v>
      </c>
    </row>
  </sheetData>
  <mergeCells count="2">
    <mergeCell ref="A1:B1"/>
    <mergeCell ref="A2:A17"/>
  </mergeCells>
  <phoneticPr fontId="12"/>
  <pageMargins left="0.7" right="0.7" top="0.75" bottom="0.75" header="0.3" footer="0.3"/>
  <pageSetup paperSize="9" scale="4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2A56-3D7A-43B7-8E12-64A76DB04B94}">
  <sheetPr codeName="Sheet7"/>
  <dimension ref="A1:AJ53"/>
  <sheetViews>
    <sheetView view="pageBreakPreview" zoomScale="70" zoomScaleNormal="70" zoomScaleSheetLayoutView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33" sqref="E33"/>
    </sheetView>
  </sheetViews>
  <sheetFormatPr defaultColWidth="8.69921875" defaultRowHeight="18"/>
  <cols>
    <col min="1" max="1" width="23" style="18" customWidth="1"/>
    <col min="2" max="2" width="41.8984375" style="18" customWidth="1"/>
    <col min="3" max="3" width="26.69921875" style="18" customWidth="1"/>
    <col min="4" max="4" width="17.3984375" style="18" customWidth="1"/>
    <col min="5" max="5" width="27.3984375" style="18" customWidth="1"/>
    <col min="6" max="6" width="29.59765625" style="18" customWidth="1"/>
    <col min="7" max="7" width="26.69921875" style="18" customWidth="1"/>
    <col min="8" max="8" width="15.5" style="18" customWidth="1"/>
    <col min="9" max="9" width="29.59765625" style="18" customWidth="1"/>
    <col min="10" max="10" width="15.296875" style="18" customWidth="1"/>
    <col min="11" max="11" width="14.3984375" style="18" customWidth="1"/>
    <col min="12" max="37" width="0" style="18" hidden="1" customWidth="1"/>
    <col min="38" max="16384" width="8.69921875" style="18"/>
  </cols>
  <sheetData>
    <row r="1" spans="1:11" ht="44.4" customHeight="1">
      <c r="A1" s="172" t="s">
        <v>116</v>
      </c>
      <c r="B1" s="160" t="str">
        <f xml:space="preserve"> "レスポンスパターン" &amp; "（" &amp; SUM(B20:J20) &amp; "ビット）"</f>
        <v>レスポンスパターン（21ビット）</v>
      </c>
      <c r="C1" s="160"/>
      <c r="D1" s="160"/>
      <c r="E1" s="160"/>
      <c r="F1" s="160"/>
      <c r="G1" s="160"/>
      <c r="H1" s="160"/>
      <c r="I1" s="160"/>
      <c r="J1" s="160"/>
      <c r="K1" s="161" t="s">
        <v>307</v>
      </c>
    </row>
    <row r="2" spans="1:11" ht="39.6" customHeight="1">
      <c r="A2" s="165"/>
      <c r="B2" s="167" t="str">
        <f xml:space="preserve"> "払戻のレスポンス" &amp; "（" &amp; SUM(B20:E20) &amp; "ビット）"</f>
        <v>払戻のレスポンス（10ビット）</v>
      </c>
      <c r="C2" s="169"/>
      <c r="D2" s="169"/>
      <c r="E2" s="169"/>
      <c r="F2" s="162" t="str">
        <f xml:space="preserve"> "払戻取消のレスポンス" &amp; "（" &amp; SUM(F20:J20) &amp; "ビット）"</f>
        <v>払戻取消のレスポンス（11ビット）</v>
      </c>
      <c r="G2" s="162"/>
      <c r="H2" s="162"/>
      <c r="I2" s="162"/>
      <c r="J2" s="162"/>
      <c r="K2" s="161"/>
    </row>
    <row r="3" spans="1:11" ht="36">
      <c r="A3" s="166"/>
      <c r="B3" s="15" t="str">
        <f xml:space="preserve"> "処理結果" &amp; CHAR(10) &amp; "（" &amp; B20 &amp; "ビット）"</f>
        <v>処理結果
（3ビット）</v>
      </c>
      <c r="C3" s="15" t="str">
        <f xml:space="preserve"> "応答結果" &amp; CHAR(10) &amp; "（" &amp; C20 &amp; "ビット）"</f>
        <v>応答結果
（4ビット）</v>
      </c>
      <c r="D3" s="15" t="str">
        <f xml:space="preserve"> "払戻金額" &amp; CHAR(10) &amp; "（" &amp; D20 &amp; "ビット）"</f>
        <v>払戻金額
（2ビット）</v>
      </c>
      <c r="E3" s="15" t="str">
        <f xml:space="preserve"> "レスポンスパターン（再送用）" &amp; CHAR(10) &amp; "（" &amp; E20 &amp; "ビット）"</f>
        <v>レスポンスパターン（再送用）
（1ビット）</v>
      </c>
      <c r="F3" s="15" t="str">
        <f xml:space="preserve"> "処理結果" &amp; CHAR(10) &amp; "（" &amp; F20 &amp; "ビット）"</f>
        <v>処理結果
（3ビット）</v>
      </c>
      <c r="G3" s="15" t="str">
        <f xml:space="preserve"> "応答結果" &amp; CHAR(10) &amp; "（" &amp; G20 &amp; "ビット）"</f>
        <v>応答結果
（3ビット）</v>
      </c>
      <c r="H3" s="15" t="str">
        <f xml:space="preserve"> "払戻金額" &amp; CHAR(10) &amp; "（" &amp; H20 &amp; "ビット）"</f>
        <v>払戻金額
（2ビット）</v>
      </c>
      <c r="I3" s="15" t="str">
        <f xml:space="preserve"> "レスポンスパターン（再送用）" &amp; CHAR(10) &amp; "（" &amp; I20 &amp; "ビット）"</f>
        <v>レスポンスパターン（再送用）
（1ビット）</v>
      </c>
      <c r="J3" s="15" t="str">
        <f xml:space="preserve"> "ショップID" &amp; CHAR(10) &amp; "（" &amp; J20 &amp; "ビット）"</f>
        <v>ショップID
（2ビット）</v>
      </c>
      <c r="K3" s="161"/>
    </row>
    <row r="4" spans="1:11">
      <c r="A4" s="19">
        <v>0</v>
      </c>
      <c r="B4" s="14" t="s">
        <v>0</v>
      </c>
      <c r="C4" s="14" t="s">
        <v>33</v>
      </c>
      <c r="D4" s="21" t="s">
        <v>273</v>
      </c>
      <c r="E4" s="14" t="s">
        <v>315</v>
      </c>
      <c r="F4" s="14" t="s">
        <v>0</v>
      </c>
      <c r="G4" s="14" t="s">
        <v>33</v>
      </c>
      <c r="H4" s="21" t="s">
        <v>273</v>
      </c>
      <c r="I4" s="14" t="s">
        <v>315</v>
      </c>
      <c r="J4" s="65" t="s">
        <v>293</v>
      </c>
      <c r="K4" s="22">
        <v>0</v>
      </c>
    </row>
    <row r="5" spans="1:11">
      <c r="A5" s="19">
        <v>1</v>
      </c>
      <c r="B5" s="14" t="s">
        <v>2</v>
      </c>
      <c r="C5" s="14" t="s">
        <v>25</v>
      </c>
      <c r="D5" s="21" t="s">
        <v>274</v>
      </c>
      <c r="E5" s="14" t="s">
        <v>316</v>
      </c>
      <c r="F5" s="14" t="s">
        <v>63</v>
      </c>
      <c r="G5" s="14" t="s">
        <v>36</v>
      </c>
      <c r="H5" s="21" t="s">
        <v>274</v>
      </c>
      <c r="I5" s="14" t="s">
        <v>316</v>
      </c>
      <c r="J5" s="65" t="s">
        <v>294</v>
      </c>
      <c r="K5" s="22">
        <v>1</v>
      </c>
    </row>
    <row r="6" spans="1:11">
      <c r="A6" s="19">
        <v>10</v>
      </c>
      <c r="B6" s="14" t="s">
        <v>63</v>
      </c>
      <c r="C6" s="14" t="s">
        <v>34</v>
      </c>
      <c r="D6" s="21" t="s">
        <v>275</v>
      </c>
      <c r="E6" s="22"/>
      <c r="F6" s="14" t="s">
        <v>101</v>
      </c>
      <c r="G6" s="14" t="s">
        <v>26</v>
      </c>
      <c r="H6" s="21" t="s">
        <v>275</v>
      </c>
      <c r="I6" s="22"/>
      <c r="J6" s="103" t="s">
        <v>329</v>
      </c>
      <c r="K6" s="88">
        <v>2</v>
      </c>
    </row>
    <row r="7" spans="1:11">
      <c r="A7" s="19">
        <v>11</v>
      </c>
      <c r="B7" s="14" t="s">
        <v>101</v>
      </c>
      <c r="C7" s="14" t="s">
        <v>35</v>
      </c>
      <c r="D7" s="21" t="s">
        <v>276</v>
      </c>
      <c r="E7" s="22"/>
      <c r="F7" s="14" t="s">
        <v>102</v>
      </c>
      <c r="G7" s="14" t="s">
        <v>27</v>
      </c>
      <c r="H7" s="21" t="s">
        <v>276</v>
      </c>
      <c r="I7" s="22"/>
      <c r="J7" s="102" t="s">
        <v>295</v>
      </c>
      <c r="K7" s="22">
        <v>3</v>
      </c>
    </row>
    <row r="8" spans="1:11">
      <c r="A8" s="19">
        <v>100</v>
      </c>
      <c r="B8" s="14" t="s">
        <v>268</v>
      </c>
      <c r="C8" s="14" t="s">
        <v>106</v>
      </c>
      <c r="D8" s="22"/>
      <c r="E8" s="22"/>
      <c r="F8" s="14" t="s">
        <v>318</v>
      </c>
      <c r="G8" s="14" t="s">
        <v>28</v>
      </c>
      <c r="H8" s="22"/>
      <c r="I8" s="22"/>
      <c r="J8" s="22"/>
      <c r="K8" s="22"/>
    </row>
    <row r="9" spans="1:11">
      <c r="A9" s="19">
        <v>101</v>
      </c>
      <c r="B9" s="14" t="s">
        <v>318</v>
      </c>
      <c r="C9" s="14" t="s">
        <v>26</v>
      </c>
      <c r="D9" s="22"/>
      <c r="E9" s="22"/>
      <c r="F9" s="14" t="s">
        <v>317</v>
      </c>
      <c r="G9" s="14" t="s">
        <v>30</v>
      </c>
      <c r="H9" s="22"/>
      <c r="I9" s="22"/>
      <c r="J9" s="22"/>
      <c r="K9" s="22"/>
    </row>
    <row r="10" spans="1:11">
      <c r="A10" s="19">
        <v>110</v>
      </c>
      <c r="B10" s="14" t="s">
        <v>317</v>
      </c>
      <c r="C10" s="14" t="s">
        <v>27</v>
      </c>
      <c r="D10" s="22"/>
      <c r="E10" s="22"/>
      <c r="F10" s="22"/>
      <c r="G10" s="22"/>
      <c r="H10" s="22"/>
      <c r="I10" s="22"/>
      <c r="J10" s="22"/>
      <c r="K10" s="22"/>
    </row>
    <row r="11" spans="1:11">
      <c r="A11" s="19">
        <v>111</v>
      </c>
      <c r="B11" s="22"/>
      <c r="C11" s="14" t="s">
        <v>28</v>
      </c>
      <c r="D11" s="22"/>
      <c r="E11" s="22"/>
      <c r="F11" s="22"/>
      <c r="G11" s="22"/>
      <c r="H11" s="22"/>
      <c r="I11" s="22"/>
      <c r="J11" s="22"/>
      <c r="K11" s="22"/>
    </row>
    <row r="12" spans="1:11">
      <c r="A12" s="19">
        <v>1000</v>
      </c>
      <c r="B12" s="22"/>
      <c r="C12" s="14" t="s">
        <v>30</v>
      </c>
      <c r="D12" s="22"/>
      <c r="E12" s="22"/>
      <c r="F12" s="22"/>
      <c r="G12" s="22"/>
      <c r="H12" s="22"/>
      <c r="I12" s="22"/>
      <c r="J12" s="22"/>
      <c r="K12" s="22"/>
    </row>
    <row r="13" spans="1:11" s="9" customFormat="1">
      <c r="A13" s="78">
        <v>1001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</row>
    <row r="14" spans="1:11" s="9" customFormat="1" hidden="1">
      <c r="A14" s="78">
        <v>1010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5" spans="1:11" s="9" customFormat="1" hidden="1">
      <c r="A15" s="78">
        <v>1011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1" s="9" customFormat="1" hidden="1">
      <c r="A16" s="78">
        <v>1100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1:11" s="9" customFormat="1" hidden="1">
      <c r="A17" s="78">
        <v>1101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spans="1:11" s="9" customFormat="1" hidden="1">
      <c r="A18" s="78">
        <v>1110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</row>
    <row r="19" spans="1:11" s="9" customFormat="1" hidden="1">
      <c r="A19" s="78">
        <v>1111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r="20" spans="1:11">
      <c r="B20" s="18">
        <v>3</v>
      </c>
      <c r="C20" s="18">
        <v>4</v>
      </c>
      <c r="D20" s="18">
        <v>2</v>
      </c>
      <c r="E20" s="18">
        <v>1</v>
      </c>
      <c r="F20" s="18">
        <v>3</v>
      </c>
      <c r="G20" s="18">
        <v>3</v>
      </c>
      <c r="H20" s="18">
        <v>2</v>
      </c>
      <c r="I20" s="18">
        <v>1</v>
      </c>
      <c r="J20" s="18">
        <v>2</v>
      </c>
      <c r="K20" s="18">
        <v>2</v>
      </c>
    </row>
    <row r="21" spans="1:11">
      <c r="A21" s="18" t="s">
        <v>310</v>
      </c>
    </row>
    <row r="22" spans="1:11" s="9" customFormat="1" ht="35.4" customHeight="1">
      <c r="A22" s="84" t="s">
        <v>300</v>
      </c>
      <c r="B22" s="80" t="s">
        <v>102</v>
      </c>
      <c r="C22" s="80" t="s">
        <v>305</v>
      </c>
      <c r="D22" s="80" t="s">
        <v>319</v>
      </c>
      <c r="E22" s="80" t="s">
        <v>315</v>
      </c>
      <c r="F22" s="80" t="s">
        <v>299</v>
      </c>
      <c r="G22" s="80" t="s">
        <v>305</v>
      </c>
      <c r="H22" s="80" t="s">
        <v>319</v>
      </c>
      <c r="I22" s="80" t="s">
        <v>315</v>
      </c>
      <c r="J22" s="80" t="s">
        <v>383</v>
      </c>
      <c r="K22" s="76">
        <v>2</v>
      </c>
    </row>
    <row r="23" spans="1:11" s="9" customFormat="1" ht="46.2" customHeight="1">
      <c r="A23" s="99" t="s">
        <v>304</v>
      </c>
      <c r="B23" s="72"/>
      <c r="C23" s="72"/>
      <c r="D23" s="72"/>
      <c r="E23" s="72"/>
      <c r="F23" s="72"/>
      <c r="G23" s="72"/>
      <c r="H23" s="72"/>
      <c r="I23" s="72"/>
      <c r="J23" s="72"/>
      <c r="K23" s="87">
        <v>10</v>
      </c>
    </row>
    <row r="24" spans="1:11" s="9" customFormat="1" ht="24.6" customHeight="1">
      <c r="A24" s="66" t="s">
        <v>296</v>
      </c>
      <c r="B24" s="79" t="str">
        <f>IF(AND(B26&lt;&gt;"",B26&gt;(COUNTA(B4:B19)-1)),"選択された項目が不正",IF(AND(B23&lt;&gt;"",BIN2DEC(B23)&gt;(COUNTA(B4:B19)-1)),"２進数値がオーバー",IF(AND(B23&lt;&gt;"",B26&lt;&gt;"",BIN2DEC(B23)&lt;&gt;B26),"両方入力したが不一致",IF(AND(B23="", B26=""),"未入力","OK"))))</f>
        <v>OK</v>
      </c>
      <c r="C24" s="79" t="str">
        <f t="shared" ref="C24:K24" si="0">IF(AND(C26&lt;&gt;"",C26&gt;(COUNTA(C4:C19)-1)),"選択された項目が不正",IF(AND(C23&lt;&gt;"",BIN2DEC(C23)&gt;(COUNTA(C4:C19)-1)),"２進数値がオーバー",IF(AND(C23&lt;&gt;"",C26&lt;&gt;"",BIN2DEC(C23)&lt;&gt;C26),"両方入力したが不一致",IF(AND(C23="", C26=""),"未入力","OK"))))</f>
        <v>OK</v>
      </c>
      <c r="D24" s="79" t="str">
        <f t="shared" si="0"/>
        <v>OK</v>
      </c>
      <c r="E24" s="85" t="str">
        <f t="shared" si="0"/>
        <v>OK</v>
      </c>
      <c r="F24" s="85" t="str">
        <f t="shared" si="0"/>
        <v>OK</v>
      </c>
      <c r="G24" s="85" t="str">
        <f t="shared" si="0"/>
        <v>OK</v>
      </c>
      <c r="H24" s="85" t="str">
        <f t="shared" si="0"/>
        <v>OK</v>
      </c>
      <c r="I24" s="85" t="str">
        <f t="shared" si="0"/>
        <v>OK</v>
      </c>
      <c r="J24" s="85" t="str">
        <f t="shared" si="0"/>
        <v>OK</v>
      </c>
      <c r="K24" s="85" t="str">
        <f t="shared" si="0"/>
        <v>OK</v>
      </c>
    </row>
    <row r="25" spans="1:11" s="9" customFormat="1" hidden="1">
      <c r="A25" s="83" t="s">
        <v>309</v>
      </c>
    </row>
    <row r="26" spans="1:11" s="9" customFormat="1" hidden="1">
      <c r="A26" s="74" t="s">
        <v>306</v>
      </c>
      <c r="B26" s="18">
        <f>IF(B22="","",MATCH(B22,B4:B19,0)-1)</f>
        <v>4</v>
      </c>
      <c r="C26" s="18">
        <f t="shared" ref="C26:J26" si="1">IF(C22="","",MATCH(C22,C4:C19,0)-1)</f>
        <v>0</v>
      </c>
      <c r="D26" s="18">
        <f t="shared" si="1"/>
        <v>1</v>
      </c>
      <c r="E26" s="18">
        <f t="shared" si="1"/>
        <v>0</v>
      </c>
      <c r="F26" s="18">
        <f t="shared" si="1"/>
        <v>0</v>
      </c>
      <c r="G26" s="18">
        <f t="shared" si="1"/>
        <v>0</v>
      </c>
      <c r="H26" s="18">
        <f t="shared" si="1"/>
        <v>1</v>
      </c>
      <c r="I26" s="18">
        <f t="shared" si="1"/>
        <v>0</v>
      </c>
      <c r="J26" s="18">
        <f t="shared" si="1"/>
        <v>1</v>
      </c>
      <c r="K26" s="18">
        <f t="shared" ref="K26" si="2">IF(K22="","",MATCH(K22,K4:K19,0)-1)</f>
        <v>2</v>
      </c>
    </row>
    <row r="27" spans="1:11" s="9" customFormat="1" hidden="1">
      <c r="A27" s="74" t="s">
        <v>301</v>
      </c>
      <c r="B27" s="18">
        <f t="shared" ref="B27:J27" si="3">ROUNDUP(LOG(COUNTA(B4:B19),2),0)</f>
        <v>3</v>
      </c>
      <c r="C27" s="18">
        <f t="shared" si="3"/>
        <v>4</v>
      </c>
      <c r="D27" s="18">
        <f t="shared" si="3"/>
        <v>2</v>
      </c>
      <c r="E27" s="18">
        <f t="shared" si="3"/>
        <v>1</v>
      </c>
      <c r="F27" s="18">
        <f t="shared" si="3"/>
        <v>3</v>
      </c>
      <c r="G27" s="18">
        <f t="shared" si="3"/>
        <v>3</v>
      </c>
      <c r="H27" s="18">
        <f t="shared" si="3"/>
        <v>2</v>
      </c>
      <c r="I27" s="18">
        <f t="shared" si="3"/>
        <v>1</v>
      </c>
      <c r="J27" s="18">
        <f t="shared" si="3"/>
        <v>2</v>
      </c>
      <c r="K27" s="18">
        <v>2</v>
      </c>
    </row>
    <row r="28" spans="1:11" s="9" customFormat="1" hidden="1">
      <c r="A28" s="75" t="s">
        <v>302</v>
      </c>
      <c r="B28" s="86">
        <f>POWER(2,B27)*C28</f>
        <v>8388608</v>
      </c>
      <c r="C28" s="9">
        <f>POWER(2,C27)*D28</f>
        <v>1048576</v>
      </c>
      <c r="D28" s="9">
        <f>POWER(2,D27)*E28</f>
        <v>65536</v>
      </c>
      <c r="E28" s="9">
        <f>POWER(2,E27)*F28</f>
        <v>16384</v>
      </c>
      <c r="F28" s="9">
        <f t="shared" ref="F28:J28" si="4">POWER(2,F27)*G28</f>
        <v>8192</v>
      </c>
      <c r="G28" s="9">
        <f t="shared" si="4"/>
        <v>1024</v>
      </c>
      <c r="H28" s="9">
        <f t="shared" si="4"/>
        <v>128</v>
      </c>
      <c r="I28" s="9">
        <f t="shared" si="4"/>
        <v>32</v>
      </c>
      <c r="J28" s="9">
        <f t="shared" si="4"/>
        <v>16</v>
      </c>
      <c r="K28" s="9">
        <f>POWER(2,K27)*1</f>
        <v>4</v>
      </c>
    </row>
    <row r="29" spans="1:11" s="9" customFormat="1" hidden="1">
      <c r="A29" s="75" t="s">
        <v>303</v>
      </c>
      <c r="B29" s="9">
        <f t="shared" ref="B29:J29" si="5">IF(B23="",B26,BIN2DEC(B23))*C28</f>
        <v>4194304</v>
      </c>
      <c r="C29" s="9">
        <f t="shared" si="5"/>
        <v>0</v>
      </c>
      <c r="D29" s="9">
        <f t="shared" si="5"/>
        <v>16384</v>
      </c>
      <c r="E29" s="9">
        <f t="shared" si="5"/>
        <v>0</v>
      </c>
      <c r="F29" s="9">
        <f t="shared" si="5"/>
        <v>0</v>
      </c>
      <c r="G29" s="9">
        <f t="shared" si="5"/>
        <v>0</v>
      </c>
      <c r="H29" s="9">
        <f t="shared" si="5"/>
        <v>32</v>
      </c>
      <c r="I29" s="9">
        <f t="shared" si="5"/>
        <v>0</v>
      </c>
      <c r="J29" s="9">
        <f t="shared" si="5"/>
        <v>4</v>
      </c>
      <c r="K29" s="9">
        <f>IF(K23="",K26,BIN2DEC(K23))*1</f>
        <v>2</v>
      </c>
    </row>
    <row r="30" spans="1:11" s="9" customFormat="1">
      <c r="A30" s="83" t="s">
        <v>308</v>
      </c>
    </row>
    <row r="31" spans="1:11" s="9" customFormat="1" ht="28.8" hidden="1" customHeight="1">
      <c r="A31" s="90" t="s">
        <v>313</v>
      </c>
      <c r="B31" s="81" t="str">
        <f>"90" &amp; REPT("0",10-LEN(SUM(B29:K29)))   &amp; SUM(B29:K29)</f>
        <v>900004210726</v>
      </c>
      <c r="I31" s="67"/>
      <c r="J31" s="67"/>
    </row>
    <row r="32" spans="1:11" s="9" customFormat="1" ht="19.8" hidden="1">
      <c r="A32" s="68" t="s">
        <v>297</v>
      </c>
      <c r="B32" s="82" cm="1">
        <f t="array" ref="B32">MOD(10 - MOD(SUMPRODUCT(MID(B31, {2,4,6,8,10,12}, 1) + 0) * 3 + SUMPRODUCT(MID(B31, {1,3,5,7,9,11}, 1) + 0), 10), 10)</f>
        <v>3</v>
      </c>
      <c r="I32" s="67"/>
      <c r="J32" s="67"/>
    </row>
    <row r="33" spans="1:36" s="9" customFormat="1" ht="36.6" customHeight="1">
      <c r="A33" s="69" t="s">
        <v>314</v>
      </c>
      <c r="B33" s="131" t="str">
        <f>""&amp;B31&amp;B32&amp;""</f>
        <v>9000042107263</v>
      </c>
      <c r="I33" s="67"/>
      <c r="J33" s="67"/>
    </row>
    <row r="34" spans="1:36" ht="44.4" customHeight="1">
      <c r="A34" s="117" t="s">
        <v>367</v>
      </c>
      <c r="B34" s="133" t="str">
        <f>"d"&amp; B33 &amp; "d"</f>
        <v>d9000042107263d</v>
      </c>
      <c r="C34" s="70"/>
    </row>
    <row r="35" spans="1:36" ht="22.2">
      <c r="A35" s="114"/>
      <c r="B35" s="115" t="s">
        <v>368</v>
      </c>
      <c r="C35" s="70"/>
    </row>
    <row r="36" spans="1:36">
      <c r="A36" s="9"/>
      <c r="B36" s="114" t="s">
        <v>369</v>
      </c>
      <c r="C36" s="116" t="s">
        <v>370</v>
      </c>
    </row>
    <row r="38" spans="1:36" s="9" customFormat="1" ht="22.2">
      <c r="A38" s="128" t="s">
        <v>380</v>
      </c>
      <c r="B38" s="129"/>
      <c r="C38" s="116"/>
    </row>
    <row r="39" spans="1:36" s="9" customFormat="1" ht="20.399999999999999" thickBot="1">
      <c r="A39" s="120"/>
      <c r="B39" s="130" t="s">
        <v>381</v>
      </c>
      <c r="C39" s="116"/>
    </row>
    <row r="40" spans="1:36" s="9" customFormat="1" ht="34.799999999999997" customHeight="1" thickBot="1">
      <c r="A40" s="69" t="s">
        <v>371</v>
      </c>
      <c r="B40" s="118"/>
      <c r="D40" s="67"/>
      <c r="I40" s="67"/>
      <c r="J40" s="67"/>
      <c r="K40" s="67"/>
      <c r="O40" s="18"/>
    </row>
    <row r="41" spans="1:36" s="9" customFormat="1" ht="33.6" customHeight="1">
      <c r="A41" s="132" t="s">
        <v>386</v>
      </c>
      <c r="B41" s="120" t="str">
        <f>IF(LEN(B40)=0,"バーコードは未入力。",IF(LEN(B40)&lt;&gt;13,"バーコードの桁数が不正。",IF(RIGHT(B51,2)&lt;&gt;"10","No."&amp; BIN2DEC(RIGHT(B51,2)) +1 &amp; "マッピングに参照してください。","")))</f>
        <v>バーコードは未入力。</v>
      </c>
      <c r="D41" s="67"/>
      <c r="I41" s="67"/>
      <c r="J41" s="67"/>
      <c r="K41" s="67"/>
      <c r="O41" s="18"/>
    </row>
    <row r="42" spans="1:36" s="9" customFormat="1" ht="34.200000000000003" customHeight="1">
      <c r="A42" s="159" t="s">
        <v>372</v>
      </c>
      <c r="B42" s="160" t="str">
        <f xml:space="preserve"> "レスポンスパターン"</f>
        <v>レスポンスパターン</v>
      </c>
      <c r="C42" s="160"/>
      <c r="D42" s="160"/>
      <c r="E42" s="160"/>
      <c r="F42" s="160"/>
      <c r="G42" s="160"/>
      <c r="H42" s="160"/>
      <c r="I42" s="160"/>
      <c r="J42" s="160"/>
      <c r="K42" s="161" t="s">
        <v>384</v>
      </c>
      <c r="L42" s="18"/>
      <c r="M42" s="18"/>
      <c r="N42" s="18"/>
    </row>
    <row r="43" spans="1:36" s="9" customFormat="1" ht="34.200000000000003" customHeight="1">
      <c r="A43" s="159"/>
      <c r="B43" s="167" t="str">
        <f xml:space="preserve"> "払戻のレスポンス"</f>
        <v>払戻のレスポンス</v>
      </c>
      <c r="C43" s="169"/>
      <c r="D43" s="169"/>
      <c r="E43" s="169"/>
      <c r="F43" s="162" t="str">
        <f xml:space="preserve"> "払戻取消のレスポンス"</f>
        <v>払戻取消のレスポンス</v>
      </c>
      <c r="G43" s="162"/>
      <c r="H43" s="162"/>
      <c r="I43" s="162"/>
      <c r="J43" s="162"/>
      <c r="K43" s="161"/>
      <c r="L43" s="18"/>
      <c r="M43" s="18"/>
      <c r="N43" s="18"/>
    </row>
    <row r="44" spans="1:36" s="9" customFormat="1" ht="36">
      <c r="A44" s="159"/>
      <c r="B44" s="15" t="str">
        <f xml:space="preserve"> "処理結果" &amp; CHAR(10) &amp; "（" &amp; B61 &amp; "ビット）"</f>
        <v>処理結果
（ビット）</v>
      </c>
      <c r="C44" s="15" t="str">
        <f xml:space="preserve"> "応答結果" &amp; CHAR(10) &amp; "（" &amp; C61 &amp; "ビット）"</f>
        <v>応答結果
（ビット）</v>
      </c>
      <c r="D44" s="15" t="str">
        <f xml:space="preserve"> "払戻金額" &amp; CHAR(10) &amp; "（" &amp; D61 &amp; "ビット）"</f>
        <v>払戻金額
（ビット）</v>
      </c>
      <c r="E44" s="15" t="str">
        <f xml:space="preserve"> "レスポンスパターン（再送用）" &amp; CHAR(10) &amp; "（" &amp; E61 &amp; "ビット）"</f>
        <v>レスポンスパターン（再送用）
（ビット）</v>
      </c>
      <c r="F44" s="15" t="str">
        <f xml:space="preserve"> "処理結果" &amp; CHAR(10) &amp; "（" &amp; F61 &amp; "ビット）"</f>
        <v>処理結果
（ビット）</v>
      </c>
      <c r="G44" s="15" t="str">
        <f xml:space="preserve"> "応答結果" &amp; CHAR(10) &amp; "（" &amp; G61 &amp; "ビット）"</f>
        <v>応答結果
（ビット）</v>
      </c>
      <c r="H44" s="15" t="str">
        <f xml:space="preserve"> "払戻金額" &amp; CHAR(10) &amp; "（" &amp; H61 &amp; "ビット）"</f>
        <v>払戻金額
（ビット）</v>
      </c>
      <c r="I44" s="15" t="str">
        <f xml:space="preserve"> "レスポンスパターン（再送用）" &amp; CHAR(10) &amp; "（" &amp; I61 &amp; "ビット）"</f>
        <v>レスポンスパターン（再送用）
（ビット）</v>
      </c>
      <c r="J44" s="15" t="str">
        <f xml:space="preserve"> "ショップID" &amp; CHAR(10) &amp; "（" &amp; J61 &amp; "ビット）"</f>
        <v>ショップID
（ビット）</v>
      </c>
      <c r="K44" s="161"/>
      <c r="L44" s="18"/>
      <c r="M44" s="18"/>
      <c r="N44" s="18"/>
    </row>
    <row r="45" spans="1:36" s="9" customFormat="1" ht="31.8" customHeight="1">
      <c r="A45" s="121" t="s">
        <v>373</v>
      </c>
      <c r="B45" s="122" t="str">
        <f>IF($B$41="",IF(LOOKUP(B53,$A$4:$A$19,B4:B19)=0,LOOKUP(0,$A$4:$A$19,B4:B19),LOOKUP(B53,$A$4:$A$19,B4:B19)),"")</f>
        <v/>
      </c>
      <c r="C45" s="122" t="str">
        <f>IF($B$41="",IF(LOOKUP(C53,$A$4:$A$19,C4:C19)=0,LOOKUP(0,$A$4:$A$19,C4:C19),LOOKUP(C53,$A$4:$A$19,C4:C19)),"")</f>
        <v/>
      </c>
      <c r="D45" s="122" t="str">
        <f>IF($B$41="",IF(LOOKUP(D53,$A$4:$A$19,D4:D19)=0,LOOKUP(3,$A$4:$A$19,D4:D19),LOOKUP(D53,$A$4:$A$19,D4:D19)),"")</f>
        <v/>
      </c>
      <c r="E45" s="122" t="str">
        <f>IF($B$41="",IF(LOOKUP(E53,$A$4:$A$19,E4:E19)=0,LOOKUP(0,$A$4:$A$19,E4:E19),LOOKUP(E53,$A$4:$A$19,E4:E19)),"")</f>
        <v/>
      </c>
      <c r="F45" s="122" t="str">
        <f>IF($B$41="",IF(LOOKUP(F53,$A$4:$A$19,F4:F19)=0,LOOKUP(0,$A$4:$A$19,F4:F19),LOOKUP(F53,$A$4:$A$19,F4:F19)),"")</f>
        <v/>
      </c>
      <c r="G45" s="122" t="str">
        <f>IF($B$41="",IF(LOOKUP(G53,$A$4:$A$19,G4:G19)=0,LOOKUP(0,$A$4:$A$19,G4:G19),LOOKUP(G53,$A$4:$A$19,G4:G19)),"")</f>
        <v/>
      </c>
      <c r="H45" s="122" t="str">
        <f>IF($B$41="",IF(LOOKUP(H53,$A$4:$A$19,H4:H19)=0,LOOKUP(3,$A$4:$A$19,H4:H19),LOOKUP(H53,$A$4:$A$19,H4:H19)),"")</f>
        <v/>
      </c>
      <c r="I45" s="122" t="str">
        <f>IF($B$41="",IF(LOOKUP(I53,$A$4:$A$19,I4:I19)=0,LOOKUP(0,$A$4:$A$19,I4:I19),LOOKUP(I53,$A$4:$A$19,I4:I19)),"")</f>
        <v/>
      </c>
      <c r="J45" s="122" t="str">
        <f>IF($B$41="",IF(LOOKUP(J53,$A$4:$A$19,J4:J19)=0,LOOKUP(0,$A$4:$A$19,J4:J19),LOOKUP(J53,$A$4:$A$19,J4:J19)),"")</f>
        <v/>
      </c>
      <c r="K45" s="122" t="str">
        <f>IF($B$41="",IF(LOOKUP(K53,$A$4:$A$19,K4:K19)=0,LOOKUP(0,$A$4:$A$19,K4:K19),LOOKUP(K53,$A$4:$A$19,K4:K19)),"")</f>
        <v/>
      </c>
    </row>
    <row r="46" spans="1:36" s="9" customFormat="1"/>
    <row r="47" spans="1:36" customFormat="1" hidden="1">
      <c r="A47" s="123" t="s">
        <v>374</v>
      </c>
      <c r="B47" s="124">
        <f>_xlfn.NUMBERVALUE(MID(B40,3,10))</f>
        <v>0</v>
      </c>
      <c r="C47" s="119" t="s">
        <v>375</v>
      </c>
      <c r="D47" s="124">
        <f>SUM(27:27)</f>
        <v>23</v>
      </c>
    </row>
    <row r="48" spans="1:36" customFormat="1" hidden="1">
      <c r="A48" s="123"/>
      <c r="B48">
        <f>MOD(B47,2)</f>
        <v>0</v>
      </c>
      <c r="C48" t="str">
        <f>IF(MOD(B49,2)=1,1,IF(C49&gt;0,0,""))</f>
        <v/>
      </c>
      <c r="D48" t="str">
        <f t="shared" ref="D48:AJ48" si="6">IF(MOD(C49,2)=1,1,IF(D49&gt;0,0,""))</f>
        <v/>
      </c>
      <c r="E48" t="str">
        <f t="shared" si="6"/>
        <v/>
      </c>
      <c r="F48" t="str">
        <f t="shared" si="6"/>
        <v/>
      </c>
      <c r="G48" t="str">
        <f t="shared" si="6"/>
        <v/>
      </c>
      <c r="H48" t="str">
        <f t="shared" si="6"/>
        <v/>
      </c>
      <c r="I48" t="str">
        <f t="shared" si="6"/>
        <v/>
      </c>
      <c r="J48" t="str">
        <f t="shared" si="6"/>
        <v/>
      </c>
      <c r="K48" t="str">
        <f t="shared" si="6"/>
        <v/>
      </c>
      <c r="L48" t="str">
        <f t="shared" si="6"/>
        <v/>
      </c>
      <c r="M48" t="str">
        <f t="shared" si="6"/>
        <v/>
      </c>
      <c r="N48" t="str">
        <f t="shared" si="6"/>
        <v/>
      </c>
      <c r="O48" t="str">
        <f t="shared" si="6"/>
        <v/>
      </c>
      <c r="P48" t="str">
        <f t="shared" si="6"/>
        <v/>
      </c>
      <c r="Q48" t="str">
        <f t="shared" si="6"/>
        <v/>
      </c>
      <c r="R48" t="str">
        <f t="shared" si="6"/>
        <v/>
      </c>
      <c r="S48" t="str">
        <f t="shared" si="6"/>
        <v/>
      </c>
      <c r="T48" t="str">
        <f t="shared" si="6"/>
        <v/>
      </c>
      <c r="U48" t="str">
        <f t="shared" si="6"/>
        <v/>
      </c>
      <c r="V48" t="str">
        <f t="shared" si="6"/>
        <v/>
      </c>
      <c r="W48" t="str">
        <f t="shared" si="6"/>
        <v/>
      </c>
      <c r="X48" t="str">
        <f t="shared" si="6"/>
        <v/>
      </c>
      <c r="Y48" t="str">
        <f t="shared" si="6"/>
        <v/>
      </c>
      <c r="Z48" t="str">
        <f t="shared" si="6"/>
        <v/>
      </c>
      <c r="AA48" t="str">
        <f t="shared" si="6"/>
        <v/>
      </c>
      <c r="AB48" t="str">
        <f t="shared" si="6"/>
        <v/>
      </c>
      <c r="AC48" t="str">
        <f t="shared" si="6"/>
        <v/>
      </c>
      <c r="AD48" t="str">
        <f t="shared" si="6"/>
        <v/>
      </c>
      <c r="AE48" t="str">
        <f t="shared" si="6"/>
        <v/>
      </c>
      <c r="AF48" t="str">
        <f t="shared" si="6"/>
        <v/>
      </c>
      <c r="AG48" t="str">
        <f t="shared" si="6"/>
        <v/>
      </c>
      <c r="AH48" t="str">
        <f t="shared" si="6"/>
        <v/>
      </c>
      <c r="AI48" t="str">
        <f t="shared" si="6"/>
        <v/>
      </c>
      <c r="AJ48" t="str">
        <f t="shared" si="6"/>
        <v/>
      </c>
    </row>
    <row r="49" spans="1:36" customFormat="1" hidden="1">
      <c r="A49" s="123" t="s">
        <v>374</v>
      </c>
      <c r="B49">
        <f>INT(B47/2)</f>
        <v>0</v>
      </c>
      <c r="C49">
        <f>INT(B49/2)</f>
        <v>0</v>
      </c>
      <c r="D49">
        <f t="shared" ref="D49:AJ49" si="7">INT(C49/2)</f>
        <v>0</v>
      </c>
      <c r="E49">
        <f t="shared" si="7"/>
        <v>0</v>
      </c>
      <c r="F49">
        <f t="shared" si="7"/>
        <v>0</v>
      </c>
      <c r="G49">
        <f t="shared" si="7"/>
        <v>0</v>
      </c>
      <c r="H49">
        <f t="shared" si="7"/>
        <v>0</v>
      </c>
      <c r="I49">
        <f t="shared" si="7"/>
        <v>0</v>
      </c>
      <c r="J49">
        <f t="shared" si="7"/>
        <v>0</v>
      </c>
      <c r="K49">
        <f t="shared" si="7"/>
        <v>0</v>
      </c>
      <c r="L49">
        <f t="shared" si="7"/>
        <v>0</v>
      </c>
      <c r="M49">
        <f t="shared" si="7"/>
        <v>0</v>
      </c>
      <c r="N49">
        <f t="shared" si="7"/>
        <v>0</v>
      </c>
      <c r="O49">
        <f t="shared" si="7"/>
        <v>0</v>
      </c>
      <c r="P49">
        <f t="shared" si="7"/>
        <v>0</v>
      </c>
      <c r="Q49">
        <f t="shared" si="7"/>
        <v>0</v>
      </c>
      <c r="R49">
        <f t="shared" si="7"/>
        <v>0</v>
      </c>
      <c r="S49">
        <f t="shared" si="7"/>
        <v>0</v>
      </c>
      <c r="T49">
        <f t="shared" si="7"/>
        <v>0</v>
      </c>
      <c r="U49">
        <f t="shared" si="7"/>
        <v>0</v>
      </c>
      <c r="V49">
        <f t="shared" si="7"/>
        <v>0</v>
      </c>
      <c r="W49">
        <f t="shared" si="7"/>
        <v>0</v>
      </c>
      <c r="X49">
        <f t="shared" si="7"/>
        <v>0</v>
      </c>
      <c r="Y49">
        <f t="shared" si="7"/>
        <v>0</v>
      </c>
      <c r="Z49">
        <f t="shared" si="7"/>
        <v>0</v>
      </c>
      <c r="AA49">
        <f t="shared" si="7"/>
        <v>0</v>
      </c>
      <c r="AB49">
        <f t="shared" si="7"/>
        <v>0</v>
      </c>
      <c r="AC49">
        <f t="shared" si="7"/>
        <v>0</v>
      </c>
      <c r="AD49">
        <f t="shared" si="7"/>
        <v>0</v>
      </c>
      <c r="AE49">
        <f t="shared" si="7"/>
        <v>0</v>
      </c>
      <c r="AF49">
        <f t="shared" si="7"/>
        <v>0</v>
      </c>
      <c r="AG49">
        <f t="shared" si="7"/>
        <v>0</v>
      </c>
      <c r="AH49">
        <f t="shared" si="7"/>
        <v>0</v>
      </c>
      <c r="AI49">
        <f t="shared" si="7"/>
        <v>0</v>
      </c>
      <c r="AJ49">
        <f t="shared" si="7"/>
        <v>0</v>
      </c>
    </row>
    <row r="50" spans="1:36" s="9" customFormat="1" hidden="1">
      <c r="A50" s="119" t="s">
        <v>376</v>
      </c>
      <c r="B50" s="9" t="str" cm="1">
        <f t="array" ref="B50">_xlfn.TEXTJOIN("", TRUE, MID(_xlfn.CONCAT(48:48), _xlfn.SEQUENCE(LEN(_xlfn.CONCAT(48:48)), 1, LEN(_xlfn.CONCAT(48:48)), -1), 1))</f>
        <v>0</v>
      </c>
      <c r="I50" s="67"/>
      <c r="J50" s="67"/>
      <c r="K50" s="67"/>
      <c r="O50" s="18"/>
    </row>
    <row r="51" spans="1:36" s="9" customFormat="1" hidden="1">
      <c r="A51" s="125" t="s">
        <v>377</v>
      </c>
      <c r="B51" s="126" t="str">
        <f>REPT("0",IF(D47-LEN(B50)&lt;0,0,D47-LEN(B50))) &amp; B50</f>
        <v>00000000000000000000000</v>
      </c>
      <c r="I51" s="67"/>
      <c r="J51" s="67"/>
      <c r="K51" s="67"/>
      <c r="O51" s="18"/>
    </row>
    <row r="52" spans="1:36" s="9" customFormat="1" hidden="1">
      <c r="A52" s="125" t="s">
        <v>378</v>
      </c>
      <c r="B52" s="9" t="str">
        <f ca="1">MID(RIGHT($B$51,$D$47),$D$47+1-SUM(OFFSET(B27, 0, 0, 1, 20)),B27)</f>
        <v>000</v>
      </c>
      <c r="C52" s="9" t="str">
        <f t="shared" ref="C52:K52" ca="1" si="8">MID(RIGHT($B$51,$D$47),$D$47+1-SUM(OFFSET(C27, 0, 0, 1, 20)),C27)</f>
        <v>0000</v>
      </c>
      <c r="D52" s="9" t="str">
        <f t="shared" ca="1" si="8"/>
        <v>00</v>
      </c>
      <c r="E52" s="9" t="str">
        <f t="shared" ca="1" si="8"/>
        <v>0</v>
      </c>
      <c r="F52" s="9" t="str">
        <f t="shared" ca="1" si="8"/>
        <v>000</v>
      </c>
      <c r="G52" s="9" t="str">
        <f t="shared" ca="1" si="8"/>
        <v>000</v>
      </c>
      <c r="H52" s="9" t="str">
        <f t="shared" ca="1" si="8"/>
        <v>00</v>
      </c>
      <c r="I52" s="9" t="str">
        <f t="shared" ca="1" si="8"/>
        <v>0</v>
      </c>
      <c r="J52" s="9" t="str">
        <f t="shared" ca="1" si="8"/>
        <v>00</v>
      </c>
      <c r="K52" s="9" t="str">
        <f t="shared" ca="1" si="8"/>
        <v>00</v>
      </c>
      <c r="L52" s="9" t="str">
        <f t="shared" ref="L52:Q52" ca="1" si="9">MID($B$51,$D$47+1-SUM(OFFSET(L27, 0, 0, 1, 20)),L27)</f>
        <v/>
      </c>
      <c r="M52" s="9" t="str">
        <f t="shared" ca="1" si="9"/>
        <v/>
      </c>
      <c r="N52" s="9" t="str">
        <f t="shared" ca="1" si="9"/>
        <v/>
      </c>
      <c r="O52" s="9" t="str">
        <f t="shared" ca="1" si="9"/>
        <v/>
      </c>
      <c r="P52" s="9" t="str">
        <f t="shared" ca="1" si="9"/>
        <v/>
      </c>
      <c r="Q52" s="9" t="str">
        <f t="shared" ca="1" si="9"/>
        <v/>
      </c>
    </row>
    <row r="53" spans="1:36" s="9" customFormat="1" hidden="1">
      <c r="A53" s="127" t="s">
        <v>379</v>
      </c>
      <c r="B53" s="9">
        <f ca="1">INT(DEC2BIN(BIN2DEC(B52)))</f>
        <v>0</v>
      </c>
      <c r="C53" s="9">
        <f t="shared" ref="C53:Q53" ca="1" si="10">INT(DEC2BIN(BIN2DEC(C52)))</f>
        <v>0</v>
      </c>
      <c r="D53" s="9">
        <f t="shared" ca="1" si="10"/>
        <v>0</v>
      </c>
      <c r="E53" s="9">
        <f t="shared" ca="1" si="10"/>
        <v>0</v>
      </c>
      <c r="F53" s="9">
        <f t="shared" ca="1" si="10"/>
        <v>0</v>
      </c>
      <c r="G53" s="9">
        <f t="shared" ca="1" si="10"/>
        <v>0</v>
      </c>
      <c r="H53" s="9">
        <f t="shared" ca="1" si="10"/>
        <v>0</v>
      </c>
      <c r="I53" s="9">
        <f t="shared" ca="1" si="10"/>
        <v>0</v>
      </c>
      <c r="J53" s="9">
        <f t="shared" ca="1" si="10"/>
        <v>0</v>
      </c>
      <c r="K53" s="9">
        <f t="shared" ca="1" si="10"/>
        <v>0</v>
      </c>
      <c r="L53" s="9">
        <f t="shared" ca="1" si="10"/>
        <v>0</v>
      </c>
      <c r="M53" s="9">
        <f t="shared" ca="1" si="10"/>
        <v>0</v>
      </c>
      <c r="N53" s="9">
        <f t="shared" ca="1" si="10"/>
        <v>0</v>
      </c>
      <c r="O53" s="9">
        <f t="shared" ca="1" si="10"/>
        <v>0</v>
      </c>
      <c r="P53" s="9">
        <f t="shared" ca="1" si="10"/>
        <v>0</v>
      </c>
      <c r="Q53" s="9">
        <f t="shared" ca="1" si="10"/>
        <v>0</v>
      </c>
    </row>
  </sheetData>
  <mergeCells count="10">
    <mergeCell ref="F2:J2"/>
    <mergeCell ref="B2:E2"/>
    <mergeCell ref="A1:A3"/>
    <mergeCell ref="B1:J1"/>
    <mergeCell ref="K1:K3"/>
    <mergeCell ref="A42:A44"/>
    <mergeCell ref="B42:J42"/>
    <mergeCell ref="K42:K44"/>
    <mergeCell ref="B43:E43"/>
    <mergeCell ref="F43:J43"/>
  </mergeCells>
  <phoneticPr fontId="12"/>
  <conditionalFormatting sqref="B33:B34">
    <cfRule type="cellIs" dxfId="13" priority="3" operator="equal">
      <formula>"OK"</formula>
    </cfRule>
  </conditionalFormatting>
  <conditionalFormatting sqref="B40">
    <cfRule type="cellIs" dxfId="12" priority="1" operator="equal">
      <formula>"OK"</formula>
    </cfRule>
  </conditionalFormatting>
  <conditionalFormatting sqref="B28:J28">
    <cfRule type="cellIs" dxfId="11" priority="11" operator="equal">
      <formula>"OK"</formula>
    </cfRule>
    <cfRule type="containsText" dxfId="10" priority="12" operator="containsText" text="&lt;&gt;&quot;OK&quot;">
      <formula>NOT(ISERROR(SEARCH("&lt;&gt;""OK""",B28)))</formula>
    </cfRule>
  </conditionalFormatting>
  <conditionalFormatting sqref="B24:K24">
    <cfRule type="cellIs" dxfId="9" priority="4" operator="equal">
      <formula>"OK"</formula>
    </cfRule>
    <cfRule type="containsText" dxfId="8" priority="5" operator="containsText" text="&lt;&gt;&quot;OK&quot;">
      <formula>NOT(ISERROR(SEARCH("&lt;&gt;""OK""",B24)))</formula>
    </cfRule>
  </conditionalFormatting>
  <conditionalFormatting sqref="B45:Q45">
    <cfRule type="expression" dxfId="7" priority="2">
      <formula>BIN2DEC(B$52)&gt;COUNTA(B$3:B$25)-1</formula>
    </cfRule>
  </conditionalFormatting>
  <dataValidations count="9">
    <dataValidation type="list" allowBlank="1" showInputMessage="1" showErrorMessage="1" sqref="B22" xr:uid="{E5EC7779-1164-457E-B707-2B9C3D71B57A}">
      <formula1>$B$4:$B$11</formula1>
    </dataValidation>
    <dataValidation type="list" allowBlank="1" showInputMessage="1" showErrorMessage="1" sqref="C22" xr:uid="{B44C8C71-DFD3-43E6-B909-31F7E2207FF0}">
      <formula1>$C$4:$C$13</formula1>
    </dataValidation>
    <dataValidation type="list" allowBlank="1" showInputMessage="1" showErrorMessage="1" sqref="D22" xr:uid="{A88EB17F-2458-42A3-BB46-F11E995D1D6D}">
      <formula1>$D$4:$D$9</formula1>
    </dataValidation>
    <dataValidation type="list" allowBlank="1" showInputMessage="1" showErrorMessage="1" sqref="E22" xr:uid="{B8613C8C-D0DC-4354-9FE7-7A133BBBFBA7}">
      <formula1>$E$4:$E$5</formula1>
    </dataValidation>
    <dataValidation type="list" allowBlank="1" showInputMessage="1" showErrorMessage="1" sqref="F22" xr:uid="{4FDD8C91-16FB-4469-B218-3418A6AB3C35}">
      <formula1>$F$4:$F$11</formula1>
    </dataValidation>
    <dataValidation type="list" allowBlank="1" showInputMessage="1" showErrorMessage="1" sqref="G22" xr:uid="{CCE18301-A497-4090-973F-EB2F0CA54C11}">
      <formula1>$G$4:$G$11</formula1>
    </dataValidation>
    <dataValidation type="list" allowBlank="1" showInputMessage="1" showErrorMessage="1" sqref="H22" xr:uid="{67B0D774-1995-4A77-B1E0-DFDEB077D350}">
      <formula1>$H$4:$H$7</formula1>
    </dataValidation>
    <dataValidation type="list" allowBlank="1" showInputMessage="1" showErrorMessage="1" sqref="I22" xr:uid="{91111D7A-797A-4B6E-AB69-133561735408}">
      <formula1>$I$4:$I$5</formula1>
    </dataValidation>
    <dataValidation type="list" allowBlank="1" showInputMessage="1" showErrorMessage="1" sqref="J22" xr:uid="{7E6A7D15-9305-440C-958D-E9919AB6482E}">
      <formula1>$J$4:$J$7</formula1>
    </dataValidation>
  </dataValidations>
  <pageMargins left="0.7" right="0.7" top="0.75" bottom="0.75" header="0.3" footer="0.3"/>
  <pageSetup paperSize="9" scale="21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17B-963A-41A5-B3B8-02FAD4F66E00}">
  <sheetPr codeName="Sheet8"/>
  <dimension ref="A1:F37"/>
  <sheetViews>
    <sheetView view="pageBreakPreview" topLeftCell="A19" zoomScaleNormal="100" zoomScaleSheetLayoutView="100" workbookViewId="0">
      <selection activeCell="D36" sqref="D36"/>
    </sheetView>
  </sheetViews>
  <sheetFormatPr defaultColWidth="8.69921875" defaultRowHeight="18"/>
  <cols>
    <col min="1" max="1" width="11" style="9" bestFit="1" customWidth="1"/>
    <col min="2" max="2" width="30.8984375" style="9" customWidth="1"/>
    <col min="3" max="3" width="21.69921875" style="9" customWidth="1"/>
    <col min="4" max="4" width="51.09765625" style="9" customWidth="1"/>
    <col min="5" max="5" width="10.09765625" style="9" hidden="1" customWidth="1"/>
    <col min="6" max="6" width="49.69921875" style="9" hidden="1" customWidth="1"/>
    <col min="7" max="16384" width="8.69921875" style="9"/>
  </cols>
  <sheetData>
    <row r="1" spans="1:4">
      <c r="A1" s="157" t="s">
        <v>51</v>
      </c>
      <c r="B1" s="157"/>
      <c r="C1" s="53" t="s">
        <v>235</v>
      </c>
      <c r="D1" s="8" t="s">
        <v>11</v>
      </c>
    </row>
    <row r="2" spans="1:4">
      <c r="A2" s="171" t="s">
        <v>12</v>
      </c>
      <c r="B2" s="10"/>
      <c r="C2" s="16"/>
      <c r="D2" s="10"/>
    </row>
    <row r="3" spans="1:4">
      <c r="A3" s="171"/>
      <c r="B3" s="11" t="s">
        <v>3</v>
      </c>
      <c r="C3" s="16" t="s">
        <v>236</v>
      </c>
      <c r="D3" s="12" t="s">
        <v>266</v>
      </c>
    </row>
    <row r="4" spans="1:4">
      <c r="A4" s="171"/>
      <c r="B4" s="10" t="s">
        <v>13</v>
      </c>
      <c r="C4" s="16" t="s">
        <v>237</v>
      </c>
      <c r="D4" s="14" t="str">
        <f>"リクエスト「"&amp;B4&amp;"」の値を設定"</f>
        <v>リクエスト「企業ＩＤ」の値を設定</v>
      </c>
    </row>
    <row r="5" spans="1:4">
      <c r="A5" s="171"/>
      <c r="B5" s="13" t="s">
        <v>14</v>
      </c>
      <c r="C5" s="16" t="s">
        <v>238</v>
      </c>
      <c r="D5" s="14" t="str">
        <f t="shared" ref="D5:D17" si="0">"リクエスト「"&amp;B5&amp;"」の値を設定"</f>
        <v>リクエスト「店　番」の値を設定</v>
      </c>
    </row>
    <row r="6" spans="1:4">
      <c r="A6" s="171"/>
      <c r="B6" s="13" t="s">
        <v>16</v>
      </c>
      <c r="C6" s="16" t="s">
        <v>239</v>
      </c>
      <c r="D6" s="14" t="str">
        <f t="shared" si="0"/>
        <v>リクエスト「レジ　No.」の値を設定</v>
      </c>
    </row>
    <row r="7" spans="1:4">
      <c r="A7" s="171"/>
      <c r="B7" s="13" t="s">
        <v>17</v>
      </c>
      <c r="C7" s="16" t="s">
        <v>241</v>
      </c>
      <c r="D7" s="14" t="str">
        <f t="shared" si="0"/>
        <v>リクエスト「利用年月日時分秒」の値を設定</v>
      </c>
    </row>
    <row r="8" spans="1:4">
      <c r="A8" s="171"/>
      <c r="B8" s="13" t="s">
        <v>18</v>
      </c>
      <c r="C8" s="16" t="s">
        <v>242</v>
      </c>
      <c r="D8" s="14" t="str">
        <f t="shared" si="0"/>
        <v>リクエスト「処理通番」の値を設定</v>
      </c>
    </row>
    <row r="9" spans="1:4">
      <c r="A9" s="171"/>
      <c r="B9" s="13" t="s">
        <v>20</v>
      </c>
      <c r="C9" s="16" t="s">
        <v>244</v>
      </c>
      <c r="D9" s="14" t="str">
        <f t="shared" si="0"/>
        <v>リクエスト「要求区分」の値を設定</v>
      </c>
    </row>
    <row r="10" spans="1:4">
      <c r="A10" s="171"/>
      <c r="B10" s="13" t="s">
        <v>10</v>
      </c>
      <c r="C10" s="16" t="s">
        <v>245</v>
      </c>
      <c r="D10" s="14" t="str">
        <f t="shared" si="0"/>
        <v>リクエスト「バーコード情報」の値を設定</v>
      </c>
    </row>
    <row r="11" spans="1:4">
      <c r="A11" s="171"/>
      <c r="B11" s="13" t="s">
        <v>53</v>
      </c>
      <c r="C11" s="16" t="s">
        <v>259</v>
      </c>
      <c r="D11" s="14" t="str">
        <f t="shared" si="0"/>
        <v>リクエスト「投票券バーコード番号」の値を設定</v>
      </c>
    </row>
    <row r="12" spans="1:4">
      <c r="A12" s="171"/>
      <c r="B12" s="13" t="s">
        <v>60</v>
      </c>
      <c r="C12" s="16" t="s">
        <v>252</v>
      </c>
      <c r="D12" s="14" t="str">
        <f t="shared" si="0"/>
        <v>リクエスト「toto端末ID」の値を設定</v>
      </c>
    </row>
    <row r="13" spans="1:4">
      <c r="A13" s="171"/>
      <c r="B13" s="13" t="s">
        <v>55</v>
      </c>
      <c r="C13" s="16" t="s">
        <v>253</v>
      </c>
      <c r="D13" s="14" t="str">
        <f t="shared" si="0"/>
        <v>リクエスト「端末種別」の値を設定</v>
      </c>
    </row>
    <row r="14" spans="1:4">
      <c r="A14" s="171"/>
      <c r="B14" s="10" t="s">
        <v>58</v>
      </c>
      <c r="C14" s="16" t="s">
        <v>254</v>
      </c>
      <c r="D14" s="14" t="str">
        <f t="shared" si="0"/>
        <v>リクエスト「ジュリアンDATE」の値を設定</v>
      </c>
    </row>
    <row r="15" spans="1:4">
      <c r="A15" s="171"/>
      <c r="B15" s="10" t="s">
        <v>59</v>
      </c>
      <c r="C15" s="16" t="s">
        <v>255</v>
      </c>
      <c r="D15" s="14" t="str">
        <f t="shared" si="0"/>
        <v>リクエスト「ジュリアンTIME」の値を設定</v>
      </c>
    </row>
    <row r="16" spans="1:4">
      <c r="A16" s="171"/>
      <c r="B16" s="10" t="s">
        <v>56</v>
      </c>
      <c r="C16" s="16" t="s">
        <v>267</v>
      </c>
      <c r="D16" s="14" t="str">
        <f t="shared" si="0"/>
        <v>リクエスト「POS取引No」の値を設定</v>
      </c>
    </row>
    <row r="17" spans="1:4">
      <c r="A17" s="171"/>
      <c r="B17" s="10" t="s">
        <v>57</v>
      </c>
      <c r="C17" s="16" t="s">
        <v>390</v>
      </c>
      <c r="D17" s="14" t="str">
        <f t="shared" si="0"/>
        <v>リクエスト「当せん／返還フラグ」の値を設定</v>
      </c>
    </row>
    <row r="18" spans="1:4">
      <c r="A18" s="171"/>
      <c r="B18" s="11" t="s">
        <v>61</v>
      </c>
      <c r="C18" s="16" t="s">
        <v>248</v>
      </c>
      <c r="D18" s="12" t="s">
        <v>266</v>
      </c>
    </row>
    <row r="19" spans="1:4">
      <c r="A19" s="171"/>
      <c r="B19" s="11" t="s">
        <v>62</v>
      </c>
      <c r="C19" s="16" t="s">
        <v>354</v>
      </c>
      <c r="D19" s="12" t="s">
        <v>266</v>
      </c>
    </row>
    <row r="20" spans="1:4">
      <c r="A20" s="12"/>
      <c r="B20" s="12"/>
      <c r="C20" s="12"/>
      <c r="D20" s="12"/>
    </row>
    <row r="21" spans="1:4">
      <c r="A21" s="170" t="s">
        <v>88</v>
      </c>
      <c r="B21" s="157"/>
      <c r="C21" s="53" t="s">
        <v>235</v>
      </c>
      <c r="D21" s="8" t="s">
        <v>11</v>
      </c>
    </row>
    <row r="22" spans="1:4">
      <c r="A22" s="171" t="s">
        <v>12</v>
      </c>
      <c r="B22" s="10"/>
      <c r="C22" s="16"/>
      <c r="D22" s="10"/>
    </row>
    <row r="23" spans="1:4">
      <c r="A23" s="171"/>
      <c r="B23" s="11" t="s">
        <v>3</v>
      </c>
      <c r="C23" s="16" t="s">
        <v>236</v>
      </c>
      <c r="D23" s="12" t="s">
        <v>266</v>
      </c>
    </row>
    <row r="24" spans="1:4">
      <c r="A24" s="171"/>
      <c r="B24" s="10" t="s">
        <v>71</v>
      </c>
      <c r="C24" s="16" t="s">
        <v>237</v>
      </c>
      <c r="D24" s="14" t="str">
        <f t="shared" ref="D24:D32" si="1">"リクエスト「"&amp;B24&amp;"」の値を設定"</f>
        <v>リクエスト「企業ID」の値を設定</v>
      </c>
    </row>
    <row r="25" spans="1:4">
      <c r="A25" s="171"/>
      <c r="B25" s="13" t="s">
        <v>70</v>
      </c>
      <c r="C25" s="16" t="s">
        <v>238</v>
      </c>
      <c r="D25" s="14" t="str">
        <f t="shared" si="1"/>
        <v>リクエスト「店番」の値を設定</v>
      </c>
    </row>
    <row r="26" spans="1:4">
      <c r="A26" s="171"/>
      <c r="B26" s="13" t="s">
        <v>72</v>
      </c>
      <c r="C26" s="16" t="s">
        <v>239</v>
      </c>
      <c r="D26" s="14" t="str">
        <f t="shared" si="1"/>
        <v>リクエスト「レジNo」の値を設定</v>
      </c>
    </row>
    <row r="27" spans="1:4">
      <c r="A27" s="171"/>
      <c r="B27" s="13" t="s">
        <v>17</v>
      </c>
      <c r="C27" s="16" t="s">
        <v>241</v>
      </c>
      <c r="D27" s="14" t="str">
        <f t="shared" si="1"/>
        <v>リクエスト「利用年月日時分秒」の値を設定</v>
      </c>
    </row>
    <row r="28" spans="1:4">
      <c r="A28" s="171"/>
      <c r="B28" s="13" t="s">
        <v>18</v>
      </c>
      <c r="C28" s="16" t="s">
        <v>242</v>
      </c>
      <c r="D28" s="14" t="str">
        <f t="shared" si="1"/>
        <v>リクエスト「処理通番」の値を設定</v>
      </c>
    </row>
    <row r="29" spans="1:4">
      <c r="A29" s="171"/>
      <c r="B29" s="13" t="s">
        <v>19</v>
      </c>
      <c r="C29" s="16" t="s">
        <v>280</v>
      </c>
      <c r="D29" s="14" t="str">
        <f t="shared" si="1"/>
        <v>リクエスト「再送区分」の値を設定</v>
      </c>
    </row>
    <row r="30" spans="1:4">
      <c r="A30" s="171"/>
      <c r="B30" s="13" t="s">
        <v>20</v>
      </c>
      <c r="C30" s="16" t="s">
        <v>244</v>
      </c>
      <c r="D30" s="14" t="str">
        <f t="shared" si="1"/>
        <v>リクエスト「要求区分」の値を設定</v>
      </c>
    </row>
    <row r="31" spans="1:4">
      <c r="A31" s="171"/>
      <c r="B31" s="13" t="s">
        <v>52</v>
      </c>
      <c r="C31" s="16" t="s">
        <v>245</v>
      </c>
      <c r="D31" s="14" t="str">
        <f t="shared" si="1"/>
        <v>リクエスト「バーコード情報」の値を設定</v>
      </c>
    </row>
    <row r="32" spans="1:4">
      <c r="A32" s="171"/>
      <c r="B32" s="13" t="s">
        <v>53</v>
      </c>
      <c r="C32" s="16" t="s">
        <v>259</v>
      </c>
      <c r="D32" s="14" t="str">
        <f t="shared" si="1"/>
        <v>リクエスト「投票券バーコード番号」の値を設定</v>
      </c>
    </row>
    <row r="33" spans="1:4">
      <c r="A33" s="171"/>
      <c r="B33" s="11" t="s">
        <v>75</v>
      </c>
      <c r="C33" s="16" t="s">
        <v>246</v>
      </c>
      <c r="D33" s="112" t="s">
        <v>363</v>
      </c>
    </row>
    <row r="34" spans="1:4" ht="72">
      <c r="A34" s="171"/>
      <c r="B34" s="16" t="s">
        <v>54</v>
      </c>
      <c r="C34" s="16" t="s">
        <v>247</v>
      </c>
      <c r="D34" s="23" t="s">
        <v>388</v>
      </c>
    </row>
    <row r="35" spans="1:4">
      <c r="A35" s="171"/>
      <c r="B35" s="11" t="s">
        <v>61</v>
      </c>
      <c r="C35" s="16" t="s">
        <v>248</v>
      </c>
      <c r="D35" s="12" t="s">
        <v>266</v>
      </c>
    </row>
    <row r="36" spans="1:4">
      <c r="A36" s="171"/>
      <c r="B36" s="10" t="s">
        <v>73</v>
      </c>
      <c r="C36" s="16" t="s">
        <v>264</v>
      </c>
      <c r="D36" s="14" t="s">
        <v>387</v>
      </c>
    </row>
    <row r="37" spans="1:4">
      <c r="A37" s="171"/>
      <c r="B37" s="11" t="s">
        <v>74</v>
      </c>
      <c r="C37" s="16" t="s">
        <v>265</v>
      </c>
      <c r="D37" s="12" t="s">
        <v>266</v>
      </c>
    </row>
  </sheetData>
  <mergeCells count="4">
    <mergeCell ref="A1:B1"/>
    <mergeCell ref="A2:A19"/>
    <mergeCell ref="A21:B21"/>
    <mergeCell ref="A22:A37"/>
  </mergeCells>
  <phoneticPr fontId="12"/>
  <pageMargins left="0.7" right="0.7" top="0.75" bottom="0.75" header="0.3" footer="0.3"/>
  <pageSetup paperSize="9" scale="4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A281B-CCB8-45C8-9156-F4100E28F59F}">
  <sheetPr codeName="Sheet10"/>
  <dimension ref="B2:BB27"/>
  <sheetViews>
    <sheetView topLeftCell="A16" zoomScaleNormal="100" workbookViewId="0">
      <selection activeCell="AK41" sqref="AK41"/>
    </sheetView>
  </sheetViews>
  <sheetFormatPr defaultRowHeight="18"/>
  <cols>
    <col min="2" max="54" width="2.5" customWidth="1"/>
  </cols>
  <sheetData>
    <row r="2" spans="2:54">
      <c r="B2" s="41" t="s">
        <v>206</v>
      </c>
      <c r="C2" s="42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3"/>
      <c r="AW2" s="41"/>
      <c r="AX2" s="41"/>
      <c r="AY2" s="41"/>
      <c r="AZ2" s="41"/>
      <c r="BA2" s="41"/>
      <c r="BB2" s="41"/>
    </row>
    <row r="3" spans="2:54">
      <c r="B3" s="41"/>
      <c r="C3" s="41" t="s">
        <v>158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3" t="s">
        <v>159</v>
      </c>
      <c r="AW3" s="41"/>
      <c r="AX3" s="41"/>
      <c r="AY3" s="41"/>
      <c r="AZ3" s="41"/>
      <c r="BA3" s="41"/>
      <c r="BB3" s="41"/>
    </row>
    <row r="4" spans="2:54">
      <c r="B4" s="41"/>
      <c r="C4" s="42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 t="s">
        <v>160</v>
      </c>
      <c r="AW4" s="41"/>
      <c r="AX4" s="41"/>
      <c r="AY4" s="41"/>
      <c r="AZ4" s="41"/>
      <c r="BA4" s="41"/>
      <c r="BB4" s="41"/>
    </row>
    <row r="5" spans="2:54">
      <c r="B5" s="41"/>
      <c r="C5" s="44" t="s">
        <v>161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4" t="s">
        <v>162</v>
      </c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4" t="s">
        <v>163</v>
      </c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6"/>
      <c r="AW5" s="44" t="s">
        <v>164</v>
      </c>
      <c r="AX5" s="45"/>
      <c r="AY5" s="45"/>
      <c r="AZ5" s="45"/>
      <c r="BA5" s="45"/>
      <c r="BB5" s="46"/>
    </row>
    <row r="6" spans="2:54">
      <c r="B6" s="41"/>
      <c r="C6" s="47" t="s">
        <v>165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7" t="s">
        <v>166</v>
      </c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7" t="s">
        <v>167</v>
      </c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9"/>
      <c r="AW6" s="50" t="s">
        <v>168</v>
      </c>
      <c r="AX6" s="48"/>
      <c r="AY6" s="48"/>
      <c r="AZ6" s="48"/>
      <c r="BA6" s="48"/>
      <c r="BB6" s="49"/>
    </row>
    <row r="7" spans="2:54">
      <c r="B7" s="41"/>
      <c r="C7" s="47" t="s">
        <v>169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7" t="s">
        <v>166</v>
      </c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7" t="s">
        <v>170</v>
      </c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9"/>
      <c r="AW7" s="47" t="s">
        <v>171</v>
      </c>
      <c r="AX7" s="48"/>
      <c r="AY7" s="48"/>
      <c r="AZ7" s="48"/>
      <c r="BA7" s="48"/>
      <c r="BB7" s="49"/>
    </row>
    <row r="8" spans="2:54">
      <c r="B8" s="41"/>
      <c r="C8" s="47" t="s">
        <v>172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7" t="s">
        <v>166</v>
      </c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7" t="s">
        <v>173</v>
      </c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9"/>
      <c r="AW8" s="47" t="s">
        <v>174</v>
      </c>
      <c r="AX8" s="48"/>
      <c r="AY8" s="48"/>
      <c r="AZ8" s="48"/>
      <c r="BA8" s="48"/>
      <c r="BB8" s="49"/>
    </row>
    <row r="9" spans="2:54">
      <c r="B9" s="41"/>
      <c r="C9" s="47" t="s">
        <v>175</v>
      </c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7" t="s">
        <v>166</v>
      </c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7" t="s">
        <v>176</v>
      </c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9"/>
      <c r="AW9" s="47" t="s">
        <v>171</v>
      </c>
      <c r="AX9" s="48"/>
      <c r="AY9" s="48"/>
      <c r="AZ9" s="48"/>
      <c r="BA9" s="48"/>
      <c r="BB9" s="49"/>
    </row>
    <row r="10" spans="2:54">
      <c r="B10" s="41"/>
      <c r="C10" s="47" t="s">
        <v>177</v>
      </c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7" t="s">
        <v>178</v>
      </c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7" t="s">
        <v>179</v>
      </c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9"/>
      <c r="AW10" s="47" t="s">
        <v>174</v>
      </c>
      <c r="AX10" s="48"/>
      <c r="AY10" s="48"/>
      <c r="AZ10" s="48"/>
      <c r="BA10" s="48"/>
      <c r="BB10" s="49"/>
    </row>
    <row r="11" spans="2:54">
      <c r="B11" s="41"/>
      <c r="C11" s="47" t="s">
        <v>177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7" t="s">
        <v>180</v>
      </c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7" t="s">
        <v>181</v>
      </c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9"/>
      <c r="AW11" s="50" t="s">
        <v>168</v>
      </c>
      <c r="AX11" s="48"/>
      <c r="AY11" s="48"/>
      <c r="AZ11" s="48"/>
      <c r="BA11" s="48"/>
      <c r="BB11" s="49"/>
    </row>
    <row r="12" spans="2:54">
      <c r="B12" s="41"/>
      <c r="C12" s="47" t="s">
        <v>177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7" t="s">
        <v>182</v>
      </c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7" t="s">
        <v>183</v>
      </c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9"/>
      <c r="AW12" s="50" t="s">
        <v>168</v>
      </c>
      <c r="AX12" s="48"/>
      <c r="AY12" s="48"/>
      <c r="AZ12" s="48"/>
      <c r="BA12" s="48"/>
      <c r="BB12" s="49"/>
    </row>
    <row r="13" spans="2:54">
      <c r="B13" s="41"/>
      <c r="C13" s="47" t="s">
        <v>177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7" t="s">
        <v>184</v>
      </c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7" t="s">
        <v>185</v>
      </c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9"/>
      <c r="AW13" s="47" t="s">
        <v>174</v>
      </c>
      <c r="AX13" s="48"/>
      <c r="AY13" s="48"/>
      <c r="AZ13" s="48"/>
      <c r="BA13" s="48"/>
      <c r="BB13" s="49"/>
    </row>
    <row r="14" spans="2:54">
      <c r="B14" s="41"/>
      <c r="C14" s="47" t="s">
        <v>177</v>
      </c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7" t="s">
        <v>186</v>
      </c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7" t="s">
        <v>185</v>
      </c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9"/>
      <c r="AW14" s="50" t="s">
        <v>168</v>
      </c>
      <c r="AX14" s="48"/>
      <c r="AY14" s="48"/>
      <c r="AZ14" s="48"/>
      <c r="BA14" s="48"/>
      <c r="BB14" s="49"/>
    </row>
    <row r="15" spans="2:54">
      <c r="B15" s="41"/>
      <c r="C15" s="47" t="s">
        <v>177</v>
      </c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7" t="s">
        <v>187</v>
      </c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7" t="s">
        <v>185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9"/>
      <c r="AW15" s="47" t="s">
        <v>174</v>
      </c>
      <c r="AX15" s="48"/>
      <c r="AY15" s="48"/>
      <c r="AZ15" s="48"/>
      <c r="BA15" s="48"/>
      <c r="BB15" s="49"/>
    </row>
    <row r="16" spans="2:54">
      <c r="B16" s="41"/>
      <c r="C16" s="47" t="s">
        <v>177</v>
      </c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7" t="s">
        <v>188</v>
      </c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7" t="s">
        <v>189</v>
      </c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9"/>
      <c r="AW16" s="47" t="s">
        <v>174</v>
      </c>
      <c r="AX16" s="48"/>
      <c r="AY16" s="48"/>
      <c r="AZ16" s="48"/>
      <c r="BA16" s="48"/>
      <c r="BB16" s="49"/>
    </row>
    <row r="17" spans="2:54">
      <c r="B17" s="41"/>
      <c r="C17" s="47" t="s">
        <v>177</v>
      </c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7" t="s">
        <v>190</v>
      </c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7" t="s">
        <v>185</v>
      </c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9"/>
      <c r="AW17" s="47" t="s">
        <v>174</v>
      </c>
      <c r="AX17" s="48"/>
      <c r="AY17" s="48"/>
      <c r="AZ17" s="48"/>
      <c r="BA17" s="48"/>
      <c r="BB17" s="49"/>
    </row>
    <row r="18" spans="2:54">
      <c r="B18" s="41"/>
      <c r="C18" s="47" t="s">
        <v>177</v>
      </c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7" t="s">
        <v>191</v>
      </c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7" t="s">
        <v>192</v>
      </c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9"/>
      <c r="AW18" s="50" t="s">
        <v>168</v>
      </c>
      <c r="AX18" s="48"/>
      <c r="AY18" s="48"/>
      <c r="AZ18" s="48"/>
      <c r="BA18" s="48"/>
      <c r="BB18" s="49"/>
    </row>
    <row r="19" spans="2:54">
      <c r="B19" s="41"/>
      <c r="C19" s="47" t="s">
        <v>177</v>
      </c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7" t="s">
        <v>193</v>
      </c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7" t="s">
        <v>194</v>
      </c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9"/>
      <c r="AW19" s="47" t="s">
        <v>174</v>
      </c>
      <c r="AX19" s="48"/>
      <c r="AY19" s="48"/>
      <c r="AZ19" s="48"/>
      <c r="BA19" s="48"/>
      <c r="BB19" s="49"/>
    </row>
    <row r="20" spans="2:54">
      <c r="B20" s="41"/>
      <c r="C20" s="47" t="s">
        <v>177</v>
      </c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7" t="s">
        <v>195</v>
      </c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7" t="s">
        <v>196</v>
      </c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9"/>
      <c r="AW20" s="47" t="s">
        <v>174</v>
      </c>
      <c r="AX20" s="48"/>
      <c r="AY20" s="48"/>
      <c r="AZ20" s="48"/>
      <c r="BA20" s="48"/>
      <c r="BB20" s="49"/>
    </row>
    <row r="21" spans="2:54">
      <c r="B21" s="41"/>
      <c r="C21" s="47" t="s">
        <v>177</v>
      </c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7" t="s">
        <v>197</v>
      </c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7" t="s">
        <v>198</v>
      </c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9"/>
      <c r="AW21" s="47" t="s">
        <v>199</v>
      </c>
      <c r="AX21" s="48"/>
      <c r="AY21" s="48"/>
      <c r="AZ21" s="48"/>
      <c r="BA21" s="48"/>
      <c r="BB21" s="49"/>
    </row>
    <row r="22" spans="2:54">
      <c r="B22" s="41"/>
      <c r="C22" s="47" t="s">
        <v>177</v>
      </c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7" t="s">
        <v>200</v>
      </c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7" t="s">
        <v>201</v>
      </c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9"/>
      <c r="AW22" s="47" t="s">
        <v>171</v>
      </c>
      <c r="AX22" s="48"/>
      <c r="AY22" s="48"/>
      <c r="AZ22" s="48"/>
      <c r="BA22" s="48"/>
      <c r="BB22" s="49"/>
    </row>
    <row r="23" spans="2:54">
      <c r="B23" s="41"/>
      <c r="C23" s="47" t="s">
        <v>177</v>
      </c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7" t="s">
        <v>202</v>
      </c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7" t="s">
        <v>203</v>
      </c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9"/>
      <c r="AW23" s="47" t="s">
        <v>171</v>
      </c>
      <c r="AX23" s="48"/>
      <c r="AY23" s="48"/>
      <c r="AZ23" s="48"/>
      <c r="BA23" s="48"/>
      <c r="BB23" s="49"/>
    </row>
    <row r="24" spans="2:54">
      <c r="B24" s="41"/>
      <c r="C24" s="42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</row>
    <row r="25" spans="2:54">
      <c r="B25" s="41"/>
      <c r="C25" s="42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 t="s">
        <v>204</v>
      </c>
      <c r="AT25" s="41"/>
      <c r="AU25" s="41"/>
      <c r="AV25" s="41"/>
      <c r="AW25" s="41"/>
      <c r="AX25" s="41"/>
      <c r="AY25" s="41"/>
      <c r="AZ25" s="41"/>
      <c r="BA25" s="41"/>
      <c r="BB25" s="41"/>
    </row>
    <row r="26" spans="2:54">
      <c r="B26" s="41"/>
      <c r="C26" s="42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 t="s">
        <v>205</v>
      </c>
      <c r="AT26" s="41"/>
      <c r="AU26" s="41"/>
      <c r="AV26" s="41"/>
      <c r="AW26" s="41"/>
      <c r="AX26" s="41"/>
      <c r="AY26" s="41"/>
      <c r="AZ26" s="41"/>
      <c r="BA26" s="41"/>
      <c r="BB26" s="41"/>
    </row>
    <row r="27" spans="2:54">
      <c r="B27" s="57" t="s">
        <v>270</v>
      </c>
    </row>
  </sheetData>
  <phoneticPr fontId="1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8121-69E0-4199-BC9C-921F11492697}">
  <sheetPr codeName="Sheet9"/>
  <dimension ref="A1:AJ53"/>
  <sheetViews>
    <sheetView view="pageBreakPreview" zoomScale="70" zoomScaleNormal="100" zoomScaleSheetLayoutView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1" sqref="C11"/>
    </sheetView>
  </sheetViews>
  <sheetFormatPr defaultColWidth="8.69921875" defaultRowHeight="18"/>
  <cols>
    <col min="1" max="1" width="25.09765625" style="18" customWidth="1"/>
    <col min="2" max="2" width="41.59765625" style="18" customWidth="1"/>
    <col min="3" max="3" width="33.69921875" style="18" customWidth="1"/>
    <col min="4" max="4" width="26.69921875" style="18" customWidth="1"/>
    <col min="5" max="5" width="17" style="18" customWidth="1"/>
    <col min="6" max="6" width="33.69921875" style="18" customWidth="1"/>
    <col min="7" max="7" width="35.59765625" style="18" customWidth="1"/>
    <col min="8" max="8" width="21.69921875" style="18" customWidth="1"/>
    <col min="9" max="9" width="14.3984375" style="18" customWidth="1"/>
    <col min="10" max="36" width="0" style="18" hidden="1" customWidth="1"/>
    <col min="37" max="16384" width="8.69921875" style="18"/>
  </cols>
  <sheetData>
    <row r="1" spans="1:9" ht="31.2" customHeight="1">
      <c r="A1" s="172" t="s">
        <v>116</v>
      </c>
      <c r="B1" s="160" t="str">
        <f xml:space="preserve"> "レスポンスパターン" &amp; "（" &amp; SUM(B20:H20) &amp; "ビット）"</f>
        <v>レスポンスパターン（19ビット）</v>
      </c>
      <c r="C1" s="160"/>
      <c r="D1" s="160"/>
      <c r="E1" s="160"/>
      <c r="F1" s="160"/>
      <c r="G1" s="160"/>
      <c r="H1" s="160"/>
      <c r="I1" s="161" t="s">
        <v>307</v>
      </c>
    </row>
    <row r="2" spans="1:9" ht="39.6" customHeight="1">
      <c r="A2" s="165"/>
      <c r="B2" s="33" t="str">
        <f xml:space="preserve"> "払戻のレスポンス" &amp; "（" &amp; SUM(B20:B20) &amp; "ビット）"</f>
        <v>払戻のレスポンス（2ビット）</v>
      </c>
      <c r="C2" s="162" t="str">
        <f xml:space="preserve"> "払戻取消のレスポンス" &amp; "（" &amp; SUM(C20:E20) &amp; "ビット）"</f>
        <v>払戻取消のレスポンス（8ビット）</v>
      </c>
      <c r="D2" s="162"/>
      <c r="E2" s="162"/>
      <c r="F2" s="162" t="str">
        <f xml:space="preserve"> "当せん返還消込のレスポンス" &amp; "（" &amp; SUM(F20:H20) &amp; "ビット）"</f>
        <v>当せん返還消込のレスポンス（9ビット）</v>
      </c>
      <c r="G2" s="162"/>
      <c r="H2" s="162"/>
      <c r="I2" s="161"/>
    </row>
    <row r="3" spans="1:9" ht="36">
      <c r="A3" s="166"/>
      <c r="B3" s="15" t="str">
        <f xml:space="preserve"> "払戻金額" &amp; CHAR(10) &amp; "（" &amp; B20 &amp; "ビット）"</f>
        <v>払戻金額
（2ビット）</v>
      </c>
      <c r="C3" s="15" t="str">
        <f xml:space="preserve"> "処理結果" &amp; CHAR(10) &amp; "（" &amp; C20 &amp; "ビット）"</f>
        <v>処理結果
（3ビット）</v>
      </c>
      <c r="D3" s="15" t="str">
        <f xml:space="preserve"> "応答結果" &amp; CHAR(10) &amp; "（" &amp; D20 &amp; "ビット）"</f>
        <v>応答結果
（3ビット）</v>
      </c>
      <c r="E3" s="15" t="str">
        <f xml:space="preserve"> "払戻金額" &amp; CHAR(10) &amp; "（" &amp; E20 &amp; "ビット）"</f>
        <v>払戻金額
（2ビット）</v>
      </c>
      <c r="F3" s="15" t="str">
        <f xml:space="preserve"> "処理結果" &amp; CHAR(10) &amp; "（" &amp; F20 &amp; "ビット）"</f>
        <v>処理結果
（3ビット）</v>
      </c>
      <c r="G3" s="15" t="str">
        <f xml:space="preserve"> "応答結果" &amp; CHAR(10) &amp; "（" &amp; G20 &amp; "ビット）"</f>
        <v>応答結果
（4ビット）</v>
      </c>
      <c r="H3" s="15" t="str">
        <f xml:space="preserve"> "totoセンター応答結果" &amp; CHAR(10) &amp; "（" &amp; H20 &amp; "ビット）"</f>
        <v>totoセンター応答結果
（2ビット）</v>
      </c>
      <c r="I3" s="161"/>
    </row>
    <row r="4" spans="1:9">
      <c r="A4" s="19">
        <v>0</v>
      </c>
      <c r="B4" s="21" t="s">
        <v>273</v>
      </c>
      <c r="C4" s="14" t="s">
        <v>0</v>
      </c>
      <c r="D4" s="14" t="s">
        <v>33</v>
      </c>
      <c r="E4" s="21" t="s">
        <v>273</v>
      </c>
      <c r="F4" s="14" t="s">
        <v>0</v>
      </c>
      <c r="G4" s="14" t="s">
        <v>64</v>
      </c>
      <c r="H4" s="21" t="s">
        <v>356</v>
      </c>
      <c r="I4" s="22">
        <v>0</v>
      </c>
    </row>
    <row r="5" spans="1:9">
      <c r="A5" s="19">
        <v>1</v>
      </c>
      <c r="B5" s="21" t="s">
        <v>274</v>
      </c>
      <c r="C5" s="14" t="s">
        <v>63</v>
      </c>
      <c r="D5" s="14" t="s">
        <v>36</v>
      </c>
      <c r="E5" s="21" t="s">
        <v>274</v>
      </c>
      <c r="F5" s="20" t="s">
        <v>65</v>
      </c>
      <c r="G5" s="14" t="s">
        <v>66</v>
      </c>
      <c r="H5" s="21" t="s">
        <v>120</v>
      </c>
      <c r="I5" s="22">
        <v>1</v>
      </c>
    </row>
    <row r="6" spans="1:9">
      <c r="A6" s="19">
        <v>10</v>
      </c>
      <c r="B6" s="21" t="s">
        <v>275</v>
      </c>
      <c r="C6" s="14" t="s">
        <v>101</v>
      </c>
      <c r="D6" s="14" t="s">
        <v>26</v>
      </c>
      <c r="E6" s="21" t="s">
        <v>275</v>
      </c>
      <c r="F6" s="14" t="s">
        <v>63</v>
      </c>
      <c r="G6" s="14" t="s">
        <v>36</v>
      </c>
      <c r="H6" s="21" t="s">
        <v>272</v>
      </c>
      <c r="I6" s="22">
        <v>2</v>
      </c>
    </row>
    <row r="7" spans="1:9">
      <c r="A7" s="19">
        <v>11</v>
      </c>
      <c r="B7" s="21" t="s">
        <v>276</v>
      </c>
      <c r="C7" s="14" t="s">
        <v>102</v>
      </c>
      <c r="D7" s="14" t="s">
        <v>27</v>
      </c>
      <c r="E7" s="21" t="s">
        <v>276</v>
      </c>
      <c r="F7" s="14" t="s">
        <v>105</v>
      </c>
      <c r="G7" s="14" t="s">
        <v>26</v>
      </c>
      <c r="H7" s="21" t="s">
        <v>357</v>
      </c>
      <c r="I7" s="88">
        <v>3</v>
      </c>
    </row>
    <row r="8" spans="1:9">
      <c r="A8" s="19">
        <v>100</v>
      </c>
      <c r="B8" s="22"/>
      <c r="C8" s="14" t="s">
        <v>318</v>
      </c>
      <c r="D8" s="14" t="s">
        <v>28</v>
      </c>
      <c r="E8" s="22"/>
      <c r="F8" s="14" t="s">
        <v>102</v>
      </c>
      <c r="G8" s="14" t="s">
        <v>27</v>
      </c>
      <c r="H8" s="22"/>
      <c r="I8" s="22"/>
    </row>
    <row r="9" spans="1:9">
      <c r="A9" s="19">
        <v>101</v>
      </c>
      <c r="B9" s="22"/>
      <c r="C9" s="14" t="s">
        <v>317</v>
      </c>
      <c r="D9" s="14" t="s">
        <v>30</v>
      </c>
      <c r="E9" s="22"/>
      <c r="F9" s="14" t="s">
        <v>318</v>
      </c>
      <c r="G9" s="14" t="s">
        <v>28</v>
      </c>
      <c r="H9" s="22"/>
      <c r="I9" s="22"/>
    </row>
    <row r="10" spans="1:9">
      <c r="A10" s="19">
        <v>110</v>
      </c>
      <c r="B10" s="22"/>
      <c r="C10" s="22"/>
      <c r="D10" s="22"/>
      <c r="E10" s="22"/>
      <c r="F10" s="14" t="s">
        <v>317</v>
      </c>
      <c r="G10" s="14" t="s">
        <v>29</v>
      </c>
      <c r="H10" s="22"/>
      <c r="I10" s="22"/>
    </row>
    <row r="11" spans="1:9">
      <c r="A11" s="19">
        <v>111</v>
      </c>
      <c r="B11" s="22"/>
      <c r="C11" s="22"/>
      <c r="D11" s="22"/>
      <c r="E11" s="22"/>
      <c r="F11" s="22"/>
      <c r="G11" s="14" t="s">
        <v>67</v>
      </c>
      <c r="H11" s="22"/>
      <c r="I11" s="22"/>
    </row>
    <row r="12" spans="1:9">
      <c r="A12" s="19">
        <v>1000</v>
      </c>
      <c r="B12" s="22"/>
      <c r="C12" s="22"/>
      <c r="D12" s="22"/>
      <c r="E12" s="22"/>
      <c r="F12" s="22"/>
      <c r="G12" s="14" t="s">
        <v>68</v>
      </c>
      <c r="H12" s="22"/>
      <c r="I12" s="22"/>
    </row>
    <row r="13" spans="1:9">
      <c r="A13" s="19">
        <v>1001</v>
      </c>
      <c r="B13" s="22"/>
      <c r="C13" s="22"/>
      <c r="D13" s="22"/>
      <c r="E13" s="22"/>
      <c r="F13" s="22"/>
      <c r="G13" s="14" t="s">
        <v>69</v>
      </c>
      <c r="H13" s="22"/>
      <c r="I13" s="22"/>
    </row>
    <row r="14" spans="1:9">
      <c r="A14" s="19">
        <v>1010</v>
      </c>
      <c r="B14" s="22"/>
      <c r="C14" s="22"/>
      <c r="D14" s="22"/>
      <c r="E14" s="22"/>
      <c r="F14" s="22"/>
      <c r="G14" s="14" t="s">
        <v>30</v>
      </c>
      <c r="H14" s="22"/>
      <c r="I14" s="22"/>
    </row>
    <row r="15" spans="1:9" s="9" customFormat="1">
      <c r="A15" s="78">
        <v>1011</v>
      </c>
      <c r="B15" s="22"/>
      <c r="C15" s="22"/>
      <c r="D15" s="22"/>
      <c r="E15" s="22"/>
      <c r="F15" s="22"/>
      <c r="G15" s="22"/>
      <c r="H15" s="22"/>
      <c r="I15" s="22"/>
    </row>
    <row r="16" spans="1:9" s="9" customFormat="1" hidden="1">
      <c r="A16" s="78">
        <v>1100</v>
      </c>
      <c r="B16" s="22"/>
      <c r="C16" s="22"/>
      <c r="D16" s="22"/>
      <c r="E16" s="22"/>
      <c r="F16" s="22"/>
      <c r="G16" s="22"/>
      <c r="H16" s="22"/>
      <c r="I16" s="22"/>
    </row>
    <row r="17" spans="1:9" s="9" customFormat="1" hidden="1">
      <c r="A17" s="78">
        <v>1101</v>
      </c>
      <c r="B17" s="22"/>
      <c r="C17" s="22"/>
      <c r="D17" s="22"/>
      <c r="E17" s="22"/>
      <c r="F17" s="22"/>
      <c r="G17" s="22"/>
      <c r="H17" s="22"/>
      <c r="I17" s="22"/>
    </row>
    <row r="18" spans="1:9" s="9" customFormat="1" hidden="1">
      <c r="A18" s="78">
        <v>1110</v>
      </c>
      <c r="B18" s="22"/>
      <c r="C18" s="22"/>
      <c r="D18" s="22"/>
      <c r="E18" s="22"/>
      <c r="F18" s="22"/>
      <c r="G18" s="22"/>
      <c r="H18" s="22"/>
      <c r="I18" s="22"/>
    </row>
    <row r="19" spans="1:9" s="9" customFormat="1" hidden="1">
      <c r="A19" s="78">
        <v>1111</v>
      </c>
      <c r="B19" s="22"/>
      <c r="C19" s="22"/>
      <c r="D19" s="22"/>
      <c r="E19" s="22"/>
      <c r="F19" s="22"/>
      <c r="G19" s="22"/>
      <c r="H19" s="22"/>
      <c r="I19" s="22"/>
    </row>
    <row r="20" spans="1:9">
      <c r="B20" s="18">
        <v>2</v>
      </c>
      <c r="C20" s="18">
        <v>3</v>
      </c>
      <c r="D20" s="18">
        <v>3</v>
      </c>
      <c r="E20" s="18">
        <v>2</v>
      </c>
      <c r="F20" s="18">
        <v>3</v>
      </c>
      <c r="G20" s="18">
        <v>4</v>
      </c>
      <c r="H20" s="18">
        <v>2</v>
      </c>
      <c r="I20" s="18">
        <v>2</v>
      </c>
    </row>
    <row r="21" spans="1:9">
      <c r="A21" s="18" t="s">
        <v>310</v>
      </c>
    </row>
    <row r="22" spans="1:9" s="9" customFormat="1" ht="35.4" customHeight="1">
      <c r="A22" s="84" t="s">
        <v>300</v>
      </c>
      <c r="B22" s="80" t="s">
        <v>312</v>
      </c>
      <c r="C22" s="80" t="s">
        <v>299</v>
      </c>
      <c r="D22" s="80" t="s">
        <v>305</v>
      </c>
      <c r="E22" s="80" t="s">
        <v>319</v>
      </c>
      <c r="F22" s="80" t="s">
        <v>299</v>
      </c>
      <c r="G22" s="80" t="s">
        <v>305</v>
      </c>
      <c r="H22" s="80" t="s">
        <v>385</v>
      </c>
      <c r="I22" s="76">
        <v>3</v>
      </c>
    </row>
    <row r="23" spans="1:9" s="9" customFormat="1" ht="42" customHeight="1">
      <c r="A23" s="99" t="s">
        <v>304</v>
      </c>
      <c r="B23" s="72"/>
      <c r="C23" s="72"/>
      <c r="D23" s="72"/>
      <c r="E23" s="72"/>
      <c r="F23" s="72"/>
      <c r="G23" s="72"/>
      <c r="H23" s="72"/>
      <c r="I23" s="87">
        <v>11</v>
      </c>
    </row>
    <row r="24" spans="1:9" s="9" customFormat="1" ht="24.6" customHeight="1">
      <c r="A24" s="66" t="s">
        <v>296</v>
      </c>
      <c r="B24" s="79" t="str">
        <f>IF(AND(B26&lt;&gt;"",B26&gt;(COUNTA(B4:B19)-1)),"選択された項目が不正",IF(AND(B23&lt;&gt;"",BIN2DEC(B23)&gt;(COUNTA(B4:B19)-1)),"２進数値がオーバー",IF(AND(B23&lt;&gt;"",B26&lt;&gt;"",BIN2DEC(B23)&lt;&gt;B26),"両方入力したが不一致",IF(AND(B23="", B26=""),"未入力","OK"))))</f>
        <v>OK</v>
      </c>
      <c r="C24" s="79" t="str">
        <f t="shared" ref="C24:I24" si="0">IF(AND(C26&lt;&gt;"",C26&gt;(COUNTA(C4:C19)-1)),"選択された項目が不正",IF(AND(C23&lt;&gt;"",BIN2DEC(C23)&gt;(COUNTA(C4:C19)-1)),"２進数値がオーバー",IF(AND(C23&lt;&gt;"",C26&lt;&gt;"",BIN2DEC(C23)&lt;&gt;C26),"両方入力したが不一致",IF(AND(C23="", C26=""),"未入力","OK"))))</f>
        <v>OK</v>
      </c>
      <c r="D24" s="79" t="str">
        <f t="shared" si="0"/>
        <v>OK</v>
      </c>
      <c r="E24" s="85" t="str">
        <f t="shared" si="0"/>
        <v>OK</v>
      </c>
      <c r="F24" s="85" t="str">
        <f t="shared" si="0"/>
        <v>OK</v>
      </c>
      <c r="G24" s="85" t="str">
        <f t="shared" si="0"/>
        <v>OK</v>
      </c>
      <c r="H24" s="85" t="str">
        <f t="shared" si="0"/>
        <v>OK</v>
      </c>
      <c r="I24" s="85" t="str">
        <f t="shared" si="0"/>
        <v>OK</v>
      </c>
    </row>
    <row r="25" spans="1:9" s="9" customFormat="1" hidden="1">
      <c r="A25" s="83" t="s">
        <v>309</v>
      </c>
    </row>
    <row r="26" spans="1:9" s="9" customFormat="1" hidden="1">
      <c r="A26" s="74" t="s">
        <v>306</v>
      </c>
      <c r="B26" s="18">
        <f>IF(B22="","",MATCH(B22,B4:B19,0)-1)</f>
        <v>0</v>
      </c>
      <c r="C26" s="18">
        <f t="shared" ref="C26:H26" si="1">IF(C22="","",MATCH(C22,C4:C19,0)-1)</f>
        <v>0</v>
      </c>
      <c r="D26" s="18">
        <f t="shared" si="1"/>
        <v>0</v>
      </c>
      <c r="E26" s="18">
        <f t="shared" si="1"/>
        <v>1</v>
      </c>
      <c r="F26" s="18">
        <f t="shared" si="1"/>
        <v>0</v>
      </c>
      <c r="G26" s="18">
        <f t="shared" si="1"/>
        <v>0</v>
      </c>
      <c r="H26" s="18">
        <f t="shared" si="1"/>
        <v>0</v>
      </c>
      <c r="I26" s="18">
        <f t="shared" ref="I26" si="2">IF(I22="","",MATCH(I22,I4:I19,0)-1)</f>
        <v>3</v>
      </c>
    </row>
    <row r="27" spans="1:9" s="9" customFormat="1" hidden="1">
      <c r="A27" s="74" t="s">
        <v>301</v>
      </c>
      <c r="B27" s="18">
        <f t="shared" ref="B27:H27" si="3">ROUNDUP(LOG(COUNTA(B4:B19),2),0)</f>
        <v>2</v>
      </c>
      <c r="C27" s="18">
        <f t="shared" si="3"/>
        <v>3</v>
      </c>
      <c r="D27" s="18">
        <f t="shared" si="3"/>
        <v>3</v>
      </c>
      <c r="E27" s="18">
        <f t="shared" si="3"/>
        <v>2</v>
      </c>
      <c r="F27" s="18">
        <f t="shared" si="3"/>
        <v>3</v>
      </c>
      <c r="G27" s="18">
        <f t="shared" si="3"/>
        <v>4</v>
      </c>
      <c r="H27" s="18">
        <f t="shared" si="3"/>
        <v>2</v>
      </c>
      <c r="I27" s="18">
        <v>2</v>
      </c>
    </row>
    <row r="28" spans="1:9" s="9" customFormat="1" hidden="1">
      <c r="A28" s="75" t="s">
        <v>302</v>
      </c>
      <c r="B28" s="86">
        <f>POWER(2,B27)*C28</f>
        <v>2097152</v>
      </c>
      <c r="C28" s="9">
        <f>POWER(2,C27)*D28</f>
        <v>524288</v>
      </c>
      <c r="D28" s="9">
        <f>POWER(2,D27)*E28</f>
        <v>65536</v>
      </c>
      <c r="E28" s="9">
        <f>POWER(2,E27)*F28</f>
        <v>8192</v>
      </c>
      <c r="F28" s="9">
        <f t="shared" ref="F28:H28" si="4">POWER(2,F27)*G28</f>
        <v>2048</v>
      </c>
      <c r="G28" s="9">
        <f t="shared" si="4"/>
        <v>256</v>
      </c>
      <c r="H28" s="9">
        <f t="shared" si="4"/>
        <v>16</v>
      </c>
      <c r="I28" s="9">
        <f>POWER(2,I27)*1</f>
        <v>4</v>
      </c>
    </row>
    <row r="29" spans="1:9" s="9" customFormat="1" hidden="1">
      <c r="A29" s="75" t="s">
        <v>303</v>
      </c>
      <c r="B29" s="9">
        <f t="shared" ref="B29:H29" si="5">IF(B23="",B26,BIN2DEC(B23))*C28</f>
        <v>0</v>
      </c>
      <c r="C29" s="9">
        <f t="shared" si="5"/>
        <v>0</v>
      </c>
      <c r="D29" s="9">
        <f t="shared" si="5"/>
        <v>0</v>
      </c>
      <c r="E29" s="9">
        <f t="shared" si="5"/>
        <v>2048</v>
      </c>
      <c r="F29" s="9">
        <f t="shared" si="5"/>
        <v>0</v>
      </c>
      <c r="G29" s="9">
        <f t="shared" si="5"/>
        <v>0</v>
      </c>
      <c r="H29" s="9">
        <f t="shared" si="5"/>
        <v>0</v>
      </c>
      <c r="I29" s="9">
        <f>IF(I23="",I26,BIN2DEC(I23))*1</f>
        <v>3</v>
      </c>
    </row>
    <row r="30" spans="1:9" s="9" customFormat="1">
      <c r="A30" s="83" t="s">
        <v>308</v>
      </c>
    </row>
    <row r="31" spans="1:9" s="9" customFormat="1" ht="28.8" hidden="1" customHeight="1">
      <c r="A31" s="90" t="s">
        <v>313</v>
      </c>
      <c r="B31" s="81" t="str">
        <f>"90" &amp; REPT("0",10-LEN(SUM(B29:I29)))   &amp; SUM(B29:I29)</f>
        <v>900000002051</v>
      </c>
      <c r="I31" s="67"/>
    </row>
    <row r="32" spans="1:9" s="9" customFormat="1" ht="19.8" hidden="1">
      <c r="A32" s="68" t="s">
        <v>297</v>
      </c>
      <c r="B32" s="82" cm="1">
        <f t="array" ref="B32">MOD(10 - MOD(SUMPRODUCT(MID(B31, {2,4,6,8,10,12}, 1) + 0) * 3 + SUMPRODUCT(MID(B31, {1,3,5,7,9,11}, 1) + 0), 10), 10)</f>
        <v>1</v>
      </c>
      <c r="I32" s="67"/>
    </row>
    <row r="33" spans="1:36" s="9" customFormat="1" ht="36.6" customHeight="1">
      <c r="A33" s="69" t="s">
        <v>314</v>
      </c>
      <c r="B33" s="131" t="str">
        <f>""&amp;B31&amp;B32&amp;""</f>
        <v>9000000020511</v>
      </c>
      <c r="I33" s="67"/>
    </row>
    <row r="34" spans="1:36" ht="43.2" customHeight="1">
      <c r="A34" s="117" t="s">
        <v>367</v>
      </c>
      <c r="B34" s="133" t="str">
        <f>"d"&amp; B33 &amp; "d"</f>
        <v>d9000000020511d</v>
      </c>
      <c r="C34" s="70"/>
    </row>
    <row r="35" spans="1:36" ht="22.2">
      <c r="A35" s="114"/>
      <c r="B35" s="115" t="s">
        <v>368</v>
      </c>
      <c r="C35" s="70"/>
    </row>
    <row r="36" spans="1:36">
      <c r="A36" s="9"/>
      <c r="B36" s="114" t="s">
        <v>369</v>
      </c>
      <c r="C36" s="116" t="s">
        <v>370</v>
      </c>
    </row>
    <row r="38" spans="1:36" s="9" customFormat="1" ht="22.2">
      <c r="A38" s="128" t="s">
        <v>380</v>
      </c>
      <c r="B38" s="129"/>
      <c r="C38" s="116"/>
    </row>
    <row r="39" spans="1:36" s="9" customFormat="1" ht="20.399999999999999" thickBot="1">
      <c r="A39" s="120"/>
      <c r="B39" s="130" t="s">
        <v>381</v>
      </c>
      <c r="C39" s="116"/>
    </row>
    <row r="40" spans="1:36" s="9" customFormat="1" ht="29.4" customHeight="1" thickBot="1">
      <c r="A40" s="69" t="s">
        <v>371</v>
      </c>
      <c r="B40" s="118"/>
      <c r="D40" s="67"/>
      <c r="I40" s="67"/>
      <c r="J40" s="67"/>
      <c r="K40" s="67"/>
      <c r="O40" s="18"/>
    </row>
    <row r="41" spans="1:36" s="9" customFormat="1" ht="25.8" customHeight="1">
      <c r="A41" s="132" t="s">
        <v>386</v>
      </c>
      <c r="B41" s="120" t="str">
        <f>IF(LEN(B40)=0,"バーコードは未入力。",IF(LEN(B40)&lt;&gt;13,"バーコードの桁数が不正。",IF(RIGHT(B51,2)&lt;&gt;"11","No."&amp; BIN2DEC(RIGHT(B51,2)) +1 &amp; "マッピングに参照してください。","")))</f>
        <v>バーコードは未入力。</v>
      </c>
      <c r="D41" s="67"/>
      <c r="I41" s="67"/>
      <c r="J41" s="67"/>
      <c r="K41" s="67"/>
      <c r="O41" s="18"/>
    </row>
    <row r="42" spans="1:36" s="9" customFormat="1" ht="34.200000000000003" customHeight="1">
      <c r="A42" s="159" t="s">
        <v>372</v>
      </c>
      <c r="B42" s="160" t="str">
        <f>"レスポンスパターン"</f>
        <v>レスポンスパターン</v>
      </c>
      <c r="C42" s="160"/>
      <c r="D42" s="160"/>
      <c r="E42" s="160"/>
      <c r="F42" s="160"/>
      <c r="G42" s="160"/>
      <c r="H42" s="160"/>
      <c r="I42" s="161" t="s">
        <v>384</v>
      </c>
      <c r="J42" s="18"/>
      <c r="K42" s="18"/>
      <c r="L42" s="18"/>
      <c r="M42" s="18"/>
      <c r="N42" s="18"/>
    </row>
    <row r="43" spans="1:36" s="9" customFormat="1" ht="34.200000000000003" customHeight="1">
      <c r="A43" s="159"/>
      <c r="B43" s="33" t="str">
        <f xml:space="preserve"> "払戻のレスポンス"</f>
        <v>払戻のレスポンス</v>
      </c>
      <c r="C43" s="162" t="str">
        <f xml:space="preserve"> "払戻取消のレスポンス"</f>
        <v>払戻取消のレスポンス</v>
      </c>
      <c r="D43" s="162"/>
      <c r="E43" s="162"/>
      <c r="F43" s="162" t="str">
        <f xml:space="preserve"> "当せん返還消込のレスポンス"</f>
        <v>当せん返還消込のレスポンス</v>
      </c>
      <c r="G43" s="162"/>
      <c r="H43" s="162"/>
      <c r="I43" s="161"/>
      <c r="J43" s="18"/>
      <c r="K43" s="18"/>
      <c r="L43" s="18"/>
      <c r="M43" s="18"/>
      <c r="N43" s="18"/>
    </row>
    <row r="44" spans="1:36" s="9" customFormat="1" ht="36">
      <c r="A44" s="159"/>
      <c r="B44" s="15" t="str">
        <f xml:space="preserve"> "払戻金額" &amp; CHAR(10) &amp; "（" &amp; B61 &amp; "ビット）"</f>
        <v>払戻金額
（ビット）</v>
      </c>
      <c r="C44" s="15" t="str">
        <f xml:space="preserve"> "処理結果" &amp; CHAR(10) &amp; "（" &amp; C61 &amp; "ビット）"</f>
        <v>処理結果
（ビット）</v>
      </c>
      <c r="D44" s="15" t="str">
        <f xml:space="preserve"> "応答結果" &amp; CHAR(10) &amp; "（" &amp; D61 &amp; "ビット）"</f>
        <v>応答結果
（ビット）</v>
      </c>
      <c r="E44" s="15" t="str">
        <f xml:space="preserve"> "払戻金額" &amp; CHAR(10) &amp; "（" &amp; E61 &amp; "ビット）"</f>
        <v>払戻金額
（ビット）</v>
      </c>
      <c r="F44" s="15" t="str">
        <f xml:space="preserve"> "処理結果" &amp; CHAR(10) &amp; "（" &amp; F61 &amp; "ビット）"</f>
        <v>処理結果
（ビット）</v>
      </c>
      <c r="G44" s="15" t="str">
        <f xml:space="preserve"> "応答結果" &amp; CHAR(10) &amp; "（" &amp; G61 &amp; "ビット）"</f>
        <v>応答結果
（ビット）</v>
      </c>
      <c r="H44" s="15" t="str">
        <f xml:space="preserve"> "totoセンター応答結果" &amp; CHAR(10) &amp; "（" &amp; H61 &amp; "ビット）"</f>
        <v>totoセンター応答結果
（ビット）</v>
      </c>
      <c r="I44" s="161"/>
      <c r="J44" s="18"/>
      <c r="K44" s="18"/>
      <c r="L44" s="18"/>
      <c r="M44" s="18"/>
      <c r="N44" s="18"/>
    </row>
    <row r="45" spans="1:36" s="9" customFormat="1" ht="31.8" customHeight="1">
      <c r="A45" s="121" t="s">
        <v>373</v>
      </c>
      <c r="B45" s="122" t="str">
        <f>IF($B$41="",IF(LOOKUP(B53,$A$4:$A$19,B4:B19)=0,LOOKUP(3,$A$4:$A$19,B4:B19),LOOKUP(B53,$A$4:$A$19,B4:B19)),"")</f>
        <v/>
      </c>
      <c r="C45" s="122" t="str">
        <f>IF($B$41="",IF(LOOKUP(C53,$A$4:$A$19,C4:C19)=0,LOOKUP(0,$A$4:$A$19,C4:C19),LOOKUP(C53,$A$4:$A$19,C4:C19)),"")</f>
        <v/>
      </c>
      <c r="D45" s="122" t="str">
        <f>IF($B$41="",IF(LOOKUP(D53,$A$4:$A$19,D4:D19)=0,LOOKUP(0,$A$4:$A$19,D4:D19),LOOKUP(D53,$A$4:$A$19,D4:D19)),"")</f>
        <v/>
      </c>
      <c r="E45" s="122" t="str">
        <f>IF($B$41="",IF(LOOKUP(E53,$A$4:$A$19,E4:E19)=0,LOOKUP(30,$A$4:$A$19,E4:E19),LOOKUP(E53,$A$4:$A$19,E4:E19)),"")</f>
        <v/>
      </c>
      <c r="F45" s="122" t="str">
        <f>IF($B$41="",IF(LOOKUP(F53,$A$4:$A$19,F4:F19)=0,LOOKUP(0,$A$4:$A$19,F4:F19),LOOKUP(F53,$A$4:$A$19,F4:F19)),"")</f>
        <v/>
      </c>
      <c r="G45" s="122" t="str">
        <f>IF($B$41="",IF(LOOKUP(G53,$A$4:$A$19,G4:G19)=0,LOOKUP(0,$A$4:$A$19,G4:G19),LOOKUP(G53,$A$4:$A$19,G4:G19)),"")</f>
        <v/>
      </c>
      <c r="H45" s="122" t="str">
        <f>IF($B$41="",IF(LOOKUP(H53,$A$4:$A$19,H4:H19)=0,LOOKUP(0,$A$4:$A$19,H4:H19),LOOKUP(H53,$A$4:$A$19,H4:H19)),"")</f>
        <v/>
      </c>
      <c r="I45" s="122" t="str">
        <f>IF($B$41="",IF(LOOKUP(I53,$A$4:$A$19,I4:I19)=0,LOOKUP(0,$A$4:$A$19,I4:I19),LOOKUP(I53,$A$4:$A$19,I4:I19)),"")</f>
        <v/>
      </c>
    </row>
    <row r="46" spans="1:36" s="9" customFormat="1"/>
    <row r="47" spans="1:36" customFormat="1" hidden="1">
      <c r="A47" s="123" t="s">
        <v>374</v>
      </c>
      <c r="B47" s="124">
        <f>_xlfn.NUMBERVALUE(MID(B40,3,10))</f>
        <v>0</v>
      </c>
      <c r="C47" s="119" t="s">
        <v>375</v>
      </c>
      <c r="D47" s="124">
        <f>SUM(27:27)</f>
        <v>21</v>
      </c>
    </row>
    <row r="48" spans="1:36" customFormat="1" hidden="1">
      <c r="A48" s="123"/>
      <c r="B48">
        <f>MOD(B47,2)</f>
        <v>0</v>
      </c>
      <c r="C48" t="str">
        <f>IF(MOD(B49,2)=1,1,IF(C49&gt;0,0,""))</f>
        <v/>
      </c>
      <c r="D48" t="str">
        <f t="shared" ref="D48:AJ48" si="6">IF(MOD(C49,2)=1,1,IF(D49&gt;0,0,""))</f>
        <v/>
      </c>
      <c r="E48" t="str">
        <f t="shared" si="6"/>
        <v/>
      </c>
      <c r="F48" t="str">
        <f t="shared" si="6"/>
        <v/>
      </c>
      <c r="G48" t="str">
        <f t="shared" si="6"/>
        <v/>
      </c>
      <c r="H48" t="str">
        <f t="shared" si="6"/>
        <v/>
      </c>
      <c r="I48" t="str">
        <f t="shared" si="6"/>
        <v/>
      </c>
      <c r="J48" t="str">
        <f t="shared" si="6"/>
        <v/>
      </c>
      <c r="K48" t="str">
        <f t="shared" si="6"/>
        <v/>
      </c>
      <c r="L48" t="str">
        <f t="shared" si="6"/>
        <v/>
      </c>
      <c r="M48" t="str">
        <f t="shared" si="6"/>
        <v/>
      </c>
      <c r="N48" t="str">
        <f t="shared" si="6"/>
        <v/>
      </c>
      <c r="O48" t="str">
        <f t="shared" si="6"/>
        <v/>
      </c>
      <c r="P48" t="str">
        <f t="shared" si="6"/>
        <v/>
      </c>
      <c r="Q48" t="str">
        <f t="shared" si="6"/>
        <v/>
      </c>
      <c r="R48" t="str">
        <f t="shared" si="6"/>
        <v/>
      </c>
      <c r="S48" t="str">
        <f t="shared" si="6"/>
        <v/>
      </c>
      <c r="T48" t="str">
        <f t="shared" si="6"/>
        <v/>
      </c>
      <c r="U48" t="str">
        <f t="shared" si="6"/>
        <v/>
      </c>
      <c r="V48" t="str">
        <f t="shared" si="6"/>
        <v/>
      </c>
      <c r="W48" t="str">
        <f t="shared" si="6"/>
        <v/>
      </c>
      <c r="X48" t="str">
        <f t="shared" si="6"/>
        <v/>
      </c>
      <c r="Y48" t="str">
        <f t="shared" si="6"/>
        <v/>
      </c>
      <c r="Z48" t="str">
        <f t="shared" si="6"/>
        <v/>
      </c>
      <c r="AA48" t="str">
        <f t="shared" si="6"/>
        <v/>
      </c>
      <c r="AB48" t="str">
        <f t="shared" si="6"/>
        <v/>
      </c>
      <c r="AC48" t="str">
        <f t="shared" si="6"/>
        <v/>
      </c>
      <c r="AD48" t="str">
        <f t="shared" si="6"/>
        <v/>
      </c>
      <c r="AE48" t="str">
        <f t="shared" si="6"/>
        <v/>
      </c>
      <c r="AF48" t="str">
        <f t="shared" si="6"/>
        <v/>
      </c>
      <c r="AG48" t="str">
        <f t="shared" si="6"/>
        <v/>
      </c>
      <c r="AH48" t="str">
        <f t="shared" si="6"/>
        <v/>
      </c>
      <c r="AI48" t="str">
        <f t="shared" si="6"/>
        <v/>
      </c>
      <c r="AJ48" t="str">
        <f t="shared" si="6"/>
        <v/>
      </c>
    </row>
    <row r="49" spans="1:36" customFormat="1" hidden="1">
      <c r="A49" s="123" t="s">
        <v>374</v>
      </c>
      <c r="B49">
        <f>INT(B47/2)</f>
        <v>0</v>
      </c>
      <c r="C49">
        <f>INT(B49/2)</f>
        <v>0</v>
      </c>
      <c r="D49">
        <f t="shared" ref="D49:AJ49" si="7">INT(C49/2)</f>
        <v>0</v>
      </c>
      <c r="E49">
        <f t="shared" si="7"/>
        <v>0</v>
      </c>
      <c r="F49">
        <f t="shared" si="7"/>
        <v>0</v>
      </c>
      <c r="G49">
        <f t="shared" si="7"/>
        <v>0</v>
      </c>
      <c r="H49">
        <f t="shared" si="7"/>
        <v>0</v>
      </c>
      <c r="I49">
        <f t="shared" si="7"/>
        <v>0</v>
      </c>
      <c r="J49">
        <f t="shared" si="7"/>
        <v>0</v>
      </c>
      <c r="K49">
        <f t="shared" si="7"/>
        <v>0</v>
      </c>
      <c r="L49">
        <f t="shared" si="7"/>
        <v>0</v>
      </c>
      <c r="M49">
        <f t="shared" si="7"/>
        <v>0</v>
      </c>
      <c r="N49">
        <f t="shared" si="7"/>
        <v>0</v>
      </c>
      <c r="O49">
        <f t="shared" si="7"/>
        <v>0</v>
      </c>
      <c r="P49">
        <f t="shared" si="7"/>
        <v>0</v>
      </c>
      <c r="Q49">
        <f t="shared" si="7"/>
        <v>0</v>
      </c>
      <c r="R49">
        <f t="shared" si="7"/>
        <v>0</v>
      </c>
      <c r="S49">
        <f t="shared" si="7"/>
        <v>0</v>
      </c>
      <c r="T49">
        <f t="shared" si="7"/>
        <v>0</v>
      </c>
      <c r="U49">
        <f t="shared" si="7"/>
        <v>0</v>
      </c>
      <c r="V49">
        <f t="shared" si="7"/>
        <v>0</v>
      </c>
      <c r="W49">
        <f t="shared" si="7"/>
        <v>0</v>
      </c>
      <c r="X49">
        <f t="shared" si="7"/>
        <v>0</v>
      </c>
      <c r="Y49">
        <f t="shared" si="7"/>
        <v>0</v>
      </c>
      <c r="Z49">
        <f t="shared" si="7"/>
        <v>0</v>
      </c>
      <c r="AA49">
        <f t="shared" si="7"/>
        <v>0</v>
      </c>
      <c r="AB49">
        <f t="shared" si="7"/>
        <v>0</v>
      </c>
      <c r="AC49">
        <f t="shared" si="7"/>
        <v>0</v>
      </c>
      <c r="AD49">
        <f t="shared" si="7"/>
        <v>0</v>
      </c>
      <c r="AE49">
        <f t="shared" si="7"/>
        <v>0</v>
      </c>
      <c r="AF49">
        <f t="shared" si="7"/>
        <v>0</v>
      </c>
      <c r="AG49">
        <f t="shared" si="7"/>
        <v>0</v>
      </c>
      <c r="AH49">
        <f t="shared" si="7"/>
        <v>0</v>
      </c>
      <c r="AI49">
        <f t="shared" si="7"/>
        <v>0</v>
      </c>
      <c r="AJ49">
        <f t="shared" si="7"/>
        <v>0</v>
      </c>
    </row>
    <row r="50" spans="1:36" s="9" customFormat="1" hidden="1">
      <c r="A50" s="119" t="s">
        <v>376</v>
      </c>
      <c r="B50" s="9" t="str" cm="1">
        <f t="array" ref="B50">_xlfn.TEXTJOIN("", TRUE, MID(_xlfn.CONCAT(48:48), _xlfn.SEQUENCE(LEN(_xlfn.CONCAT(48:48)), 1, LEN(_xlfn.CONCAT(48:48)), -1), 1))</f>
        <v>0</v>
      </c>
      <c r="I50" s="67"/>
      <c r="J50" s="67"/>
      <c r="K50" s="67"/>
      <c r="O50" s="18"/>
    </row>
    <row r="51" spans="1:36" s="9" customFormat="1" hidden="1">
      <c r="A51" s="125" t="s">
        <v>377</v>
      </c>
      <c r="B51" s="126" t="str">
        <f>REPT("0",IF(D47-LEN(B50)&lt;0,0,D47-LEN(B50))) &amp; B50</f>
        <v>000000000000000000000</v>
      </c>
      <c r="I51" s="67"/>
      <c r="J51" s="67"/>
      <c r="K51" s="67"/>
      <c r="O51" s="18"/>
    </row>
    <row r="52" spans="1:36" s="9" customFormat="1" hidden="1">
      <c r="A52" s="125" t="s">
        <v>378</v>
      </c>
      <c r="B52" s="9" t="str">
        <f ca="1">MID(RIGHT($B$51,$D$47),$D$47+1-SUM(OFFSET(B27, 0, 0, 1, 20)),B27)</f>
        <v>00</v>
      </c>
      <c r="C52" s="9" t="str">
        <f t="shared" ref="C52:I52" ca="1" si="8">MID(RIGHT($B$51,$D$47),$D$47+1-SUM(OFFSET(C27, 0, 0, 1, 20)),C27)</f>
        <v>000</v>
      </c>
      <c r="D52" s="9" t="str">
        <f t="shared" ca="1" si="8"/>
        <v>000</v>
      </c>
      <c r="E52" s="9" t="str">
        <f t="shared" ca="1" si="8"/>
        <v>00</v>
      </c>
      <c r="F52" s="9" t="str">
        <f t="shared" ca="1" si="8"/>
        <v>000</v>
      </c>
      <c r="G52" s="9" t="str">
        <f t="shared" ca="1" si="8"/>
        <v>0000</v>
      </c>
      <c r="H52" s="9" t="str">
        <f t="shared" ca="1" si="8"/>
        <v>00</v>
      </c>
      <c r="I52" s="9" t="str">
        <f t="shared" ca="1" si="8"/>
        <v>00</v>
      </c>
      <c r="J52" s="9" t="str">
        <f t="shared" ref="J52:Q52" ca="1" si="9">MID($B$51,$D$47+1-SUM(OFFSET(J27, 0, 0, 1, 20)),J27)</f>
        <v/>
      </c>
      <c r="K52" s="9" t="str">
        <f t="shared" ca="1" si="9"/>
        <v/>
      </c>
      <c r="L52" s="9" t="str">
        <f t="shared" ca="1" si="9"/>
        <v/>
      </c>
      <c r="M52" s="9" t="str">
        <f t="shared" ca="1" si="9"/>
        <v/>
      </c>
      <c r="N52" s="9" t="str">
        <f t="shared" ca="1" si="9"/>
        <v/>
      </c>
      <c r="O52" s="9" t="str">
        <f t="shared" ca="1" si="9"/>
        <v/>
      </c>
      <c r="P52" s="9" t="str">
        <f t="shared" ca="1" si="9"/>
        <v/>
      </c>
      <c r="Q52" s="9" t="str">
        <f t="shared" ca="1" si="9"/>
        <v/>
      </c>
    </row>
    <row r="53" spans="1:36" s="9" customFormat="1" hidden="1">
      <c r="A53" s="127" t="s">
        <v>379</v>
      </c>
      <c r="B53" s="9">
        <f ca="1">INT(DEC2BIN(BIN2DEC(B52)))</f>
        <v>0</v>
      </c>
      <c r="C53" s="9">
        <f t="shared" ref="C53:Q53" ca="1" si="10">INT(DEC2BIN(BIN2DEC(C52)))</f>
        <v>0</v>
      </c>
      <c r="D53" s="9">
        <f t="shared" ca="1" si="10"/>
        <v>0</v>
      </c>
      <c r="E53" s="9">
        <f t="shared" ca="1" si="10"/>
        <v>0</v>
      </c>
      <c r="F53" s="9">
        <f t="shared" ca="1" si="10"/>
        <v>0</v>
      </c>
      <c r="G53" s="9">
        <f t="shared" ca="1" si="10"/>
        <v>0</v>
      </c>
      <c r="H53" s="9">
        <f t="shared" ca="1" si="10"/>
        <v>0</v>
      </c>
      <c r="I53" s="9">
        <f t="shared" ca="1" si="10"/>
        <v>0</v>
      </c>
      <c r="J53" s="9">
        <f t="shared" ca="1" si="10"/>
        <v>0</v>
      </c>
      <c r="K53" s="9">
        <f t="shared" ca="1" si="10"/>
        <v>0</v>
      </c>
      <c r="L53" s="9">
        <f t="shared" ca="1" si="10"/>
        <v>0</v>
      </c>
      <c r="M53" s="9">
        <f t="shared" ca="1" si="10"/>
        <v>0</v>
      </c>
      <c r="N53" s="9">
        <f t="shared" ca="1" si="10"/>
        <v>0</v>
      </c>
      <c r="O53" s="9">
        <f t="shared" ca="1" si="10"/>
        <v>0</v>
      </c>
      <c r="P53" s="9">
        <f t="shared" ca="1" si="10"/>
        <v>0</v>
      </c>
      <c r="Q53" s="9">
        <f t="shared" ca="1" si="10"/>
        <v>0</v>
      </c>
    </row>
  </sheetData>
  <mergeCells count="10">
    <mergeCell ref="A1:A3"/>
    <mergeCell ref="F2:H2"/>
    <mergeCell ref="C2:E2"/>
    <mergeCell ref="B1:H1"/>
    <mergeCell ref="I1:I3"/>
    <mergeCell ref="A42:A44"/>
    <mergeCell ref="B42:H42"/>
    <mergeCell ref="I42:I44"/>
    <mergeCell ref="C43:E43"/>
    <mergeCell ref="F43:H43"/>
  </mergeCells>
  <phoneticPr fontId="12"/>
  <conditionalFormatting sqref="B33:B34">
    <cfRule type="cellIs" dxfId="6" priority="3" operator="equal">
      <formula>"OK"</formula>
    </cfRule>
  </conditionalFormatting>
  <conditionalFormatting sqref="B40">
    <cfRule type="cellIs" dxfId="5" priority="1" operator="equal">
      <formula>"OK"</formula>
    </cfRule>
  </conditionalFormatting>
  <conditionalFormatting sqref="B28:H28">
    <cfRule type="cellIs" dxfId="4" priority="11" operator="equal">
      <formula>"OK"</formula>
    </cfRule>
    <cfRule type="containsText" dxfId="3" priority="12" operator="containsText" text="&lt;&gt;&quot;OK&quot;">
      <formula>NOT(ISERROR(SEARCH("&lt;&gt;""OK""",B28)))</formula>
    </cfRule>
  </conditionalFormatting>
  <conditionalFormatting sqref="B24:I24">
    <cfRule type="cellIs" dxfId="2" priority="4" operator="equal">
      <formula>"OK"</formula>
    </cfRule>
    <cfRule type="containsText" dxfId="1" priority="5" operator="containsText" text="&lt;&gt;&quot;OK&quot;">
      <formula>NOT(ISERROR(SEARCH("&lt;&gt;""OK""",B24)))</formula>
    </cfRule>
  </conditionalFormatting>
  <conditionalFormatting sqref="B45:Q45">
    <cfRule type="expression" dxfId="0" priority="2">
      <formula>BIN2DEC(B$52)&gt;COUNTA(B$3:B$25)-1</formula>
    </cfRule>
  </conditionalFormatting>
  <dataValidations count="7">
    <dataValidation type="list" allowBlank="1" showInputMessage="1" showErrorMessage="1" sqref="H22" xr:uid="{374BCE49-DC73-4A0A-9711-B4C531224C81}">
      <formula1>$H$4:$H$7</formula1>
    </dataValidation>
    <dataValidation type="list" allowBlank="1" showInputMessage="1" showErrorMessage="1" sqref="G22" xr:uid="{3020EFCA-7050-4645-AE21-AB35A19E6FBA}">
      <formula1>$G$4:$G$16</formula1>
    </dataValidation>
    <dataValidation type="list" allowBlank="1" showInputMessage="1" showErrorMessage="1" sqref="F22" xr:uid="{9F9B0FF7-DD8A-4AB5-8B64-63DE95C47C50}">
      <formula1>$F$4:$F$11</formula1>
    </dataValidation>
    <dataValidation type="list" allowBlank="1" showInputMessage="1" showErrorMessage="1" sqref="E22" xr:uid="{31DE784F-7017-491A-8C97-4B760C39AA62}">
      <formula1>$E$4:$E$7</formula1>
    </dataValidation>
    <dataValidation type="list" allowBlank="1" showInputMessage="1" showErrorMessage="1" sqref="D22" xr:uid="{BB5E34EA-8619-42B2-AA3C-CE2F8468B93A}">
      <formula1>$D$4:$D$11</formula1>
    </dataValidation>
    <dataValidation type="list" allowBlank="1" showInputMessage="1" showErrorMessage="1" sqref="C22" xr:uid="{CD2C1417-F8D7-41E6-8173-596FC6CC00FF}">
      <formula1>$C$4:$C$11</formula1>
    </dataValidation>
    <dataValidation type="list" allowBlank="1" showInputMessage="1" showErrorMessage="1" sqref="B22" xr:uid="{1E304867-6E7C-4793-B658-D84BEB926F9D}">
      <formula1>$B$4:$B$7</formula1>
    </dataValidation>
  </dataValidations>
  <pageMargins left="0.7" right="0.7" top="0.75" bottom="0.75" header="0.3" footer="0.3"/>
  <pageSetup paperSize="9" scale="17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7461-7E79-4050-A08C-6D33A2AE5F2F}">
  <sheetPr codeName="Sheet11"/>
  <dimension ref="B2:BC27"/>
  <sheetViews>
    <sheetView workbookViewId="0">
      <selection activeCell="AO23" sqref="AO23"/>
    </sheetView>
  </sheetViews>
  <sheetFormatPr defaultRowHeight="18"/>
  <cols>
    <col min="2" max="54" width="2.5" customWidth="1"/>
    <col min="55" max="55" width="5.3984375" customWidth="1"/>
  </cols>
  <sheetData>
    <row r="2" spans="2:55">
      <c r="B2" s="41" t="s">
        <v>227</v>
      </c>
      <c r="C2" s="41"/>
      <c r="D2" s="42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3"/>
      <c r="AX2" s="41"/>
      <c r="AY2" s="41"/>
      <c r="AZ2" s="41"/>
      <c r="BA2" s="41"/>
      <c r="BB2" s="41"/>
      <c r="BC2" s="41"/>
    </row>
    <row r="3" spans="2:55">
      <c r="B3" s="41"/>
      <c r="C3" s="41"/>
      <c r="D3" s="42"/>
      <c r="E3" s="41" t="s">
        <v>222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3" t="s">
        <v>223</v>
      </c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</row>
    <row r="4" spans="2:55">
      <c r="B4" s="41"/>
      <c r="C4" s="41"/>
      <c r="D4" s="42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 t="s">
        <v>224</v>
      </c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</row>
    <row r="5" spans="2:55">
      <c r="B5" s="44" t="s">
        <v>161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4" t="s">
        <v>162</v>
      </c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6"/>
      <c r="AC5" s="44" t="s">
        <v>163</v>
      </c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4" t="s">
        <v>164</v>
      </c>
      <c r="AU5" s="45"/>
      <c r="AV5" s="45"/>
      <c r="AW5" s="45"/>
      <c r="AX5" s="45"/>
      <c r="AY5" s="45"/>
      <c r="AZ5" s="45"/>
      <c r="BA5" s="45"/>
      <c r="BB5" s="45"/>
      <c r="BC5" s="46"/>
    </row>
    <row r="6" spans="2:55">
      <c r="B6" s="47" t="s">
        <v>165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7" t="s">
        <v>166</v>
      </c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9"/>
      <c r="AC6" s="47" t="s">
        <v>167</v>
      </c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50" t="s">
        <v>168</v>
      </c>
      <c r="AU6" s="48"/>
      <c r="AV6" s="48"/>
      <c r="AW6" s="48"/>
      <c r="AX6" s="48"/>
      <c r="AY6" s="48"/>
      <c r="AZ6" s="48"/>
      <c r="BA6" s="48"/>
      <c r="BB6" s="48"/>
      <c r="BC6" s="49"/>
    </row>
    <row r="7" spans="2:55">
      <c r="B7" s="47" t="s">
        <v>169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7" t="s">
        <v>166</v>
      </c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9"/>
      <c r="AC7" s="47" t="s">
        <v>170</v>
      </c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7" t="s">
        <v>225</v>
      </c>
      <c r="AU7" s="48"/>
      <c r="AV7" s="48"/>
      <c r="AW7" s="48"/>
      <c r="AX7" s="48"/>
      <c r="AY7" s="48"/>
      <c r="AZ7" s="48"/>
      <c r="BA7" s="48"/>
      <c r="BB7" s="48"/>
      <c r="BC7" s="49"/>
    </row>
    <row r="8" spans="2:55">
      <c r="B8" s="47" t="s">
        <v>172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7" t="s">
        <v>166</v>
      </c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9"/>
      <c r="AC8" s="47" t="s">
        <v>173</v>
      </c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7" t="s">
        <v>226</v>
      </c>
      <c r="AU8" s="48"/>
      <c r="AV8" s="48"/>
      <c r="AW8" s="48"/>
      <c r="AX8" s="48"/>
      <c r="AY8" s="48"/>
      <c r="AZ8" s="48"/>
      <c r="BA8" s="48"/>
      <c r="BB8" s="48"/>
      <c r="BC8" s="49"/>
    </row>
    <row r="9" spans="2:55">
      <c r="B9" s="47" t="s">
        <v>175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7" t="s">
        <v>166</v>
      </c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9"/>
      <c r="AC9" s="47" t="s">
        <v>176</v>
      </c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7" t="s">
        <v>225</v>
      </c>
      <c r="AU9" s="48"/>
      <c r="AV9" s="48"/>
      <c r="AW9" s="48"/>
      <c r="AX9" s="48"/>
      <c r="AY9" s="48"/>
      <c r="AZ9" s="48"/>
      <c r="BA9" s="48"/>
      <c r="BB9" s="48"/>
      <c r="BC9" s="49"/>
    </row>
    <row r="10" spans="2:55">
      <c r="B10" s="47" t="s">
        <v>177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7" t="s">
        <v>178</v>
      </c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9"/>
      <c r="AC10" s="47" t="s">
        <v>179</v>
      </c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7" t="s">
        <v>226</v>
      </c>
      <c r="AU10" s="48"/>
      <c r="AV10" s="48"/>
      <c r="AW10" s="48"/>
      <c r="AX10" s="48"/>
      <c r="AY10" s="48"/>
      <c r="AZ10" s="48"/>
      <c r="BA10" s="48"/>
      <c r="BB10" s="48"/>
      <c r="BC10" s="49"/>
    </row>
    <row r="11" spans="2:55">
      <c r="B11" s="47" t="s">
        <v>177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7" t="s">
        <v>180</v>
      </c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9"/>
      <c r="AC11" s="47" t="s">
        <v>181</v>
      </c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50" t="s">
        <v>168</v>
      </c>
      <c r="AU11" s="48"/>
      <c r="AV11" s="48"/>
      <c r="AW11" s="48"/>
      <c r="AX11" s="48"/>
      <c r="AY11" s="48"/>
      <c r="AZ11" s="48"/>
      <c r="BA11" s="48"/>
      <c r="BB11" s="48"/>
      <c r="BC11" s="49"/>
    </row>
    <row r="12" spans="2:55">
      <c r="B12" s="47" t="s">
        <v>177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7" t="s">
        <v>182</v>
      </c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9"/>
      <c r="AC12" s="47" t="s">
        <v>183</v>
      </c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50" t="s">
        <v>168</v>
      </c>
      <c r="AU12" s="48"/>
      <c r="AV12" s="48"/>
      <c r="AW12" s="48"/>
      <c r="AX12" s="48"/>
      <c r="AY12" s="48"/>
      <c r="AZ12" s="48"/>
      <c r="BA12" s="48"/>
      <c r="BB12" s="48"/>
      <c r="BC12" s="49"/>
    </row>
    <row r="13" spans="2:55">
      <c r="B13" s="47" t="s">
        <v>177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7" t="s">
        <v>184</v>
      </c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9"/>
      <c r="AC13" s="47" t="s">
        <v>185</v>
      </c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7" t="s">
        <v>226</v>
      </c>
      <c r="AU13" s="48"/>
      <c r="AV13" s="48"/>
      <c r="AW13" s="48"/>
      <c r="AX13" s="48"/>
      <c r="AY13" s="48"/>
      <c r="AZ13" s="48"/>
      <c r="BA13" s="48"/>
      <c r="BB13" s="48"/>
      <c r="BC13" s="49"/>
    </row>
    <row r="14" spans="2:55">
      <c r="B14" s="47" t="s">
        <v>177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7" t="s">
        <v>186</v>
      </c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9"/>
      <c r="AC14" s="47" t="s">
        <v>185</v>
      </c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50" t="s">
        <v>168</v>
      </c>
      <c r="AU14" s="48"/>
      <c r="AV14" s="48"/>
      <c r="AW14" s="48"/>
      <c r="AX14" s="48"/>
      <c r="AY14" s="48"/>
      <c r="AZ14" s="48"/>
      <c r="BA14" s="48"/>
      <c r="BB14" s="48"/>
      <c r="BC14" s="49"/>
    </row>
    <row r="15" spans="2:55">
      <c r="B15" s="47" t="s">
        <v>177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7" t="s">
        <v>187</v>
      </c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9"/>
      <c r="AC15" s="47" t="s">
        <v>185</v>
      </c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7" t="s">
        <v>226</v>
      </c>
      <c r="AU15" s="48"/>
      <c r="AV15" s="48"/>
      <c r="AW15" s="48"/>
      <c r="AX15" s="48"/>
      <c r="AY15" s="48"/>
      <c r="AZ15" s="48"/>
      <c r="BA15" s="48"/>
      <c r="BB15" s="48"/>
      <c r="BC15" s="49"/>
    </row>
    <row r="16" spans="2:55">
      <c r="B16" s="47" t="s">
        <v>177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7" t="s">
        <v>188</v>
      </c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9"/>
      <c r="AC16" s="47" t="s">
        <v>189</v>
      </c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7" t="s">
        <v>226</v>
      </c>
      <c r="AU16" s="48"/>
      <c r="AV16" s="48"/>
      <c r="AW16" s="48"/>
      <c r="AX16" s="48"/>
      <c r="AY16" s="48"/>
      <c r="AZ16" s="48"/>
      <c r="BA16" s="48"/>
      <c r="BB16" s="48"/>
      <c r="BC16" s="49"/>
    </row>
    <row r="17" spans="2:55">
      <c r="B17" s="47" t="s">
        <v>177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7" t="s">
        <v>190</v>
      </c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9"/>
      <c r="AC17" s="47" t="s">
        <v>185</v>
      </c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7" t="s">
        <v>226</v>
      </c>
      <c r="AU17" s="48"/>
      <c r="AV17" s="48"/>
      <c r="AW17" s="48"/>
      <c r="AX17" s="48"/>
      <c r="AY17" s="48"/>
      <c r="AZ17" s="48"/>
      <c r="BA17" s="48"/>
      <c r="BB17" s="48"/>
      <c r="BC17" s="49"/>
    </row>
    <row r="18" spans="2:55">
      <c r="B18" s="47" t="s">
        <v>177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7" t="s">
        <v>191</v>
      </c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9"/>
      <c r="AC18" s="47" t="s">
        <v>192</v>
      </c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50" t="s">
        <v>168</v>
      </c>
      <c r="AU18" s="48"/>
      <c r="AV18" s="48"/>
      <c r="AW18" s="48"/>
      <c r="AX18" s="48"/>
      <c r="AY18" s="48"/>
      <c r="AZ18" s="48"/>
      <c r="BA18" s="48"/>
      <c r="BB18" s="48"/>
      <c r="BC18" s="49"/>
    </row>
    <row r="19" spans="2:55">
      <c r="B19" s="47" t="s">
        <v>177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7" t="s">
        <v>193</v>
      </c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9"/>
      <c r="AC19" s="47" t="s">
        <v>194</v>
      </c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7" t="s">
        <v>226</v>
      </c>
      <c r="AU19" s="48"/>
      <c r="AV19" s="48"/>
      <c r="AW19" s="48"/>
      <c r="AX19" s="48"/>
      <c r="AY19" s="48"/>
      <c r="AZ19" s="48"/>
      <c r="BA19" s="48"/>
      <c r="BB19" s="48"/>
      <c r="BC19" s="49"/>
    </row>
    <row r="20" spans="2:55">
      <c r="B20" s="47" t="s">
        <v>177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7" t="s">
        <v>195</v>
      </c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9"/>
      <c r="AC20" s="47" t="s">
        <v>196</v>
      </c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7" t="s">
        <v>226</v>
      </c>
      <c r="AU20" s="48"/>
      <c r="AV20" s="48"/>
      <c r="AW20" s="48"/>
      <c r="AX20" s="48"/>
      <c r="AY20" s="48"/>
      <c r="AZ20" s="48"/>
      <c r="BA20" s="48"/>
      <c r="BB20" s="48"/>
      <c r="BC20" s="49"/>
    </row>
    <row r="21" spans="2:55">
      <c r="B21" s="47" t="s">
        <v>177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7" t="s">
        <v>197</v>
      </c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9"/>
      <c r="AC21" s="47" t="s">
        <v>198</v>
      </c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7" t="s">
        <v>199</v>
      </c>
      <c r="AU21" s="48"/>
      <c r="AV21" s="48"/>
      <c r="AW21" s="48"/>
      <c r="AX21" s="48"/>
      <c r="AY21" s="48"/>
      <c r="AZ21" s="48"/>
      <c r="BA21" s="48"/>
      <c r="BB21" s="48"/>
      <c r="BC21" s="49"/>
    </row>
    <row r="22" spans="2:55">
      <c r="B22" s="47" t="s">
        <v>177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7" t="s">
        <v>200</v>
      </c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9"/>
      <c r="AC22" s="47" t="s">
        <v>201</v>
      </c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7" t="s">
        <v>225</v>
      </c>
      <c r="AU22" s="48"/>
      <c r="AV22" s="48"/>
      <c r="AW22" s="48"/>
      <c r="AX22" s="48"/>
      <c r="AY22" s="48"/>
      <c r="AZ22" s="48"/>
      <c r="BA22" s="48"/>
      <c r="BB22" s="48"/>
      <c r="BC22" s="49"/>
    </row>
    <row r="23" spans="2:55">
      <c r="B23" s="47" t="s">
        <v>177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7" t="s">
        <v>202</v>
      </c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9"/>
      <c r="AC23" s="47" t="s">
        <v>203</v>
      </c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7" t="s">
        <v>225</v>
      </c>
      <c r="AU23" s="48"/>
      <c r="AV23" s="48"/>
      <c r="AW23" s="48"/>
      <c r="AX23" s="48"/>
      <c r="AY23" s="48"/>
      <c r="AZ23" s="48"/>
      <c r="BA23" s="48"/>
      <c r="BB23" s="48"/>
      <c r="BC23" s="49"/>
    </row>
    <row r="24" spans="2:55">
      <c r="B24" s="41"/>
      <c r="C24" s="41"/>
      <c r="D24" s="42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</row>
    <row r="25" spans="2:55">
      <c r="B25" s="41"/>
      <c r="C25" s="41"/>
      <c r="D25" s="42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 t="s">
        <v>204</v>
      </c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</row>
    <row r="26" spans="2:55">
      <c r="B26" s="41"/>
      <c r="C26" s="41"/>
      <c r="D26" s="42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 t="s">
        <v>205</v>
      </c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</row>
    <row r="27" spans="2:55">
      <c r="B27" s="57" t="s">
        <v>270</v>
      </c>
      <c r="C27" s="41"/>
      <c r="D27" s="42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</row>
  </sheetData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9</vt:i4>
      </vt:variant>
    </vt:vector>
  </HeadingPairs>
  <TitlesOfParts>
    <vt:vector size="20" baseType="lpstr">
      <vt:lpstr>シナリオ一覧</vt:lpstr>
      <vt:lpstr>No.1_購入・購入取消応答</vt:lpstr>
      <vt:lpstr>No.1_購入・購入取消応答_マッピング</vt:lpstr>
      <vt:lpstr>No.2_本投票・本投票障害取消応答</vt:lpstr>
      <vt:lpstr>No.2_本投票・本投票障害取消応答_マッピング</vt:lpstr>
      <vt:lpstr>No.3_払戻・払戻取消応答</vt:lpstr>
      <vt:lpstr>No.3_払戻・払戻取消応答_マッピング</vt:lpstr>
      <vt:lpstr>No.4_当せん返還消込応答</vt:lpstr>
      <vt:lpstr>別紙_本投票応答のエラー応答による後続処理分岐</vt:lpstr>
      <vt:lpstr>No.4_当せん返還消込応答_マッピング</vt:lpstr>
      <vt:lpstr>別紙_当せん返還消込応答のエラー応答による後続処理分岐</vt:lpstr>
      <vt:lpstr>No.1_購入・購入取消応答!Print_Area</vt:lpstr>
      <vt:lpstr>No.1_購入・購入取消応答_マッピング!Print_Area</vt:lpstr>
      <vt:lpstr>No.2_本投票・本投票障害取消応答!Print_Area</vt:lpstr>
      <vt:lpstr>No.2_本投票・本投票障害取消応答_マッピング!Print_Area</vt:lpstr>
      <vt:lpstr>No.3_払戻・払戻取消応答!Print_Area</vt:lpstr>
      <vt:lpstr>No.3_払戻・払戻取消応答_マッピング!Print_Area</vt:lpstr>
      <vt:lpstr>No.4_当せん返還消込応答!Print_Area</vt:lpstr>
      <vt:lpstr>No.4_当せん返還消込応答_マッピング!Print_Area</vt:lpstr>
      <vt:lpstr>シナリオ一覧!Print_Area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WONG</dc:creator>
  <cp:lastModifiedBy>秀晃 軽海</cp:lastModifiedBy>
  <cp:lastPrinted>2024-11-29T08:10:39Z</cp:lastPrinted>
  <dcterms:created xsi:type="dcterms:W3CDTF">2015-06-05T18:19:34Z</dcterms:created>
  <dcterms:modified xsi:type="dcterms:W3CDTF">2025-05-22T05:25:19Z</dcterms:modified>
</cp:coreProperties>
</file>