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oteos\CajaDC\"/>
    </mc:Choice>
  </mc:AlternateContent>
  <xr:revisionPtr revIDLastSave="0" documentId="13_ncr:1_{BB699EDE-91FE-4A58-85B5-A99DF3801051}" xr6:coauthVersionLast="45" xr6:coauthVersionMax="45" xr10:uidLastSave="{00000000-0000-0000-0000-000000000000}"/>
  <bookViews>
    <workbookView xWindow="2370" yWindow="1275" windowWidth="24390" windowHeight="13590" firstSheet="2" activeTab="4" xr2:uid="{21222354-6E45-4BCB-9C65-623B1EF982CB}"/>
  </bookViews>
  <sheets>
    <sheet name="Homoplato" sheetId="1" r:id="rId1"/>
    <sheet name="Componentes homoplato" sheetId="7" r:id="rId2"/>
    <sheet name="Bicep" sheetId="4" r:id="rId3"/>
    <sheet name="Componentes bicep" sheetId="8" r:id="rId4"/>
    <sheet name="Codo" sheetId="5" r:id="rId5"/>
    <sheet name="Componentes codo" sheetId="9" r:id="rId6"/>
    <sheet name="Sheet5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7" l="1"/>
  <c r="F16" i="7"/>
  <c r="G16" i="7"/>
  <c r="H16" i="7"/>
  <c r="C14" i="9"/>
  <c r="C24" i="5" s="1"/>
  <c r="D14" i="9"/>
  <c r="E14" i="9"/>
  <c r="E24" i="5" s="1"/>
  <c r="F14" i="9"/>
  <c r="B14" i="9"/>
  <c r="C34" i="5"/>
  <c r="D34" i="5" s="1"/>
  <c r="C37" i="5"/>
  <c r="D37" i="5" s="1"/>
  <c r="C38" i="5"/>
  <c r="D38" i="5" s="1"/>
  <c r="C39" i="5"/>
  <c r="D39" i="5" s="1"/>
  <c r="C40" i="5"/>
  <c r="D40" i="5" s="1"/>
  <c r="B34" i="5"/>
  <c r="B35" i="5"/>
  <c r="B36" i="5"/>
  <c r="B37" i="5"/>
  <c r="B38" i="5"/>
  <c r="B39" i="5"/>
  <c r="B40" i="5"/>
  <c r="B41" i="5"/>
  <c r="B42" i="5"/>
  <c r="B33" i="5"/>
  <c r="D45" i="4"/>
  <c r="D46" i="4"/>
  <c r="D50" i="4"/>
  <c r="D51" i="4"/>
  <c r="D52" i="4"/>
  <c r="C44" i="4"/>
  <c r="D44" i="4" s="1"/>
  <c r="C45" i="4"/>
  <c r="C46" i="4"/>
  <c r="C47" i="4"/>
  <c r="D47" i="4" s="1"/>
  <c r="C48" i="4"/>
  <c r="D48" i="4" s="1"/>
  <c r="C49" i="4"/>
  <c r="D49" i="4" s="1"/>
  <c r="C50" i="4"/>
  <c r="C51" i="4"/>
  <c r="C52" i="4"/>
  <c r="B44" i="4"/>
  <c r="B45" i="4"/>
  <c r="B46" i="4"/>
  <c r="B47" i="4"/>
  <c r="B48" i="4"/>
  <c r="B49" i="4"/>
  <c r="B50" i="4"/>
  <c r="B51" i="4"/>
  <c r="B52" i="4"/>
  <c r="C43" i="4"/>
  <c r="D43" i="4" s="1"/>
  <c r="B43" i="4"/>
  <c r="D83" i="4"/>
  <c r="D84" i="4"/>
  <c r="D85" i="4"/>
  <c r="D89" i="4"/>
  <c r="D90" i="4"/>
  <c r="D91" i="4"/>
  <c r="C83" i="4"/>
  <c r="C84" i="4"/>
  <c r="C85" i="4"/>
  <c r="C86" i="4"/>
  <c r="D86" i="4" s="1"/>
  <c r="C87" i="4"/>
  <c r="D87" i="4" s="1"/>
  <c r="C88" i="4"/>
  <c r="D88" i="4" s="1"/>
  <c r="C89" i="4"/>
  <c r="C90" i="4"/>
  <c r="C91" i="4"/>
  <c r="B83" i="4"/>
  <c r="B84" i="4"/>
  <c r="B85" i="4"/>
  <c r="B86" i="4"/>
  <c r="B87" i="4"/>
  <c r="B88" i="4"/>
  <c r="B89" i="4"/>
  <c r="B90" i="4"/>
  <c r="B91" i="4"/>
  <c r="C82" i="4"/>
  <c r="D82" i="4" s="1"/>
  <c r="B82" i="4"/>
  <c r="D122" i="4"/>
  <c r="D126" i="4"/>
  <c r="D127" i="4"/>
  <c r="D128" i="4"/>
  <c r="C122" i="4"/>
  <c r="C123" i="4"/>
  <c r="D123" i="4" s="1"/>
  <c r="C124" i="4"/>
  <c r="D124" i="4" s="1"/>
  <c r="C125" i="4"/>
  <c r="D125" i="4" s="1"/>
  <c r="C126" i="4"/>
  <c r="C127" i="4"/>
  <c r="C128" i="4"/>
  <c r="C129" i="4"/>
  <c r="D129" i="4" s="1"/>
  <c r="C130" i="4"/>
  <c r="D130" i="4" s="1"/>
  <c r="B122" i="4"/>
  <c r="B123" i="4"/>
  <c r="B124" i="4"/>
  <c r="B125" i="4"/>
  <c r="B126" i="4"/>
  <c r="B127" i="4"/>
  <c r="B128" i="4"/>
  <c r="B129" i="4"/>
  <c r="B130" i="4"/>
  <c r="C121" i="4"/>
  <c r="D121" i="4" s="1"/>
  <c r="B121" i="4"/>
  <c r="D111" i="4"/>
  <c r="D113" i="4"/>
  <c r="D114" i="4"/>
  <c r="C109" i="4"/>
  <c r="D109" i="4" s="1"/>
  <c r="C110" i="4"/>
  <c r="D110" i="4" s="1"/>
  <c r="C111" i="4"/>
  <c r="C112" i="4"/>
  <c r="D112" i="4" s="1"/>
  <c r="C113" i="4"/>
  <c r="C114" i="4"/>
  <c r="C115" i="4"/>
  <c r="D115" i="4" s="1"/>
  <c r="C116" i="4"/>
  <c r="D116" i="4" s="1"/>
  <c r="C117" i="4"/>
  <c r="D117" i="4" s="1"/>
  <c r="B109" i="4"/>
  <c r="B110" i="4"/>
  <c r="B111" i="4"/>
  <c r="B112" i="4"/>
  <c r="B113" i="4"/>
  <c r="B114" i="4"/>
  <c r="B115" i="4"/>
  <c r="B116" i="4"/>
  <c r="B117" i="4"/>
  <c r="C108" i="4"/>
  <c r="D108" i="4" s="1"/>
  <c r="B108" i="4"/>
  <c r="D70" i="4"/>
  <c r="D71" i="4"/>
  <c r="D76" i="4"/>
  <c r="D77" i="4"/>
  <c r="D78" i="4"/>
  <c r="D69" i="4"/>
  <c r="D99" i="4"/>
  <c r="D100" i="4"/>
  <c r="D95" i="4"/>
  <c r="D31" i="4"/>
  <c r="D32" i="4"/>
  <c r="D33" i="4"/>
  <c r="D34" i="4"/>
  <c r="D37" i="4"/>
  <c r="D38" i="4"/>
  <c r="D39" i="4"/>
  <c r="D30" i="4"/>
  <c r="C96" i="4"/>
  <c r="D96" i="4" s="1"/>
  <c r="C97" i="4"/>
  <c r="D97" i="4" s="1"/>
  <c r="C98" i="4"/>
  <c r="D98" i="4" s="1"/>
  <c r="C99" i="4"/>
  <c r="C100" i="4"/>
  <c r="C101" i="4"/>
  <c r="D101" i="4" s="1"/>
  <c r="C102" i="4"/>
  <c r="D102" i="4" s="1"/>
  <c r="C103" i="4"/>
  <c r="D103" i="4" s="1"/>
  <c r="C104" i="4"/>
  <c r="D104" i="4" s="1"/>
  <c r="B96" i="4"/>
  <c r="B97" i="4"/>
  <c r="B98" i="4"/>
  <c r="B99" i="4"/>
  <c r="B100" i="4"/>
  <c r="B101" i="4"/>
  <c r="B102" i="4"/>
  <c r="B103" i="4"/>
  <c r="B104" i="4"/>
  <c r="C57" i="4"/>
  <c r="D57" i="4" s="1"/>
  <c r="C58" i="4"/>
  <c r="D58" i="4" s="1"/>
  <c r="C59" i="4"/>
  <c r="D59" i="4" s="1"/>
  <c r="C60" i="4"/>
  <c r="D60" i="4" s="1"/>
  <c r="C61" i="4"/>
  <c r="D61" i="4" s="1"/>
  <c r="C62" i="4"/>
  <c r="D62" i="4" s="1"/>
  <c r="C63" i="4"/>
  <c r="D63" i="4" s="1"/>
  <c r="C64" i="4"/>
  <c r="D64" i="4" s="1"/>
  <c r="C65" i="4"/>
  <c r="D65" i="4" s="1"/>
  <c r="C56" i="4"/>
  <c r="D56" i="4" s="1"/>
  <c r="C95" i="4"/>
  <c r="B95" i="4"/>
  <c r="C70" i="4"/>
  <c r="C71" i="4"/>
  <c r="C72" i="4"/>
  <c r="D72" i="4" s="1"/>
  <c r="C73" i="4"/>
  <c r="D73" i="4" s="1"/>
  <c r="C74" i="4"/>
  <c r="D74" i="4" s="1"/>
  <c r="C75" i="4"/>
  <c r="D75" i="4" s="1"/>
  <c r="C76" i="4"/>
  <c r="C77" i="4"/>
  <c r="C78" i="4"/>
  <c r="B70" i="4"/>
  <c r="B71" i="4"/>
  <c r="B72" i="4"/>
  <c r="B73" i="4"/>
  <c r="B74" i="4"/>
  <c r="B75" i="4"/>
  <c r="B76" i="4"/>
  <c r="B77" i="4"/>
  <c r="B78" i="4"/>
  <c r="C69" i="4"/>
  <c r="B69" i="4"/>
  <c r="B57" i="4"/>
  <c r="B58" i="4"/>
  <c r="B59" i="4"/>
  <c r="B60" i="4"/>
  <c r="B61" i="4"/>
  <c r="B62" i="4"/>
  <c r="B63" i="4"/>
  <c r="B64" i="4"/>
  <c r="B65" i="4"/>
  <c r="B56" i="4"/>
  <c r="C31" i="4"/>
  <c r="C32" i="4"/>
  <c r="C33" i="4"/>
  <c r="C34" i="4"/>
  <c r="C35" i="4"/>
  <c r="D35" i="4" s="1"/>
  <c r="C36" i="4"/>
  <c r="D36" i="4" s="1"/>
  <c r="C37" i="4"/>
  <c r="C38" i="4"/>
  <c r="C39" i="4"/>
  <c r="B31" i="4"/>
  <c r="B32" i="4"/>
  <c r="B33" i="4"/>
  <c r="B34" i="4"/>
  <c r="B35" i="4"/>
  <c r="B36" i="4"/>
  <c r="B37" i="4"/>
  <c r="B38" i="4"/>
  <c r="B39" i="4"/>
  <c r="B30" i="4"/>
  <c r="C30" i="4"/>
  <c r="A122" i="4"/>
  <c r="A123" i="4"/>
  <c r="A124" i="4"/>
  <c r="A125" i="4"/>
  <c r="A126" i="4"/>
  <c r="A127" i="4"/>
  <c r="A128" i="4"/>
  <c r="A129" i="4"/>
  <c r="A130" i="4"/>
  <c r="A121" i="4"/>
  <c r="A109" i="4"/>
  <c r="A110" i="4"/>
  <c r="A111" i="4"/>
  <c r="A112" i="4"/>
  <c r="A113" i="4"/>
  <c r="A114" i="4"/>
  <c r="A115" i="4"/>
  <c r="A116" i="4"/>
  <c r="A117" i="4"/>
  <c r="A108" i="4"/>
  <c r="A70" i="4"/>
  <c r="A71" i="4"/>
  <c r="A72" i="4"/>
  <c r="A73" i="4"/>
  <c r="A74" i="4"/>
  <c r="A75" i="4"/>
  <c r="A76" i="4"/>
  <c r="A77" i="4"/>
  <c r="A78" i="4"/>
  <c r="A69" i="4"/>
  <c r="H96" i="4"/>
  <c r="A96" i="4" s="1"/>
  <c r="H97" i="4"/>
  <c r="A97" i="4" s="1"/>
  <c r="H98" i="4"/>
  <c r="A98" i="4" s="1"/>
  <c r="H99" i="4"/>
  <c r="H100" i="4"/>
  <c r="A100" i="4" s="1"/>
  <c r="H101" i="4"/>
  <c r="A101" i="4" s="1"/>
  <c r="H102" i="4"/>
  <c r="A102" i="4" s="1"/>
  <c r="H103" i="4"/>
  <c r="A103" i="4" s="1"/>
  <c r="H104" i="4"/>
  <c r="A104" i="4" s="1"/>
  <c r="H95" i="4"/>
  <c r="A99" i="4"/>
  <c r="A57" i="4"/>
  <c r="A58" i="4"/>
  <c r="A59" i="4"/>
  <c r="A60" i="4"/>
  <c r="A61" i="4"/>
  <c r="A62" i="4"/>
  <c r="A63" i="4"/>
  <c r="A64" i="4"/>
  <c r="A65" i="4"/>
  <c r="A56" i="4"/>
  <c r="A31" i="4"/>
  <c r="A32" i="4"/>
  <c r="A33" i="4"/>
  <c r="A34" i="4"/>
  <c r="A35" i="4"/>
  <c r="A36" i="4"/>
  <c r="A37" i="4"/>
  <c r="A38" i="4"/>
  <c r="A39" i="4"/>
  <c r="A30" i="4"/>
  <c r="A86" i="5"/>
  <c r="A87" i="5"/>
  <c r="A88" i="5"/>
  <c r="A89" i="5"/>
  <c r="A90" i="5"/>
  <c r="A91" i="5"/>
  <c r="A92" i="5"/>
  <c r="A93" i="5"/>
  <c r="A94" i="5"/>
  <c r="A85" i="5"/>
  <c r="D10" i="5"/>
  <c r="H10" i="5" s="1"/>
  <c r="A47" i="5"/>
  <c r="A48" i="5"/>
  <c r="A49" i="5"/>
  <c r="A50" i="5"/>
  <c r="A51" i="5"/>
  <c r="A52" i="5"/>
  <c r="A53" i="5"/>
  <c r="A54" i="5"/>
  <c r="A55" i="5"/>
  <c r="A46" i="5"/>
  <c r="D24" i="5"/>
  <c r="F24" i="5"/>
  <c r="C27" i="5"/>
  <c r="D27" i="5"/>
  <c r="E27" i="5"/>
  <c r="F27" i="5"/>
  <c r="D29" i="5"/>
  <c r="E29" i="5"/>
  <c r="F29" i="5"/>
  <c r="C28" i="5"/>
  <c r="D28" i="5"/>
  <c r="E28" i="5"/>
  <c r="F28" i="5"/>
  <c r="B29" i="5"/>
  <c r="B28" i="5"/>
  <c r="B27" i="5"/>
  <c r="C25" i="5"/>
  <c r="D25" i="5"/>
  <c r="E25" i="5"/>
  <c r="F25" i="5"/>
  <c r="B25" i="5"/>
  <c r="B21" i="4"/>
  <c r="B24" i="5"/>
  <c r="C35" i="5" s="1"/>
  <c r="D35" i="5" s="1"/>
  <c r="C12" i="5"/>
  <c r="B12" i="5"/>
  <c r="A12" i="5"/>
  <c r="B9" i="5"/>
  <c r="E20" i="9"/>
  <c r="E17" i="9"/>
  <c r="C16" i="9"/>
  <c r="C22" i="9" s="1"/>
  <c r="C10" i="9"/>
  <c r="C8" i="9" s="1"/>
  <c r="H8" i="9" s="1"/>
  <c r="D10" i="9"/>
  <c r="D8" i="9" s="1"/>
  <c r="E10" i="9"/>
  <c r="E8" i="9" s="1"/>
  <c r="F10" i="9"/>
  <c r="F17" i="9" s="1"/>
  <c r="B10" i="9"/>
  <c r="B8" i="9" s="1"/>
  <c r="C24" i="4"/>
  <c r="D24" i="4"/>
  <c r="E24" i="4"/>
  <c r="F24" i="4"/>
  <c r="B24" i="4"/>
  <c r="F15" i="8"/>
  <c r="F20" i="4" s="1"/>
  <c r="E15" i="8"/>
  <c r="C20" i="4"/>
  <c r="D20" i="4"/>
  <c r="E20" i="4"/>
  <c r="B20" i="4"/>
  <c r="F23" i="4"/>
  <c r="E23" i="4"/>
  <c r="D23" i="4"/>
  <c r="C23" i="4"/>
  <c r="B23" i="4"/>
  <c r="F25" i="4"/>
  <c r="E25" i="4"/>
  <c r="D25" i="4"/>
  <c r="C25" i="4"/>
  <c r="B25" i="4"/>
  <c r="C21" i="4"/>
  <c r="D21" i="4"/>
  <c r="E21" i="4"/>
  <c r="F21" i="4"/>
  <c r="C42" i="5" l="1"/>
  <c r="D42" i="5" s="1"/>
  <c r="C36" i="5"/>
  <c r="D36" i="5" s="1"/>
  <c r="C33" i="5"/>
  <c r="D33" i="5" s="1"/>
  <c r="C41" i="5"/>
  <c r="D41" i="5" s="1"/>
  <c r="A68" i="5"/>
  <c r="A62" i="5"/>
  <c r="A67" i="5"/>
  <c r="A61" i="5"/>
  <c r="A64" i="5"/>
  <c r="I10" i="5"/>
  <c r="A59" i="5"/>
  <c r="A63" i="5"/>
  <c r="A66" i="5"/>
  <c r="A60" i="5"/>
  <c r="A65" i="5"/>
  <c r="F18" i="9"/>
  <c r="F19" i="9"/>
  <c r="F16" i="9"/>
  <c r="F20" i="9"/>
  <c r="E19" i="9"/>
  <c r="E9" i="9" s="1"/>
  <c r="E18" i="9"/>
  <c r="E16" i="9"/>
  <c r="D17" i="9"/>
  <c r="D19" i="9"/>
  <c r="D9" i="9" s="1"/>
  <c r="D16" i="9"/>
  <c r="D18" i="9"/>
  <c r="D20" i="9"/>
  <c r="B17" i="9"/>
  <c r="B16" i="9"/>
  <c r="B21" i="9" s="1"/>
  <c r="C21" i="9"/>
  <c r="C19" i="9"/>
  <c r="C9" i="9" s="1"/>
  <c r="H9" i="9" s="1"/>
  <c r="C18" i="9"/>
  <c r="C17" i="9"/>
  <c r="C20" i="9"/>
  <c r="B19" i="9"/>
  <c r="B9" i="9" s="1"/>
  <c r="B22" i="9"/>
  <c r="B18" i="9"/>
  <c r="B20" i="9"/>
  <c r="D7" i="9"/>
  <c r="E7" i="9"/>
  <c r="C7" i="9"/>
  <c r="H7" i="9" s="1"/>
  <c r="B7" i="9"/>
  <c r="F6" i="9"/>
  <c r="F8" i="9" s="1"/>
  <c r="H33" i="1"/>
  <c r="G33" i="1"/>
  <c r="F33" i="1"/>
  <c r="E33" i="1"/>
  <c r="D33" i="1"/>
  <c r="C33" i="1"/>
  <c r="B33" i="1"/>
  <c r="B28" i="1"/>
  <c r="C16" i="7"/>
  <c r="C28" i="1" s="1"/>
  <c r="D16" i="7"/>
  <c r="D28" i="1" s="1"/>
  <c r="B16" i="1"/>
  <c r="A16" i="1"/>
  <c r="B14" i="1"/>
  <c r="B12" i="1"/>
  <c r="B10" i="1"/>
  <c r="A12" i="1" s="1"/>
  <c r="B8" i="1"/>
  <c r="A10" i="1" s="1"/>
  <c r="A14" i="1"/>
  <c r="E53" i="1"/>
  <c r="F41" i="1"/>
  <c r="E41" i="1"/>
  <c r="C29" i="1"/>
  <c r="D29" i="1"/>
  <c r="E29" i="1"/>
  <c r="F29" i="1"/>
  <c r="G29" i="1"/>
  <c r="H29" i="1"/>
  <c r="B29" i="1"/>
  <c r="B32" i="1"/>
  <c r="B46" i="1" s="1"/>
  <c r="C31" i="1"/>
  <c r="D31" i="1"/>
  <c r="E31" i="1"/>
  <c r="F31" i="1"/>
  <c r="G31" i="1"/>
  <c r="H31" i="1"/>
  <c r="B31" i="1"/>
  <c r="E23" i="8"/>
  <c r="C21" i="8"/>
  <c r="E21" i="8"/>
  <c r="E20" i="8"/>
  <c r="E10" i="8" s="1"/>
  <c r="C18" i="8"/>
  <c r="E18" i="8"/>
  <c r="D17" i="8"/>
  <c r="D22" i="8" s="1"/>
  <c r="E17" i="8"/>
  <c r="E22" i="8" s="1"/>
  <c r="F17" i="8"/>
  <c r="F23" i="8" s="1"/>
  <c r="E8" i="8"/>
  <c r="C9" i="8"/>
  <c r="C8" i="8" s="1"/>
  <c r="E9" i="8"/>
  <c r="F9" i="8"/>
  <c r="F8" i="8" s="1"/>
  <c r="C11" i="8"/>
  <c r="C19" i="8" s="1"/>
  <c r="D11" i="8"/>
  <c r="D20" i="8" s="1"/>
  <c r="E11" i="8"/>
  <c r="E19" i="8" s="1"/>
  <c r="F11" i="8"/>
  <c r="F20" i="8" s="1"/>
  <c r="C15" i="8"/>
  <c r="D15" i="8"/>
  <c r="B15" i="8"/>
  <c r="B21" i="8"/>
  <c r="B18" i="8"/>
  <c r="B11" i="8"/>
  <c r="B9" i="8" s="1"/>
  <c r="F28" i="1"/>
  <c r="G28" i="1"/>
  <c r="H28" i="1"/>
  <c r="E28" i="1"/>
  <c r="D7" i="8"/>
  <c r="D9" i="8" s="1"/>
  <c r="D8" i="8" s="1"/>
  <c r="D10" i="4"/>
  <c r="C12" i="7"/>
  <c r="C21" i="7" s="1"/>
  <c r="D12" i="7"/>
  <c r="D10" i="7" s="1"/>
  <c r="D32" i="1" s="1"/>
  <c r="E12" i="7"/>
  <c r="E21" i="7" s="1"/>
  <c r="F12" i="7"/>
  <c r="F22" i="7" s="1"/>
  <c r="G12" i="7"/>
  <c r="G20" i="7" s="1"/>
  <c r="H12" i="7"/>
  <c r="H22" i="7" s="1"/>
  <c r="B12" i="7"/>
  <c r="B22" i="7" s="1"/>
  <c r="D22" i="7"/>
  <c r="C19" i="7"/>
  <c r="C18" i="7"/>
  <c r="C24" i="7" s="1"/>
  <c r="F21" i="9" l="1"/>
  <c r="F22" i="9"/>
  <c r="E21" i="9"/>
  <c r="E22" i="9"/>
  <c r="D22" i="9"/>
  <c r="D21" i="9"/>
  <c r="F7" i="9"/>
  <c r="F9" i="9"/>
  <c r="C46" i="1"/>
  <c r="D46" i="1" s="1"/>
  <c r="B45" i="1"/>
  <c r="C45" i="1" s="1"/>
  <c r="D45" i="1" s="1"/>
  <c r="B41" i="1"/>
  <c r="C41" i="1" s="1"/>
  <c r="D41" i="1" s="1"/>
  <c r="B44" i="1"/>
  <c r="C44" i="1" s="1"/>
  <c r="D44" i="1" s="1"/>
  <c r="B49" i="1"/>
  <c r="C49" i="1" s="1"/>
  <c r="D49" i="1" s="1"/>
  <c r="B43" i="1"/>
  <c r="C43" i="1" s="1"/>
  <c r="D43" i="1" s="1"/>
  <c r="B48" i="1"/>
  <c r="C48" i="1" s="1"/>
  <c r="D48" i="1" s="1"/>
  <c r="B42" i="1"/>
  <c r="C42" i="1" s="1"/>
  <c r="D42" i="1" s="1"/>
  <c r="B47" i="1"/>
  <c r="C47" i="1" s="1"/>
  <c r="D47" i="1" s="1"/>
  <c r="D10" i="8"/>
  <c r="F18" i="8"/>
  <c r="F21" i="8"/>
  <c r="F19" i="8"/>
  <c r="F22" i="8"/>
  <c r="D19" i="8"/>
  <c r="D21" i="8"/>
  <c r="D23" i="8"/>
  <c r="D18" i="8"/>
  <c r="C17" i="8"/>
  <c r="C20" i="8"/>
  <c r="B17" i="8"/>
  <c r="B19" i="8"/>
  <c r="B20" i="8"/>
  <c r="B10" i="8" s="1"/>
  <c r="F10" i="8"/>
  <c r="C10" i="8"/>
  <c r="B8" i="8"/>
  <c r="B18" i="7"/>
  <c r="B24" i="7" s="1"/>
  <c r="G18" i="7"/>
  <c r="G24" i="7" s="1"/>
  <c r="D21" i="7"/>
  <c r="D11" i="7" s="1"/>
  <c r="G22" i="7"/>
  <c r="G21" i="7"/>
  <c r="G19" i="7"/>
  <c r="D19" i="7"/>
  <c r="D20" i="7"/>
  <c r="G10" i="7"/>
  <c r="G32" i="1" s="1"/>
  <c r="D18" i="7"/>
  <c r="D24" i="7" s="1"/>
  <c r="F10" i="7"/>
  <c r="F32" i="1" s="1"/>
  <c r="C20" i="7"/>
  <c r="C22" i="7"/>
  <c r="E10" i="7"/>
  <c r="E32" i="1" s="1"/>
  <c r="D9" i="7"/>
  <c r="C10" i="7"/>
  <c r="C32" i="1" s="1"/>
  <c r="H10" i="7"/>
  <c r="H32" i="1" s="1"/>
  <c r="E20" i="7"/>
  <c r="E19" i="7"/>
  <c r="E22" i="7"/>
  <c r="E18" i="7"/>
  <c r="E24" i="7" s="1"/>
  <c r="B19" i="7"/>
  <c r="B20" i="7"/>
  <c r="B21" i="7"/>
  <c r="F18" i="7"/>
  <c r="F19" i="7"/>
  <c r="F20" i="7"/>
  <c r="F21" i="7"/>
  <c r="C23" i="7"/>
  <c r="H18" i="7"/>
  <c r="H19" i="7"/>
  <c r="H20" i="7"/>
  <c r="H21" i="7"/>
  <c r="E2" i="4"/>
  <c r="G23" i="7" l="1"/>
  <c r="G9" i="7"/>
  <c r="C23" i="8"/>
  <c r="C22" i="8"/>
  <c r="B23" i="8"/>
  <c r="B22" i="8"/>
  <c r="B23" i="7"/>
  <c r="D23" i="7"/>
  <c r="E23" i="7"/>
  <c r="G11" i="7"/>
  <c r="E11" i="7"/>
  <c r="E9" i="7"/>
  <c r="H9" i="7"/>
  <c r="H11" i="7"/>
  <c r="C11" i="7"/>
  <c r="C9" i="7"/>
  <c r="B9" i="7"/>
  <c r="B11" i="7"/>
  <c r="F11" i="7"/>
  <c r="F9" i="7"/>
  <c r="F24" i="7"/>
  <c r="F23" i="7"/>
  <c r="H24" i="7"/>
  <c r="H23" i="7"/>
  <c r="E8" i="5"/>
  <c r="D8" i="5"/>
  <c r="G8" i="5" s="1"/>
  <c r="C9" i="4"/>
  <c r="D8" i="4" s="1"/>
  <c r="H8" i="5" l="1"/>
  <c r="I8" i="5"/>
  <c r="C7" i="4"/>
  <c r="C7" i="1"/>
  <c r="C5" i="1"/>
  <c r="D17" i="5" l="1"/>
  <c r="E17" i="5" s="1"/>
  <c r="F17" i="5" s="1"/>
  <c r="F10" i="5"/>
  <c r="C17" i="5"/>
  <c r="E10" i="5"/>
  <c r="A58" i="1"/>
  <c r="B58" i="1" s="1"/>
  <c r="C58" i="1" s="1"/>
  <c r="D58" i="1" s="1"/>
  <c r="A55" i="1"/>
  <c r="B55" i="1" s="1"/>
  <c r="C55" i="1" s="1"/>
  <c r="D55" i="1" s="1"/>
  <c r="F7" i="1"/>
  <c r="A59" i="1" s="1"/>
  <c r="B59" i="1" s="1"/>
  <c r="C59" i="1" s="1"/>
  <c r="D59" i="1" s="1"/>
  <c r="C15" i="1"/>
  <c r="C9" i="1"/>
  <c r="C13" i="1"/>
  <c r="G5" i="1"/>
  <c r="D7" i="1" s="1"/>
  <c r="H5" i="1"/>
  <c r="E7" i="1" s="1"/>
  <c r="G7" i="1"/>
  <c r="D9" i="1" s="1"/>
  <c r="D6" i="4"/>
  <c r="H7" i="1" l="1"/>
  <c r="E9" i="1" s="1"/>
  <c r="H9" i="1" s="1"/>
  <c r="E11" i="1" s="1"/>
  <c r="H11" i="1" s="1"/>
  <c r="A61" i="1"/>
  <c r="B61" i="1" s="1"/>
  <c r="C61" i="1" s="1"/>
  <c r="D61" i="1" s="1"/>
  <c r="A57" i="1"/>
  <c r="B57" i="1" s="1"/>
  <c r="C57" i="1" s="1"/>
  <c r="D57" i="1" s="1"/>
  <c r="A60" i="1"/>
  <c r="B60" i="1" s="1"/>
  <c r="C60" i="1" s="1"/>
  <c r="D60" i="1" s="1"/>
  <c r="A53" i="1"/>
  <c r="B53" i="1" s="1"/>
  <c r="C53" i="1" s="1"/>
  <c r="D53" i="1" s="1"/>
  <c r="A54" i="1"/>
  <c r="B54" i="1" s="1"/>
  <c r="C54" i="1" s="1"/>
  <c r="D54" i="1" s="1"/>
  <c r="A56" i="1"/>
  <c r="B56" i="1" s="1"/>
  <c r="C56" i="1" s="1"/>
  <c r="D56" i="1" s="1"/>
  <c r="A69" i="1"/>
  <c r="A70" i="1"/>
  <c r="A71" i="1"/>
  <c r="A65" i="1"/>
  <c r="A66" i="1"/>
  <c r="A67" i="1"/>
  <c r="A73" i="1"/>
  <c r="H6" i="4"/>
  <c r="E8" i="4" s="1"/>
  <c r="H8" i="4" s="1"/>
  <c r="E10" i="4" s="1"/>
  <c r="H10" i="4" s="1"/>
  <c r="C14" i="4" s="1"/>
  <c r="I6" i="4"/>
  <c r="F8" i="4" s="1"/>
  <c r="G9" i="1"/>
  <c r="A68" i="1" l="1"/>
  <c r="B68" i="1" s="1"/>
  <c r="C68" i="1" s="1"/>
  <c r="D68" i="1" s="1"/>
  <c r="A72" i="1"/>
  <c r="A84" i="1" s="1"/>
  <c r="D11" i="1"/>
  <c r="F53" i="1"/>
  <c r="A77" i="1"/>
  <c r="B65" i="1"/>
  <c r="C65" i="1" s="1"/>
  <c r="D65" i="1" s="1"/>
  <c r="A80" i="1"/>
  <c r="B71" i="1"/>
  <c r="C71" i="1" s="1"/>
  <c r="D71" i="1" s="1"/>
  <c r="A83" i="1"/>
  <c r="A85" i="1"/>
  <c r="B73" i="1"/>
  <c r="C73" i="1" s="1"/>
  <c r="D73" i="1" s="1"/>
  <c r="B70" i="1"/>
  <c r="C70" i="1" s="1"/>
  <c r="D70" i="1" s="1"/>
  <c r="A82" i="1"/>
  <c r="A79" i="1"/>
  <c r="B67" i="1"/>
  <c r="C67" i="1" s="1"/>
  <c r="D67" i="1" s="1"/>
  <c r="A81" i="1"/>
  <c r="B69" i="1"/>
  <c r="C69" i="1" s="1"/>
  <c r="D69" i="1" s="1"/>
  <c r="A78" i="1"/>
  <c r="B66" i="1"/>
  <c r="C66" i="1" s="1"/>
  <c r="D66" i="1" s="1"/>
  <c r="I8" i="4"/>
  <c r="F10" i="4" s="1"/>
  <c r="I10" i="4" s="1"/>
  <c r="D14" i="4" s="1"/>
  <c r="E14" i="4" s="1"/>
  <c r="F14" i="4" s="1"/>
  <c r="E13" i="1"/>
  <c r="H13" i="1" s="1"/>
  <c r="B72" i="1" l="1"/>
  <c r="C72" i="1" s="1"/>
  <c r="D72" i="1" s="1"/>
  <c r="B81" i="1"/>
  <c r="C81" i="1" s="1"/>
  <c r="D81" i="1" s="1"/>
  <c r="A93" i="1"/>
  <c r="B85" i="1"/>
  <c r="C85" i="1" s="1"/>
  <c r="D85" i="1" s="1"/>
  <c r="A97" i="1"/>
  <c r="B77" i="1"/>
  <c r="C77" i="1" s="1"/>
  <c r="D77" i="1" s="1"/>
  <c r="A89" i="1"/>
  <c r="B83" i="1"/>
  <c r="C83" i="1" s="1"/>
  <c r="D83" i="1" s="1"/>
  <c r="A95" i="1"/>
  <c r="B78" i="1"/>
  <c r="C78" i="1" s="1"/>
  <c r="D78" i="1" s="1"/>
  <c r="A90" i="1"/>
  <c r="B79" i="1"/>
  <c r="C79" i="1" s="1"/>
  <c r="D79" i="1" s="1"/>
  <c r="A91" i="1"/>
  <c r="G11" i="1"/>
  <c r="E65" i="1"/>
  <c r="B82" i="1"/>
  <c r="C82" i="1" s="1"/>
  <c r="D82" i="1" s="1"/>
  <c r="A94" i="1"/>
  <c r="B84" i="1"/>
  <c r="C84" i="1" s="1"/>
  <c r="D84" i="1" s="1"/>
  <c r="A96" i="1"/>
  <c r="B80" i="1"/>
  <c r="C80" i="1" s="1"/>
  <c r="D80" i="1" s="1"/>
  <c r="A92" i="1"/>
  <c r="E15" i="1"/>
  <c r="A107" i="1" l="1"/>
  <c r="B95" i="1"/>
  <c r="C95" i="1" s="1"/>
  <c r="D95" i="1" s="1"/>
  <c r="A108" i="1"/>
  <c r="B96" i="1"/>
  <c r="C96" i="1" s="1"/>
  <c r="D96" i="1" s="1"/>
  <c r="A101" i="1"/>
  <c r="B89" i="1"/>
  <c r="C89" i="1" s="1"/>
  <c r="D89" i="1" s="1"/>
  <c r="B92" i="1"/>
  <c r="C92" i="1" s="1"/>
  <c r="D92" i="1" s="1"/>
  <c r="A104" i="1"/>
  <c r="B93" i="1"/>
  <c r="C93" i="1" s="1"/>
  <c r="D93" i="1" s="1"/>
  <c r="A105" i="1"/>
  <c r="F65" i="1"/>
  <c r="D13" i="1"/>
  <c r="A103" i="1"/>
  <c r="B91" i="1"/>
  <c r="C91" i="1" s="1"/>
  <c r="D91" i="1" s="1"/>
  <c r="B94" i="1"/>
  <c r="C94" i="1" s="1"/>
  <c r="D94" i="1" s="1"/>
  <c r="A106" i="1"/>
  <c r="A102" i="1"/>
  <c r="B90" i="1"/>
  <c r="C90" i="1" s="1"/>
  <c r="D90" i="1" s="1"/>
  <c r="A109" i="1"/>
  <c r="B97" i="1"/>
  <c r="C97" i="1" s="1"/>
  <c r="D97" i="1" s="1"/>
  <c r="H15" i="1"/>
  <c r="D19" i="1" s="1"/>
  <c r="E19" i="1" s="1"/>
  <c r="F19" i="1" s="1"/>
  <c r="B108" i="1" l="1"/>
  <c r="C108" i="1" s="1"/>
  <c r="D108" i="1" s="1"/>
  <c r="A120" i="1"/>
  <c r="B120" i="1" s="1"/>
  <c r="C120" i="1" s="1"/>
  <c r="D120" i="1" s="1"/>
  <c r="A116" i="1"/>
  <c r="B116" i="1" s="1"/>
  <c r="C116" i="1" s="1"/>
  <c r="D116" i="1" s="1"/>
  <c r="B104" i="1"/>
  <c r="C104" i="1" s="1"/>
  <c r="D104" i="1" s="1"/>
  <c r="A121" i="1"/>
  <c r="B121" i="1" s="1"/>
  <c r="C121" i="1" s="1"/>
  <c r="D121" i="1" s="1"/>
  <c r="B109" i="1"/>
  <c r="C109" i="1" s="1"/>
  <c r="D109" i="1" s="1"/>
  <c r="B103" i="1"/>
  <c r="C103" i="1" s="1"/>
  <c r="D103" i="1" s="1"/>
  <c r="A115" i="1"/>
  <c r="B115" i="1" s="1"/>
  <c r="C115" i="1" s="1"/>
  <c r="D115" i="1" s="1"/>
  <c r="A119" i="1"/>
  <c r="B119" i="1" s="1"/>
  <c r="C119" i="1" s="1"/>
  <c r="D119" i="1" s="1"/>
  <c r="B107" i="1"/>
  <c r="C107" i="1" s="1"/>
  <c r="D107" i="1" s="1"/>
  <c r="E77" i="1"/>
  <c r="G13" i="1"/>
  <c r="B102" i="1"/>
  <c r="C102" i="1" s="1"/>
  <c r="D102" i="1" s="1"/>
  <c r="A114" i="1"/>
  <c r="B114" i="1" s="1"/>
  <c r="C114" i="1" s="1"/>
  <c r="D114" i="1" s="1"/>
  <c r="B101" i="1"/>
  <c r="C101" i="1" s="1"/>
  <c r="D101" i="1" s="1"/>
  <c r="A113" i="1"/>
  <c r="B113" i="1" s="1"/>
  <c r="C113" i="1" s="1"/>
  <c r="D113" i="1" s="1"/>
  <c r="B106" i="1"/>
  <c r="C106" i="1" s="1"/>
  <c r="D106" i="1" s="1"/>
  <c r="A118" i="1"/>
  <c r="B118" i="1" s="1"/>
  <c r="C118" i="1" s="1"/>
  <c r="D118" i="1" s="1"/>
  <c r="B105" i="1"/>
  <c r="C105" i="1" s="1"/>
  <c r="D105" i="1" s="1"/>
  <c r="A117" i="1"/>
  <c r="B117" i="1" s="1"/>
  <c r="C117" i="1" s="1"/>
  <c r="D117" i="1" s="1"/>
  <c r="F77" i="1" l="1"/>
  <c r="E101" i="1"/>
  <c r="D15" i="1"/>
  <c r="F101" i="1" l="1"/>
  <c r="E113" i="1" s="1"/>
  <c r="E89" i="1"/>
  <c r="G15" i="1"/>
  <c r="C19" i="1" l="1"/>
  <c r="F113" i="1" s="1"/>
  <c r="F89" i="1"/>
  <c r="A95" i="4"/>
</calcChain>
</file>

<file path=xl/sharedStrings.xml><?xml version="1.0" encoding="utf-8"?>
<sst xmlns="http://schemas.openxmlformats.org/spreadsheetml/2006/main" count="323" uniqueCount="74">
  <si>
    <t>RPM</t>
  </si>
  <si>
    <t>Dientes</t>
  </si>
  <si>
    <t>Torque [Nm]</t>
  </si>
  <si>
    <t>Relacion</t>
  </si>
  <si>
    <t>Engrane1</t>
  </si>
  <si>
    <t>Oruga</t>
  </si>
  <si>
    <t>Salida</t>
  </si>
  <si>
    <t>diametro del husillo es 8</t>
  </si>
  <si>
    <t>Entrada</t>
  </si>
  <si>
    <t>Motor</t>
  </si>
  <si>
    <t>Eficiencia Aprox</t>
  </si>
  <si>
    <t>Torque salida[Nm]</t>
  </si>
  <si>
    <t>Engrane2</t>
  </si>
  <si>
    <t>Engrane 2</t>
  </si>
  <si>
    <t>Husillo</t>
  </si>
  <si>
    <t>Torque[Nm]</t>
  </si>
  <si>
    <t>Eficiencia Aprox.</t>
  </si>
  <si>
    <t>Modulo</t>
  </si>
  <si>
    <t>Anillo</t>
  </si>
  <si>
    <t>Planeta</t>
  </si>
  <si>
    <t>Sol</t>
  </si>
  <si>
    <t>Sol 0</t>
  </si>
  <si>
    <t>Planeta 0</t>
  </si>
  <si>
    <t>Anillo 0</t>
  </si>
  <si>
    <t>Sistema 0 (carier-sol)</t>
  </si>
  <si>
    <t>Sistema 1 (carrier-sol)</t>
  </si>
  <si>
    <t>Orugas</t>
  </si>
  <si>
    <t>Avance[mm/min]</t>
  </si>
  <si>
    <t>Avance[mm/s]</t>
  </si>
  <si>
    <t>Paso diametral</t>
  </si>
  <si>
    <t>Diamtro Externo</t>
  </si>
  <si>
    <t>Diametro interno</t>
  </si>
  <si>
    <t>Angulo</t>
  </si>
  <si>
    <t>Angulo de presion</t>
  </si>
  <si>
    <t>Conico A</t>
  </si>
  <si>
    <t>Conico B</t>
  </si>
  <si>
    <t>ConicoR A</t>
  </si>
  <si>
    <t>ConicoR B</t>
  </si>
  <si>
    <t>Alto diente</t>
  </si>
  <si>
    <t>Espesor del diente</t>
  </si>
  <si>
    <t>Espacio entre dientes</t>
  </si>
  <si>
    <t>Diametro primitivo</t>
  </si>
  <si>
    <t>Radio pie diente</t>
  </si>
  <si>
    <t xml:space="preserve"> Paso</t>
  </si>
  <si>
    <t>Pie diente</t>
  </si>
  <si>
    <t>Cabeza diente</t>
  </si>
  <si>
    <t>MEDIDAS</t>
  </si>
  <si>
    <t xml:space="preserve">Ancho </t>
  </si>
  <si>
    <t>Gusano</t>
  </si>
  <si>
    <t>Factor de forma diente</t>
  </si>
  <si>
    <t>V</t>
  </si>
  <si>
    <t>W</t>
  </si>
  <si>
    <t>Torque maximo</t>
  </si>
  <si>
    <t>Material</t>
  </si>
  <si>
    <t>Iglidur I190PF</t>
  </si>
  <si>
    <t>Fuerza [Mpa]</t>
  </si>
  <si>
    <t>Fuerza material [Lb*in^2]</t>
  </si>
  <si>
    <t>Diametro primitivo [in]</t>
  </si>
  <si>
    <t>Ancho engrane [in]</t>
  </si>
  <si>
    <t>https://www.bostongear.com/-/media/Files/Literature/Brand/boston-gear/catalogs/p-1930-bg-sections/p-1930-bg_engineering-info-spur-gears.ashx</t>
  </si>
  <si>
    <t>https://llamados.ancap.com.uy/docs_concursos/ARCHIVOS/1%20LLAMADOS%20EN%20TR%C3%81MITE/2018/REF.%2017-2018%20-%20OFICIAL%20TALLER%20B%20-%20PLANTA%20MINAS%20-%20PERFIL%20M%C3%81QUINAS-HERRAMIENTA/2%20-%20CONOCIMIENTOS%20ESPEC%C3%8DFICOS/7%20-%20M%C3%81QUINAS%20Y%20HERRAMIENTAS/C%C3%81LCULO%20DE%20ENGRANAJES.PDF</t>
  </si>
  <si>
    <t>https://woodgears.ca/gear/planetary.html</t>
  </si>
  <si>
    <t>Torque entrada</t>
  </si>
  <si>
    <t>Torque salida</t>
  </si>
  <si>
    <t>Sol 1</t>
  </si>
  <si>
    <t>Planeta 1</t>
  </si>
  <si>
    <t>Anillo 1</t>
  </si>
  <si>
    <t>Anillo E</t>
  </si>
  <si>
    <t>Anillo I</t>
  </si>
  <si>
    <t xml:space="preserve">Sol </t>
  </si>
  <si>
    <t xml:space="preserve">Planeta </t>
  </si>
  <si>
    <t>Grueso Anillo</t>
  </si>
  <si>
    <t>(Anillo- Sol) Rotacion invertida</t>
  </si>
  <si>
    <t>RPM Carrier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</si>
</sst>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Fill="1" applyBorder="1"/>
    <xf numFmtId="0" fontId="0" fillId="0" borderId="1" xfId="0" applyBorder="1" applyAlignment="1"/>
    <xf numFmtId="0" fontId="0" fillId="0" borderId="0" xfId="0" applyBorder="1"/>
    <xf numFmtId="0" fontId="0" fillId="0" borderId="3" xfId="0" applyBorder="1"/>
    <xf numFmtId="0" fontId="0" fillId="0" borderId="0" xfId="0" applyBorder="1" applyAlignment="1"/>
    <xf numFmtId="0" fontId="0" fillId="0" borderId="0" xfId="0"/>
    <xf numFmtId="0" fontId="0" fillId="0" borderId="1" xfId="0" applyBorder="1"/>
    <xf numFmtId="0" fontId="0" fillId="0" borderId="1" xfId="0" applyBorder="1" applyAlignment="1"/>
    <xf numFmtId="0" fontId="0" fillId="0" borderId="0" xfId="0" applyBorder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/>
    <xf numFmtId="0" fontId="0" fillId="2" borderId="0" xfId="0" applyFill="1"/>
    <xf numFmtId="0" fontId="0" fillId="2" borderId="0" xfId="0" applyFill="1" applyBorder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3" borderId="0" xfId="0" applyFill="1"/>
    <xf numFmtId="0" fontId="0" fillId="3" borderId="0" xfId="0" applyFont="1" applyFill="1"/>
    <xf numFmtId="0" fontId="1" fillId="0" borderId="0" xfId="0" applyFont="1"/>
    <xf numFmtId="0" fontId="1" fillId="0" borderId="0" xfId="0" applyFont="1" applyAlignment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/>
    <xf numFmtId="164" fontId="0" fillId="0" borderId="0" xfId="0" applyNumberFormat="1" applyBorder="1" applyAlignment="1"/>
    <xf numFmtId="1" fontId="0" fillId="0" borderId="0" xfId="0" applyNumberFormat="1" applyBorder="1" applyAlignment="1"/>
    <xf numFmtId="0" fontId="1" fillId="4" borderId="0" xfId="0" applyFont="1" applyFill="1"/>
    <xf numFmtId="0" fontId="1" fillId="4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180975</xdr:rowOff>
    </xdr:from>
    <xdr:to>
      <xdr:col>2</xdr:col>
      <xdr:colOff>152400</xdr:colOff>
      <xdr:row>24</xdr:row>
      <xdr:rowOff>104774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E52F2C9-84A4-483D-9A08-6CAB63647BCF}"/>
            </a:ext>
          </a:extLst>
        </xdr:cNvPr>
        <xdr:cNvSpPr txBox="1"/>
      </xdr:nvSpPr>
      <xdr:spPr>
        <a:xfrm>
          <a:off x="0" y="4181475"/>
          <a:ext cx="2257425" cy="4952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Calculado con motor 775</a:t>
          </a:r>
        </a:p>
        <a:p>
          <a:r>
            <a:rPr lang="en-US" sz="1100"/>
            <a:t>revoluciones</a:t>
          </a:r>
          <a:r>
            <a:rPr lang="en-US" sz="1100" baseline="0"/>
            <a:t> maximas 10000</a:t>
          </a:r>
          <a:endParaRPr lang="en-US" sz="1100"/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161924</xdr:colOff>
      <xdr:row>1</xdr:row>
      <xdr:rowOff>0</xdr:rowOff>
    </xdr:from>
    <xdr:to>
      <xdr:col>0</xdr:col>
      <xdr:colOff>1247775</xdr:colOff>
      <xdr:row>4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81D06A3-F1BB-4BEC-8237-22D75936B223}"/>
            </a:ext>
          </a:extLst>
        </xdr:cNvPr>
        <xdr:cNvSpPr txBox="1"/>
      </xdr:nvSpPr>
      <xdr:spPr>
        <a:xfrm>
          <a:off x="161924" y="190500"/>
          <a:ext cx="1085851" cy="619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Unidades:</a:t>
          </a:r>
        </a:p>
        <a:p>
          <a:r>
            <a:rPr lang="en-US" sz="1100"/>
            <a:t>mm</a:t>
          </a:r>
        </a:p>
        <a:p>
          <a:r>
            <a:rPr lang="en-US" sz="1100"/>
            <a:t>Grados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28575</xdr:rowOff>
    </xdr:from>
    <xdr:to>
      <xdr:col>2</xdr:col>
      <xdr:colOff>590550</xdr:colOff>
      <xdr:row>2</xdr:row>
      <xdr:rowOff>142874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B6CF605-F4CA-4CEF-AA91-AB257672E6FD}"/>
            </a:ext>
          </a:extLst>
        </xdr:cNvPr>
        <xdr:cNvSpPr txBox="1"/>
      </xdr:nvSpPr>
      <xdr:spPr>
        <a:xfrm>
          <a:off x="85725" y="28575"/>
          <a:ext cx="2257425" cy="4952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Calculado con motor 775</a:t>
          </a:r>
        </a:p>
        <a:p>
          <a:r>
            <a:rPr lang="en-US" sz="1100"/>
            <a:t>revoluciones</a:t>
          </a:r>
          <a:r>
            <a:rPr lang="en-US" sz="1100" baseline="0"/>
            <a:t> maximas 10000</a:t>
          </a:r>
          <a:endParaRPr lang="en-US" sz="1100"/>
        </a:p>
        <a:p>
          <a:endParaRPr lang="en-US" sz="1100"/>
        </a:p>
      </xdr:txBody>
    </xdr:sp>
    <xdr:clientData/>
  </xdr:twoCellAnchor>
  <xdr:twoCellAnchor>
    <xdr:from>
      <xdr:col>6</xdr:col>
      <xdr:colOff>590550</xdr:colOff>
      <xdr:row>46</xdr:row>
      <xdr:rowOff>123825</xdr:rowOff>
    </xdr:from>
    <xdr:to>
      <xdr:col>8</xdr:col>
      <xdr:colOff>123825</xdr:colOff>
      <xdr:row>51</xdr:row>
      <xdr:rowOff>133350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31676D6-A22C-4FFB-B330-56A0FD14706D}"/>
            </a:ext>
          </a:extLst>
        </xdr:cNvPr>
        <xdr:cNvSpPr txBox="1"/>
      </xdr:nvSpPr>
      <xdr:spPr>
        <a:xfrm>
          <a:off x="7210425" y="8886825"/>
          <a:ext cx="1371600" cy="962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Considero que el anillo rota como el carrier aunque</a:t>
          </a:r>
          <a:r>
            <a:rPr lang="en-US" sz="1100" baseline="0"/>
            <a:t> esten fijos para calcular las fuerzas.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0</xdr:row>
      <xdr:rowOff>38100</xdr:rowOff>
    </xdr:from>
    <xdr:to>
      <xdr:col>2</xdr:col>
      <xdr:colOff>76200</xdr:colOff>
      <xdr:row>4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101BE74-63AB-474A-AF41-B8F909641831}"/>
            </a:ext>
          </a:extLst>
        </xdr:cNvPr>
        <xdr:cNvSpPr txBox="1"/>
      </xdr:nvSpPr>
      <xdr:spPr>
        <a:xfrm>
          <a:off x="200025" y="38100"/>
          <a:ext cx="1838325" cy="800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Unidades:</a:t>
          </a:r>
        </a:p>
        <a:p>
          <a:r>
            <a:rPr lang="en-US" sz="1100"/>
            <a:t>mm</a:t>
          </a:r>
        </a:p>
        <a:p>
          <a:r>
            <a:rPr lang="en-US" sz="1100"/>
            <a:t>Grados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123825</xdr:rowOff>
    </xdr:from>
    <xdr:to>
      <xdr:col>3</xdr:col>
      <xdr:colOff>390524</xdr:colOff>
      <xdr:row>4</xdr:row>
      <xdr:rowOff>57150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CDBE90-C388-4552-BB59-75EB96494125}"/>
            </a:ext>
          </a:extLst>
        </xdr:cNvPr>
        <xdr:cNvSpPr txBox="1"/>
      </xdr:nvSpPr>
      <xdr:spPr>
        <a:xfrm>
          <a:off x="95250" y="123825"/>
          <a:ext cx="2305049" cy="695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b="1"/>
            <a:t>Motor 365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b="1"/>
            <a:t>Revoluciones:</a:t>
          </a:r>
          <a:r>
            <a:rPr lang="en-US" b="1" baseline="0"/>
            <a:t> 5000</a:t>
          </a:r>
          <a:endParaRPr lang="en-US" b="1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b="1"/>
            <a:t>Revoluciones maximas: 10000</a:t>
          </a:r>
        </a:p>
        <a:p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4</xdr:col>
      <xdr:colOff>9525</xdr:colOff>
      <xdr:row>2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3D1A031-247D-4B4A-84FC-51A81D4D3622}"/>
            </a:ext>
          </a:extLst>
        </xdr:cNvPr>
        <xdr:cNvSpPr txBox="1"/>
      </xdr:nvSpPr>
      <xdr:spPr>
        <a:xfrm>
          <a:off x="609600" y="0"/>
          <a:ext cx="1838325" cy="514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Unidades:</a:t>
          </a:r>
        </a:p>
        <a:p>
          <a:r>
            <a:rPr lang="en-US" sz="1100"/>
            <a:t>mm</a:t>
          </a:r>
        </a:p>
        <a:p>
          <a:r>
            <a:rPr lang="en-US" sz="1100"/>
            <a:t>Grados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2</xdr:row>
      <xdr:rowOff>47625</xdr:rowOff>
    </xdr:from>
    <xdr:to>
      <xdr:col>10</xdr:col>
      <xdr:colOff>314325</xdr:colOff>
      <xdr:row>27</xdr:row>
      <xdr:rowOff>43115</xdr:rowOff>
    </xdr:to>
    <xdr:pic>
      <xdr:nvPicPr>
        <xdr:cNvPr id="2" name="Picture 1" descr="Engranajes cilíndricos: Consideraciones en el diseño. | Notas y Mejoras">
          <a:extLst>
            <a:ext uri="{FF2B5EF4-FFF2-40B4-BE49-F238E27FC236}">
              <a16:creationId xmlns:a16="http://schemas.microsoft.com/office/drawing/2014/main" id="{CC742565-1150-4A6D-9A8F-02A348106C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428625"/>
          <a:ext cx="5953125" cy="4757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E3E0B-45E9-4ECA-A50E-C7CE2D69271F}">
  <dimension ref="A3:H121"/>
  <sheetViews>
    <sheetView workbookViewId="0">
      <selection activeCell="D41" sqref="D41"/>
    </sheetView>
  </sheetViews>
  <sheetFormatPr defaultRowHeight="15" x14ac:dyDescent="0.25"/>
  <cols>
    <col min="1" max="1" width="23.140625" bestFit="1" customWidth="1"/>
    <col min="2" max="2" width="16.28515625" customWidth="1"/>
    <col min="3" max="3" width="12.5703125" customWidth="1"/>
    <col min="4" max="4" width="15.7109375" bestFit="1" customWidth="1"/>
    <col min="5" max="5" width="16.85546875" bestFit="1" customWidth="1"/>
    <col min="6" max="6" width="15.42578125" bestFit="1" customWidth="1"/>
    <col min="7" max="7" width="18.5703125" customWidth="1"/>
    <col min="8" max="8" width="9.5703125" bestFit="1" customWidth="1"/>
    <col min="9" max="9" width="15" bestFit="1" customWidth="1"/>
  </cols>
  <sheetData>
    <row r="3" spans="1:8" x14ac:dyDescent="0.25">
      <c r="A3" s="1"/>
      <c r="B3" s="1"/>
      <c r="C3" s="1"/>
      <c r="D3" s="4" t="s">
        <v>8</v>
      </c>
      <c r="E3" s="4"/>
      <c r="F3" s="6"/>
      <c r="G3" s="4" t="s">
        <v>6</v>
      </c>
      <c r="H3" s="4"/>
    </row>
    <row r="4" spans="1:8" x14ac:dyDescent="0.25">
      <c r="A4" s="1"/>
      <c r="B4" s="1"/>
      <c r="C4" s="1" t="s">
        <v>3</v>
      </c>
      <c r="D4" s="1" t="s">
        <v>15</v>
      </c>
      <c r="E4" s="1" t="s">
        <v>0</v>
      </c>
      <c r="F4" s="6" t="s">
        <v>16</v>
      </c>
      <c r="G4" s="1" t="s">
        <v>11</v>
      </c>
      <c r="H4" s="2" t="s">
        <v>0</v>
      </c>
    </row>
    <row r="5" spans="1:8" x14ac:dyDescent="0.25">
      <c r="A5" s="1" t="s">
        <v>9</v>
      </c>
      <c r="B5" s="1" t="s">
        <v>5</v>
      </c>
      <c r="C5" s="26">
        <f>B6/A6</f>
        <v>1</v>
      </c>
      <c r="D5" s="25">
        <v>0.1961</v>
      </c>
      <c r="E5" s="25">
        <v>5000</v>
      </c>
      <c r="F5" s="27">
        <v>1</v>
      </c>
      <c r="G5" s="25">
        <f>D5*C5*F5</f>
        <v>0.1961</v>
      </c>
      <c r="H5" s="25">
        <f>(E5/C5)*F5</f>
        <v>5000</v>
      </c>
    </row>
    <row r="6" spans="1:8" x14ac:dyDescent="0.25">
      <c r="A6" s="1">
        <v>1</v>
      </c>
      <c r="B6" s="1">
        <v>1</v>
      </c>
      <c r="C6" s="26"/>
      <c r="D6" s="25"/>
      <c r="E6" s="25"/>
      <c r="F6" s="27"/>
      <c r="G6" s="25"/>
      <c r="H6" s="25"/>
    </row>
    <row r="7" spans="1:8" x14ac:dyDescent="0.25">
      <c r="A7" s="1" t="s">
        <v>5</v>
      </c>
      <c r="B7" s="1" t="s">
        <v>4</v>
      </c>
      <c r="C7" s="26">
        <f>B8/A8</f>
        <v>20</v>
      </c>
      <c r="D7" s="25">
        <f>G5</f>
        <v>0.1961</v>
      </c>
      <c r="E7" s="25">
        <f>H5</f>
        <v>5000</v>
      </c>
      <c r="F7" s="27">
        <f>(-0.139*C7+90.695)/100</f>
        <v>0.87914999999999988</v>
      </c>
      <c r="G7" s="25">
        <f>D7*C7*F7</f>
        <v>3.4480262999999991</v>
      </c>
      <c r="H7" s="25">
        <f>(E7/C7)*F7</f>
        <v>219.78749999999997</v>
      </c>
    </row>
    <row r="8" spans="1:8" x14ac:dyDescent="0.25">
      <c r="A8" s="1">
        <v>1</v>
      </c>
      <c r="B8" s="1">
        <f>'Componentes homoplato'!C8</f>
        <v>20</v>
      </c>
      <c r="C8" s="26"/>
      <c r="D8" s="25"/>
      <c r="E8" s="25"/>
      <c r="F8" s="27"/>
      <c r="G8" s="25"/>
      <c r="H8" s="25"/>
    </row>
    <row r="9" spans="1:8" x14ac:dyDescent="0.25">
      <c r="A9" s="1" t="s">
        <v>4</v>
      </c>
      <c r="B9" s="1" t="s">
        <v>12</v>
      </c>
      <c r="C9" s="26">
        <f>B10/A10</f>
        <v>1</v>
      </c>
      <c r="D9" s="25">
        <f>G7</f>
        <v>3.4480262999999991</v>
      </c>
      <c r="E9" s="25">
        <f>H7</f>
        <v>219.78749999999997</v>
      </c>
      <c r="F9" s="27">
        <v>0.98</v>
      </c>
      <c r="G9" s="25">
        <f>D9*C9*F9</f>
        <v>3.379065773999999</v>
      </c>
      <c r="H9" s="25">
        <f>(E9/C9)*F9</f>
        <v>215.39174999999997</v>
      </c>
    </row>
    <row r="10" spans="1:8" x14ac:dyDescent="0.25">
      <c r="A10" s="1">
        <f>B8</f>
        <v>20</v>
      </c>
      <c r="B10" s="1">
        <f>'Componentes homoplato'!D8</f>
        <v>20</v>
      </c>
      <c r="C10" s="26"/>
      <c r="D10" s="25"/>
      <c r="E10" s="25"/>
      <c r="F10" s="27"/>
      <c r="G10" s="25"/>
      <c r="H10" s="25"/>
    </row>
    <row r="11" spans="1:8" x14ac:dyDescent="0.25">
      <c r="A11" s="1" t="s">
        <v>12</v>
      </c>
      <c r="B11" s="1" t="s">
        <v>34</v>
      </c>
      <c r="C11" s="26">
        <v>1</v>
      </c>
      <c r="D11" s="25">
        <f>G9</f>
        <v>3.379065773999999</v>
      </c>
      <c r="E11" s="25">
        <f>H9</f>
        <v>215.39174999999997</v>
      </c>
      <c r="F11" s="27">
        <v>1</v>
      </c>
      <c r="G11" s="25">
        <f>D11*C11*F11</f>
        <v>3.379065773999999</v>
      </c>
      <c r="H11" s="25">
        <f>(E11/C11)*F11</f>
        <v>215.39174999999997</v>
      </c>
    </row>
    <row r="12" spans="1:8" x14ac:dyDescent="0.25">
      <c r="A12" s="1">
        <f>B10</f>
        <v>20</v>
      </c>
      <c r="B12" s="1">
        <f>'Componentes homoplato'!E8</f>
        <v>12</v>
      </c>
      <c r="C12" s="26"/>
      <c r="D12" s="25"/>
      <c r="E12" s="25"/>
      <c r="F12" s="27"/>
      <c r="G12" s="25"/>
      <c r="H12" s="25"/>
    </row>
    <row r="13" spans="1:8" x14ac:dyDescent="0.25">
      <c r="A13" s="1" t="s">
        <v>34</v>
      </c>
      <c r="B13" s="1" t="s">
        <v>35</v>
      </c>
      <c r="C13" s="26">
        <f>B14/A14</f>
        <v>1</v>
      </c>
      <c r="D13" s="25">
        <f>G11</f>
        <v>3.379065773999999</v>
      </c>
      <c r="E13" s="25">
        <f>H11</f>
        <v>215.39174999999997</v>
      </c>
      <c r="F13" s="27">
        <v>0.97</v>
      </c>
      <c r="G13" s="25">
        <f>D13*C13*F13</f>
        <v>3.2776938007799989</v>
      </c>
      <c r="H13" s="25">
        <f>(E13/C13)*F13</f>
        <v>208.92999749999996</v>
      </c>
    </row>
    <row r="14" spans="1:8" x14ac:dyDescent="0.25">
      <c r="A14" s="1">
        <f>B12</f>
        <v>12</v>
      </c>
      <c r="B14" s="1">
        <f>'Componentes homoplato'!F8</f>
        <v>12</v>
      </c>
      <c r="C14" s="26"/>
      <c r="D14" s="25"/>
      <c r="E14" s="25"/>
      <c r="F14" s="27"/>
      <c r="G14" s="25"/>
      <c r="H14" s="25"/>
    </row>
    <row r="15" spans="1:8" x14ac:dyDescent="0.25">
      <c r="A15" s="1" t="s">
        <v>36</v>
      </c>
      <c r="B15" s="1" t="s">
        <v>37</v>
      </c>
      <c r="C15" s="26">
        <f>B16/A16</f>
        <v>1</v>
      </c>
      <c r="D15" s="25">
        <f>G13</f>
        <v>3.2776938007799989</v>
      </c>
      <c r="E15" s="25">
        <f>H13</f>
        <v>208.92999749999996</v>
      </c>
      <c r="F15" s="27">
        <v>0.97</v>
      </c>
      <c r="G15" s="25">
        <f>D15*C15*F15</f>
        <v>3.1793629867565989</v>
      </c>
      <c r="H15" s="25">
        <f>(E15/C15)*F15</f>
        <v>202.66209757499996</v>
      </c>
    </row>
    <row r="16" spans="1:8" x14ac:dyDescent="0.25">
      <c r="A16" s="1">
        <f>'Componentes homoplato'!G8</f>
        <v>15</v>
      </c>
      <c r="B16" s="1">
        <f>'Componentes homoplato'!H8</f>
        <v>15</v>
      </c>
      <c r="C16" s="26"/>
      <c r="D16" s="25"/>
      <c r="E16" s="25"/>
      <c r="F16" s="27"/>
      <c r="G16" s="25"/>
      <c r="H16" s="25"/>
    </row>
    <row r="17" spans="1:8" x14ac:dyDescent="0.25">
      <c r="F17" s="5"/>
      <c r="G17" s="5"/>
      <c r="H17" s="5"/>
    </row>
    <row r="18" spans="1:8" x14ac:dyDescent="0.25">
      <c r="A18" s="24" t="s">
        <v>14</v>
      </c>
      <c r="B18" s="24"/>
      <c r="C18" s="1" t="s">
        <v>15</v>
      </c>
      <c r="D18" s="1" t="s">
        <v>0</v>
      </c>
      <c r="E18" s="9" t="s">
        <v>27</v>
      </c>
      <c r="F18" s="9" t="s">
        <v>28</v>
      </c>
      <c r="G18" s="5"/>
      <c r="H18" s="5"/>
    </row>
    <row r="19" spans="1:8" x14ac:dyDescent="0.25">
      <c r="A19" s="24"/>
      <c r="B19" s="24"/>
      <c r="C19" s="1">
        <f>G15</f>
        <v>3.1793629867565989</v>
      </c>
      <c r="D19" s="1">
        <f>H15</f>
        <v>202.66209757499996</v>
      </c>
      <c r="E19" s="1">
        <f>2.5*D19</f>
        <v>506.6552439374999</v>
      </c>
      <c r="F19" s="9">
        <f>E19/60</f>
        <v>8.4442540656249978</v>
      </c>
    </row>
    <row r="21" spans="1:8" x14ac:dyDescent="0.25">
      <c r="A21" t="s">
        <v>7</v>
      </c>
    </row>
    <row r="22" spans="1:8" x14ac:dyDescent="0.25">
      <c r="D22" s="9" t="s">
        <v>53</v>
      </c>
      <c r="E22" s="9" t="s">
        <v>54</v>
      </c>
    </row>
    <row r="23" spans="1:8" x14ac:dyDescent="0.25">
      <c r="D23" s="9" t="s">
        <v>55</v>
      </c>
      <c r="E23" s="9">
        <v>70</v>
      </c>
    </row>
    <row r="27" spans="1:8" x14ac:dyDescent="0.25">
      <c r="A27" s="15"/>
      <c r="B27" s="16" t="s">
        <v>5</v>
      </c>
      <c r="C27" s="15" t="s">
        <v>4</v>
      </c>
      <c r="D27" s="15" t="s">
        <v>12</v>
      </c>
      <c r="E27" s="15" t="s">
        <v>34</v>
      </c>
      <c r="F27" s="15" t="s">
        <v>35</v>
      </c>
      <c r="G27" s="16" t="s">
        <v>36</v>
      </c>
      <c r="H27" s="16" t="s">
        <v>37</v>
      </c>
    </row>
    <row r="28" spans="1:8" x14ac:dyDescent="0.25">
      <c r="A28" s="8" t="s">
        <v>58</v>
      </c>
      <c r="B28" s="18">
        <f>('Componentes homoplato'!B16)/25.4</f>
        <v>1.3779527559055118</v>
      </c>
      <c r="C28" s="18">
        <f>('Componentes homoplato'!C16)/25.4</f>
        <v>0.58823529411764708</v>
      </c>
      <c r="D28" s="18">
        <f>('Componentes homoplato'!D16)/25.4</f>
        <v>0.58823529411764708</v>
      </c>
      <c r="E28" s="18">
        <f>('Componentes homoplato'!E16)/25.4</f>
        <v>0.5</v>
      </c>
      <c r="F28" s="18">
        <f>('Componentes homoplato'!F16)/25.4</f>
        <v>0.5</v>
      </c>
      <c r="G28" s="18">
        <f>('Componentes homoplato'!G16)/25.4</f>
        <v>0.52631578947368418</v>
      </c>
      <c r="H28" s="18">
        <f>('Componentes homoplato'!H16)/25.4</f>
        <v>0.52631578947368418</v>
      </c>
    </row>
    <row r="29" spans="1:8" x14ac:dyDescent="0.25">
      <c r="A29" s="8" t="s">
        <v>56</v>
      </c>
      <c r="B29" s="8">
        <f>$E$23*145.038</f>
        <v>10152.66</v>
      </c>
      <c r="C29" s="8">
        <f t="shared" ref="C29:H29" si="0">$E$23*145.038</f>
        <v>10152.66</v>
      </c>
      <c r="D29" s="8">
        <f t="shared" si="0"/>
        <v>10152.66</v>
      </c>
      <c r="E29" s="8">
        <f t="shared" si="0"/>
        <v>10152.66</v>
      </c>
      <c r="F29" s="8">
        <f t="shared" si="0"/>
        <v>10152.66</v>
      </c>
      <c r="G29" s="8">
        <f t="shared" si="0"/>
        <v>10152.66</v>
      </c>
      <c r="H29" s="8">
        <f t="shared" si="0"/>
        <v>10152.66</v>
      </c>
    </row>
    <row r="30" spans="1:8" x14ac:dyDescent="0.25">
      <c r="A30" s="8" t="s">
        <v>49</v>
      </c>
      <c r="B30" s="8">
        <v>0.2</v>
      </c>
      <c r="C30" s="8">
        <v>0.32</v>
      </c>
      <c r="D30" s="8">
        <v>0.32</v>
      </c>
      <c r="E30" s="8">
        <v>0.245</v>
      </c>
      <c r="F30" s="8">
        <v>0.245</v>
      </c>
      <c r="G30" s="8">
        <v>0.245</v>
      </c>
      <c r="H30" s="8">
        <v>0.245</v>
      </c>
    </row>
    <row r="31" spans="1:8" x14ac:dyDescent="0.25">
      <c r="A31" s="8" t="s">
        <v>29</v>
      </c>
      <c r="B31" s="19">
        <f>'Componentes homoplato'!B13</f>
        <v>17</v>
      </c>
      <c r="C31" s="19">
        <f>'Componentes homoplato'!C13</f>
        <v>17</v>
      </c>
      <c r="D31" s="19">
        <f>'Componentes homoplato'!D13</f>
        <v>17</v>
      </c>
      <c r="E31" s="19">
        <f>'Componentes homoplato'!E13</f>
        <v>20</v>
      </c>
      <c r="F31" s="19">
        <f>'Componentes homoplato'!F13</f>
        <v>20</v>
      </c>
      <c r="G31" s="19">
        <f>'Componentes homoplato'!G13</f>
        <v>19</v>
      </c>
      <c r="H31" s="19">
        <f>'Componentes homoplato'!H13</f>
        <v>19</v>
      </c>
    </row>
    <row r="32" spans="1:8" x14ac:dyDescent="0.25">
      <c r="A32" s="8" t="s">
        <v>57</v>
      </c>
      <c r="B32" s="18">
        <f>('Componentes homoplato'!B10)/25.4</f>
        <v>0.59055118110236227</v>
      </c>
      <c r="C32" s="18">
        <f>('Componentes homoplato'!C10)/25.4</f>
        <v>1.1764705882352942</v>
      </c>
      <c r="D32" s="18">
        <f>('Componentes homoplato'!D10)/25.4</f>
        <v>1.1764705882352942</v>
      </c>
      <c r="E32" s="18">
        <f>('Componentes homoplato'!E10)/25.4</f>
        <v>0.60000000000000009</v>
      </c>
      <c r="F32" s="18">
        <f>('Componentes homoplato'!F10)/25.4</f>
        <v>0.60000000000000009</v>
      </c>
      <c r="G32" s="18">
        <f>('Componentes homoplato'!G10)/25.4</f>
        <v>0.78947368421052633</v>
      </c>
      <c r="H32" s="18">
        <f>('Componentes homoplato'!H10)/25.4</f>
        <v>0.78947368421052633</v>
      </c>
    </row>
    <row r="33" spans="1:8" x14ac:dyDescent="0.25">
      <c r="A33" s="8" t="s">
        <v>1</v>
      </c>
      <c r="B33" s="8">
        <f>'Componentes homoplato'!B8</f>
        <v>1</v>
      </c>
      <c r="C33" s="8">
        <f>'Componentes homoplato'!C8</f>
        <v>20</v>
      </c>
      <c r="D33" s="8">
        <f>'Componentes homoplato'!D8</f>
        <v>20</v>
      </c>
      <c r="E33" s="8">
        <f>'Componentes homoplato'!E8</f>
        <v>12</v>
      </c>
      <c r="F33" s="8">
        <f>'Componentes homoplato'!F8</f>
        <v>12</v>
      </c>
      <c r="G33" s="8">
        <f>'Componentes homoplato'!G8</f>
        <v>15</v>
      </c>
      <c r="H33" s="8">
        <f>'Componentes homoplato'!H8</f>
        <v>15</v>
      </c>
    </row>
    <row r="34" spans="1:8" x14ac:dyDescent="0.25">
      <c r="A34" s="8"/>
      <c r="B34" s="8"/>
      <c r="C34" s="8"/>
      <c r="D34" s="8"/>
      <c r="E34" s="8"/>
      <c r="F34" s="8"/>
      <c r="G34" s="8"/>
      <c r="H34" s="8"/>
    </row>
    <row r="35" spans="1:8" x14ac:dyDescent="0.25">
      <c r="A35" s="8"/>
      <c r="B35" s="8"/>
      <c r="C35" s="8"/>
      <c r="D35" s="8"/>
      <c r="E35" s="8"/>
      <c r="F35" s="8"/>
      <c r="G35" s="8"/>
      <c r="H35" s="8"/>
    </row>
    <row r="36" spans="1:8" x14ac:dyDescent="0.25">
      <c r="A36" s="8"/>
      <c r="B36" s="8"/>
      <c r="C36" s="8"/>
      <c r="D36" s="8"/>
      <c r="E36" s="8"/>
      <c r="F36" s="8"/>
      <c r="G36" s="8"/>
      <c r="H36" s="8"/>
    </row>
    <row r="37" spans="1:8" x14ac:dyDescent="0.25">
      <c r="A37" s="8"/>
      <c r="B37" s="8"/>
      <c r="C37" s="8"/>
      <c r="D37" s="8"/>
      <c r="E37" s="8"/>
      <c r="F37" s="8"/>
      <c r="G37" s="8"/>
      <c r="H37" s="8"/>
    </row>
    <row r="38" spans="1:8" x14ac:dyDescent="0.25">
      <c r="A38" s="8"/>
      <c r="B38" s="8"/>
      <c r="C38" s="8"/>
      <c r="D38" s="8"/>
      <c r="E38" s="8"/>
      <c r="F38" s="8"/>
      <c r="G38" s="8"/>
      <c r="H38" s="8"/>
    </row>
    <row r="39" spans="1:8" x14ac:dyDescent="0.25">
      <c r="A39" s="22" t="s">
        <v>48</v>
      </c>
      <c r="C39" s="8"/>
      <c r="D39" s="8"/>
    </row>
    <row r="40" spans="1:8" x14ac:dyDescent="0.25">
      <c r="A40" s="21" t="s">
        <v>0</v>
      </c>
      <c r="B40" s="21" t="s">
        <v>50</v>
      </c>
      <c r="C40" s="21" t="s">
        <v>51</v>
      </c>
      <c r="D40" s="21" t="s">
        <v>52</v>
      </c>
      <c r="E40" s="20" t="s">
        <v>62</v>
      </c>
      <c r="F40" s="20" t="s">
        <v>63</v>
      </c>
    </row>
    <row r="41" spans="1:8" x14ac:dyDescent="0.25">
      <c r="A41" s="19">
        <v>2000</v>
      </c>
      <c r="B41" s="17">
        <f>0.262*$B$32*A41</f>
        <v>309.44881889763786</v>
      </c>
      <c r="C41" s="17">
        <f>($B$29*$B$28*$B$30)/$B$31*((150/(200+B41))+0.25)</f>
        <v>89.607005772894183</v>
      </c>
      <c r="D41" s="17">
        <f>((C41*$B$31)/2)/8.8508</f>
        <v>86.055446860125699</v>
      </c>
      <c r="E41" s="17">
        <f>D5</f>
        <v>0.1961</v>
      </c>
      <c r="F41" s="17">
        <f>G5</f>
        <v>0.1961</v>
      </c>
    </row>
    <row r="42" spans="1:8" x14ac:dyDescent="0.25">
      <c r="A42" s="19">
        <v>3000</v>
      </c>
      <c r="B42" s="17">
        <f t="shared" ref="B42:B49" si="1">0.262*$B$32*A42</f>
        <v>464.17322834645682</v>
      </c>
      <c r="C42" s="17">
        <f t="shared" ref="C42:C49" si="2">($B$29*$B$28*$B$30)/$B$31*((150/(200+B42))+0.25)</f>
        <v>78.317799417280554</v>
      </c>
      <c r="D42" s="17">
        <f t="shared" ref="D42:D49" si="3">((C42*$B$31)/2)/8.8508</f>
        <v>75.213686338736025</v>
      </c>
      <c r="E42" s="17"/>
      <c r="F42" s="17"/>
    </row>
    <row r="43" spans="1:8" x14ac:dyDescent="0.25">
      <c r="A43" s="19">
        <v>4000</v>
      </c>
      <c r="B43" s="17">
        <f t="shared" si="1"/>
        <v>618.89763779527573</v>
      </c>
      <c r="C43" s="17">
        <f t="shared" si="2"/>
        <v>71.294610463355539</v>
      </c>
      <c r="D43" s="17">
        <f t="shared" si="3"/>
        <v>68.46886032206379</v>
      </c>
      <c r="E43" s="17"/>
      <c r="F43" s="17"/>
    </row>
    <row r="44" spans="1:8" x14ac:dyDescent="0.25">
      <c r="A44" s="19">
        <v>5000</v>
      </c>
      <c r="B44" s="17">
        <f t="shared" si="1"/>
        <v>773.62204724409469</v>
      </c>
      <c r="C44" s="17">
        <f t="shared" si="2"/>
        <v>66.503619858716831</v>
      </c>
      <c r="D44" s="17">
        <f t="shared" si="3"/>
        <v>63.867759840815864</v>
      </c>
      <c r="E44" s="17"/>
      <c r="F44" s="17"/>
    </row>
    <row r="45" spans="1:8" x14ac:dyDescent="0.25">
      <c r="A45" s="19">
        <v>6000</v>
      </c>
      <c r="B45" s="17">
        <f t="shared" si="1"/>
        <v>928.34645669291365</v>
      </c>
      <c r="C45" s="17">
        <f t="shared" si="2"/>
        <v>63.026557591568029</v>
      </c>
      <c r="D45" s="17">
        <f t="shared" si="3"/>
        <v>60.528510363846017</v>
      </c>
      <c r="E45" s="17"/>
      <c r="F45" s="17"/>
    </row>
    <row r="46" spans="1:8" x14ac:dyDescent="0.25">
      <c r="A46" s="19">
        <v>7000</v>
      </c>
      <c r="B46" s="17">
        <f t="shared" si="1"/>
        <v>1083.0708661417325</v>
      </c>
      <c r="C46" s="17">
        <f t="shared" si="2"/>
        <v>60.38808720597153</v>
      </c>
      <c r="D46" s="17">
        <f t="shared" si="3"/>
        <v>57.994615317345101</v>
      </c>
      <c r="E46" s="17"/>
      <c r="F46" s="17"/>
    </row>
    <row r="47" spans="1:8" x14ac:dyDescent="0.25">
      <c r="A47" s="19">
        <v>8000</v>
      </c>
      <c r="B47" s="17">
        <f t="shared" si="1"/>
        <v>1237.7952755905515</v>
      </c>
      <c r="C47" s="17">
        <f t="shared" si="2"/>
        <v>58.317480380911412</v>
      </c>
      <c r="D47" s="17">
        <f t="shared" si="3"/>
        <v>56.006076652703378</v>
      </c>
      <c r="E47" s="17"/>
      <c r="F47" s="17"/>
    </row>
    <row r="48" spans="1:8" x14ac:dyDescent="0.25">
      <c r="A48" s="19">
        <v>9000</v>
      </c>
      <c r="B48" s="17">
        <f t="shared" si="1"/>
        <v>1392.5196850393704</v>
      </c>
      <c r="C48" s="17">
        <f t="shared" si="2"/>
        <v>56.649221383909939</v>
      </c>
      <c r="D48" s="17">
        <f t="shared" si="3"/>
        <v>54.403938826234295</v>
      </c>
      <c r="E48" s="17"/>
      <c r="F48" s="17"/>
    </row>
    <row r="49" spans="1:6" x14ac:dyDescent="0.25">
      <c r="A49" s="19">
        <v>10000</v>
      </c>
      <c r="B49" s="17">
        <f t="shared" si="1"/>
        <v>1547.2440944881894</v>
      </c>
      <c r="C49" s="17">
        <f t="shared" si="2"/>
        <v>55.276422407558115</v>
      </c>
      <c r="D49" s="17">
        <f t="shared" si="3"/>
        <v>53.085550511167803</v>
      </c>
      <c r="E49" s="17"/>
      <c r="F49" s="17"/>
    </row>
    <row r="50" spans="1:6" x14ac:dyDescent="0.25">
      <c r="A50" s="8"/>
      <c r="B50" s="8"/>
      <c r="C50" s="8"/>
      <c r="D50" s="8"/>
    </row>
    <row r="51" spans="1:6" x14ac:dyDescent="0.25">
      <c r="A51" s="22" t="s">
        <v>4</v>
      </c>
      <c r="C51" s="8"/>
      <c r="D51" s="8"/>
    </row>
    <row r="52" spans="1:6" x14ac:dyDescent="0.25">
      <c r="A52" s="20" t="s">
        <v>0</v>
      </c>
      <c r="B52" s="20" t="s">
        <v>50</v>
      </c>
      <c r="C52" s="20" t="s">
        <v>51</v>
      </c>
      <c r="D52" s="20" t="s">
        <v>52</v>
      </c>
      <c r="E52" s="20" t="s">
        <v>62</v>
      </c>
      <c r="F52" s="20" t="s">
        <v>63</v>
      </c>
    </row>
    <row r="53" spans="1:6" x14ac:dyDescent="0.25">
      <c r="A53" s="17">
        <f>(A41/$C$7)*$F$7</f>
        <v>87.914999999999992</v>
      </c>
      <c r="B53" s="17">
        <f>0.262*$C$32*A53</f>
        <v>27.098505882352942</v>
      </c>
      <c r="C53" s="17">
        <f>(($C$29*$C$28*$C$30)/$C$31)*((150/(200+B53))+0.25)</f>
        <v>102.35638661798554</v>
      </c>
      <c r="D53" s="17">
        <f>((C53*$D$32)/2)/8.8508</f>
        <v>6.8027341242656387</v>
      </c>
      <c r="E53" s="17">
        <f>D7</f>
        <v>0.1961</v>
      </c>
      <c r="F53" s="17">
        <f>G9</f>
        <v>3.379065773999999</v>
      </c>
    </row>
    <row r="54" spans="1:6" x14ac:dyDescent="0.25">
      <c r="A54" s="17">
        <f t="shared" ref="A54:A61" si="4">(A42/$C$7)*$F$7</f>
        <v>131.87249999999997</v>
      </c>
      <c r="B54" s="17">
        <f t="shared" ref="B54:B61" si="5">0.262*$C$32*A54</f>
        <v>40.647758823529408</v>
      </c>
      <c r="C54" s="17">
        <f t="shared" ref="C54:C61" si="6">(($C$29*$C$28*$C$30)/$C$31)*((150/(200+B54))+0.25)</f>
        <v>98.175749336761399</v>
      </c>
      <c r="D54" s="17">
        <f t="shared" ref="D54:D61" si="7">((C54*$D$32)/2)/8.8508</f>
        <v>6.5248837151817058</v>
      </c>
      <c r="E54" s="17"/>
      <c r="F54" s="17"/>
    </row>
    <row r="55" spans="1:6" x14ac:dyDescent="0.25">
      <c r="A55" s="17">
        <f t="shared" si="4"/>
        <v>175.82999999999998</v>
      </c>
      <c r="B55" s="17">
        <f t="shared" si="5"/>
        <v>54.197011764705884</v>
      </c>
      <c r="C55" s="17">
        <f t="shared" si="6"/>
        <v>94.440786153634434</v>
      </c>
      <c r="D55" s="17">
        <f t="shared" si="7"/>
        <v>6.2766533669029885</v>
      </c>
      <c r="E55" s="17"/>
      <c r="F55" s="17"/>
    </row>
    <row r="56" spans="1:6" x14ac:dyDescent="0.25">
      <c r="A56" s="17">
        <f t="shared" si="4"/>
        <v>219.78749999999997</v>
      </c>
      <c r="B56" s="17">
        <f t="shared" si="5"/>
        <v>67.746264705882353</v>
      </c>
      <c r="C56" s="17">
        <f t="shared" si="6"/>
        <v>91.083837289024743</v>
      </c>
      <c r="D56" s="17">
        <f t="shared" si="7"/>
        <v>6.0535463254252022</v>
      </c>
      <c r="E56" s="17"/>
      <c r="F56" s="17"/>
    </row>
    <row r="57" spans="1:6" x14ac:dyDescent="0.25">
      <c r="A57" s="17">
        <f t="shared" si="4"/>
        <v>263.74499999999995</v>
      </c>
      <c r="B57" s="17">
        <f t="shared" si="5"/>
        <v>81.295517647058816</v>
      </c>
      <c r="C57" s="17">
        <f t="shared" si="6"/>
        <v>88.050278926031666</v>
      </c>
      <c r="D57" s="17">
        <f t="shared" si="7"/>
        <v>5.8519322232109072</v>
      </c>
      <c r="E57" s="17"/>
      <c r="F57" s="17"/>
    </row>
    <row r="58" spans="1:6" x14ac:dyDescent="0.25">
      <c r="A58" s="17">
        <f t="shared" si="4"/>
        <v>307.70249999999993</v>
      </c>
      <c r="B58" s="17">
        <f t="shared" si="5"/>
        <v>94.844770588235292</v>
      </c>
      <c r="C58" s="17">
        <f t="shared" si="6"/>
        <v>85.295527946937639</v>
      </c>
      <c r="D58" s="17">
        <f t="shared" si="7"/>
        <v>5.6688480102122805</v>
      </c>
      <c r="E58" s="17"/>
      <c r="F58" s="17"/>
    </row>
    <row r="59" spans="1:6" x14ac:dyDescent="0.25">
      <c r="A59" s="17">
        <f t="shared" si="4"/>
        <v>351.65999999999997</v>
      </c>
      <c r="B59" s="17">
        <f t="shared" si="5"/>
        <v>108.39402352941177</v>
      </c>
      <c r="C59" s="17">
        <f t="shared" si="6"/>
        <v>82.782836248879846</v>
      </c>
      <c r="D59" s="17">
        <f t="shared" si="7"/>
        <v>5.5018513613179429</v>
      </c>
      <c r="E59" s="17"/>
      <c r="F59" s="17"/>
    </row>
    <row r="60" spans="1:6" x14ac:dyDescent="0.25">
      <c r="A60" s="17">
        <f t="shared" si="4"/>
        <v>395.61749999999995</v>
      </c>
      <c r="B60" s="17">
        <f t="shared" si="5"/>
        <v>121.94327647058824</v>
      </c>
      <c r="C60" s="17">
        <f t="shared" si="6"/>
        <v>80.481642027976477</v>
      </c>
      <c r="D60" s="17">
        <f t="shared" si="7"/>
        <v>5.3489111006234387</v>
      </c>
      <c r="E60" s="17"/>
      <c r="F60" s="17"/>
    </row>
    <row r="61" spans="1:6" x14ac:dyDescent="0.25">
      <c r="A61" s="17">
        <f t="shared" si="4"/>
        <v>439.57499999999993</v>
      </c>
      <c r="B61" s="17">
        <f t="shared" si="5"/>
        <v>135.49252941176471</v>
      </c>
      <c r="C61" s="17">
        <f t="shared" si="6"/>
        <v>78.366320575211702</v>
      </c>
      <c r="D61" s="17">
        <f t="shared" si="7"/>
        <v>5.2083241777553981</v>
      </c>
      <c r="E61" s="17"/>
      <c r="F61" s="17"/>
    </row>
    <row r="63" spans="1:6" x14ac:dyDescent="0.25">
      <c r="A63" s="22" t="s">
        <v>13</v>
      </c>
      <c r="B63" s="8"/>
      <c r="C63" s="8"/>
      <c r="D63" s="8"/>
    </row>
    <row r="64" spans="1:6" x14ac:dyDescent="0.25">
      <c r="A64" s="20" t="s">
        <v>0</v>
      </c>
      <c r="B64" s="20" t="s">
        <v>50</v>
      </c>
      <c r="C64" s="20" t="s">
        <v>51</v>
      </c>
      <c r="D64" s="20" t="s">
        <v>52</v>
      </c>
      <c r="E64" s="20" t="s">
        <v>62</v>
      </c>
      <c r="F64" s="20" t="s">
        <v>63</v>
      </c>
    </row>
    <row r="65" spans="1:6" x14ac:dyDescent="0.25">
      <c r="A65" s="17">
        <f>(A53/$C$9)*$F$9</f>
        <v>86.156699999999987</v>
      </c>
      <c r="B65" s="17">
        <f>0.262*$D$32*A65</f>
        <v>26.556535764705881</v>
      </c>
      <c r="C65" s="17">
        <f>(($D$29*$D$28*$D$30)/$D$31)*((150/(200+B65))+0.25)</f>
        <v>102.53401309674237</v>
      </c>
      <c r="D65" s="17">
        <f>((C65*$D$32)/2)/8.8508</f>
        <v>6.8145394033335887</v>
      </c>
      <c r="E65" s="17">
        <f>D11</f>
        <v>3.379065773999999</v>
      </c>
      <c r="F65" s="17">
        <f>G11</f>
        <v>3.379065773999999</v>
      </c>
    </row>
    <row r="66" spans="1:6" x14ac:dyDescent="0.25">
      <c r="A66" s="17">
        <f t="shared" ref="A66:A73" si="8">(A54/$C$9)*$F$9</f>
        <v>129.23504999999997</v>
      </c>
      <c r="B66" s="17">
        <f t="shared" ref="B66:B73" si="9">0.262*$D$32*A66</f>
        <v>39.83480364705882</v>
      </c>
      <c r="C66" s="17">
        <f t="shared" ref="C66:C73" si="10">(($D$29*$D$28*$D$30)/$D$31)*((150/(200+B66))+0.25)</f>
        <v>98.413266944489237</v>
      </c>
      <c r="D66" s="17">
        <f t="shared" ref="D66:D73" si="11">((C66*$D$32)/2)/8.8508</f>
        <v>6.5406694339686977</v>
      </c>
      <c r="E66" s="17"/>
      <c r="F66" s="17"/>
    </row>
    <row r="67" spans="1:6" x14ac:dyDescent="0.25">
      <c r="A67" s="17">
        <f t="shared" si="8"/>
        <v>172.31339999999997</v>
      </c>
      <c r="B67" s="17">
        <f t="shared" si="9"/>
        <v>53.113071529411762</v>
      </c>
      <c r="C67" s="17">
        <f t="shared" si="10"/>
        <v>94.724868050749251</v>
      </c>
      <c r="D67" s="17">
        <f t="shared" si="11"/>
        <v>6.2955338068974322</v>
      </c>
      <c r="E67" s="17"/>
      <c r="F67" s="17"/>
    </row>
    <row r="68" spans="1:6" x14ac:dyDescent="0.25">
      <c r="A68" s="17">
        <f t="shared" si="8"/>
        <v>215.39174999999997</v>
      </c>
      <c r="B68" s="17">
        <f t="shared" si="9"/>
        <v>66.391339411764704</v>
      </c>
      <c r="C68" s="17">
        <f t="shared" si="10"/>
        <v>91.404165409268828</v>
      </c>
      <c r="D68" s="17">
        <f t="shared" si="11"/>
        <v>6.074835734973032</v>
      </c>
      <c r="E68" s="17"/>
      <c r="F68" s="17"/>
    </row>
    <row r="69" spans="1:6" x14ac:dyDescent="0.25">
      <c r="A69" s="17">
        <f t="shared" si="8"/>
        <v>258.47009999999995</v>
      </c>
      <c r="B69" s="17">
        <f t="shared" si="9"/>
        <v>79.66960729411764</v>
      </c>
      <c r="C69" s="17">
        <f t="shared" si="10"/>
        <v>88.398786121354249</v>
      </c>
      <c r="D69" s="17">
        <f t="shared" si="11"/>
        <v>5.8750944495116597</v>
      </c>
      <c r="E69" s="17"/>
      <c r="F69" s="17"/>
    </row>
    <row r="70" spans="1:6" x14ac:dyDescent="0.25">
      <c r="A70" s="17">
        <f t="shared" si="8"/>
        <v>301.54844999999995</v>
      </c>
      <c r="B70" s="17">
        <f t="shared" si="9"/>
        <v>92.947875176470589</v>
      </c>
      <c r="C70" s="17">
        <f t="shared" si="10"/>
        <v>85.665852784781478</v>
      </c>
      <c r="D70" s="17">
        <f t="shared" si="11"/>
        <v>5.6934602644614039</v>
      </c>
      <c r="E70" s="17"/>
      <c r="F70" s="17"/>
    </row>
    <row r="71" spans="1:6" x14ac:dyDescent="0.25">
      <c r="A71" s="17">
        <f t="shared" si="8"/>
        <v>344.62679999999995</v>
      </c>
      <c r="B71" s="17">
        <f t="shared" si="9"/>
        <v>106.22614305882352</v>
      </c>
      <c r="C71" s="17">
        <f t="shared" si="10"/>
        <v>83.169924823289634</v>
      </c>
      <c r="D71" s="17">
        <f t="shared" si="11"/>
        <v>5.5275777545725102</v>
      </c>
      <c r="E71" s="17"/>
      <c r="F71" s="17"/>
    </row>
    <row r="72" spans="1:6" x14ac:dyDescent="0.25">
      <c r="A72" s="17">
        <f t="shared" si="8"/>
        <v>387.70514999999995</v>
      </c>
      <c r="B72" s="17">
        <f t="shared" si="9"/>
        <v>119.50441094117647</v>
      </c>
      <c r="C72" s="17">
        <f t="shared" si="10"/>
        <v>80.881453153184324</v>
      </c>
      <c r="D72" s="17">
        <f t="shared" si="11"/>
        <v>5.3754830505972429</v>
      </c>
      <c r="E72" s="17"/>
      <c r="F72" s="17"/>
    </row>
    <row r="73" spans="1:6" x14ac:dyDescent="0.25">
      <c r="A73" s="17">
        <f t="shared" si="8"/>
        <v>430.78349999999995</v>
      </c>
      <c r="B73" s="17">
        <f t="shared" si="9"/>
        <v>132.78267882352941</v>
      </c>
      <c r="C73" s="17">
        <f t="shared" si="10"/>
        <v>78.775604809414759</v>
      </c>
      <c r="D73" s="17">
        <f t="shared" si="11"/>
        <v>5.2355257224614302</v>
      </c>
      <c r="E73" s="17"/>
      <c r="F73" s="17"/>
    </row>
    <row r="75" spans="1:6" x14ac:dyDescent="0.25">
      <c r="A75" s="22" t="s">
        <v>34</v>
      </c>
      <c r="B75" s="8"/>
      <c r="C75" s="8"/>
      <c r="D75" s="8"/>
    </row>
    <row r="76" spans="1:6" x14ac:dyDescent="0.25">
      <c r="A76" s="20" t="s">
        <v>0</v>
      </c>
      <c r="B76" s="20" t="s">
        <v>50</v>
      </c>
      <c r="C76" s="20" t="s">
        <v>51</v>
      </c>
      <c r="D76" s="20" t="s">
        <v>52</v>
      </c>
      <c r="E76" s="20" t="s">
        <v>62</v>
      </c>
      <c r="F76" s="20" t="s">
        <v>63</v>
      </c>
    </row>
    <row r="77" spans="1:6" x14ac:dyDescent="0.25">
      <c r="A77" s="17">
        <f>A65</f>
        <v>86.156699999999987</v>
      </c>
      <c r="B77" s="17">
        <f>0.262*$E$32*A77</f>
        <v>13.543833240000001</v>
      </c>
      <c r="C77" s="17">
        <f>($E$29*$E$28*$E$30)/$E$31*((150/(200+B77))+0.25)</f>
        <v>59.227018029577529</v>
      </c>
      <c r="D77" s="17">
        <f>((C77*$E$32)/2)/8.8508</f>
        <v>2.007514056229184</v>
      </c>
      <c r="E77" s="17">
        <f>D13</f>
        <v>3.379065773999999</v>
      </c>
      <c r="F77" s="17">
        <f>G13</f>
        <v>3.2776938007799989</v>
      </c>
    </row>
    <row r="78" spans="1:6" x14ac:dyDescent="0.25">
      <c r="A78" s="17">
        <f t="shared" ref="A78:A85" si="12">A66</f>
        <v>129.23504999999997</v>
      </c>
      <c r="B78" s="17">
        <f t="shared" ref="B78:B85" si="13">0.262*$E$32*A78</f>
        <v>20.31574986</v>
      </c>
      <c r="C78" s="17">
        <f t="shared" ref="C78:C85" si="14">($E$29*$E$28*$E$30)/$E$31*((150/(200+B78))+0.25)</f>
        <v>57.884388429877028</v>
      </c>
      <c r="D78" s="17">
        <f t="shared" ref="D78:D85" si="15">((C78*$E$32)/2)/8.8508</f>
        <v>1.9620053022283985</v>
      </c>
      <c r="E78" s="17"/>
      <c r="F78" s="17"/>
    </row>
    <row r="79" spans="1:6" x14ac:dyDescent="0.25">
      <c r="A79" s="17">
        <f t="shared" si="12"/>
        <v>172.31339999999997</v>
      </c>
      <c r="B79" s="17">
        <f t="shared" si="13"/>
        <v>27.087666480000003</v>
      </c>
      <c r="C79" s="17">
        <f t="shared" si="14"/>
        <v>56.621835179910974</v>
      </c>
      <c r="D79" s="17">
        <f t="shared" si="15"/>
        <v>1.9192107554089231</v>
      </c>
      <c r="E79" s="17"/>
      <c r="F79" s="17"/>
    </row>
    <row r="80" spans="1:6" x14ac:dyDescent="0.25">
      <c r="A80" s="17">
        <f t="shared" si="12"/>
        <v>215.39174999999997</v>
      </c>
      <c r="B80" s="17">
        <f t="shared" si="13"/>
        <v>33.859583100000002</v>
      </c>
      <c r="C80" s="17">
        <f t="shared" si="14"/>
        <v>55.432401921212708</v>
      </c>
      <c r="D80" s="17">
        <f t="shared" si="15"/>
        <v>1.8788946283232948</v>
      </c>
      <c r="E80" s="17"/>
      <c r="F80" s="17"/>
    </row>
    <row r="81" spans="1:6" x14ac:dyDescent="0.25">
      <c r="A81" s="17">
        <f t="shared" si="12"/>
        <v>258.47009999999995</v>
      </c>
      <c r="B81" s="17">
        <f t="shared" si="13"/>
        <v>40.631499720000001</v>
      </c>
      <c r="C81" s="17">
        <f t="shared" si="14"/>
        <v>54.309915366186516</v>
      </c>
      <c r="D81" s="17">
        <f t="shared" si="15"/>
        <v>1.840847675900027</v>
      </c>
      <c r="E81" s="17"/>
      <c r="F81" s="17"/>
    </row>
    <row r="82" spans="1:6" x14ac:dyDescent="0.25">
      <c r="A82" s="17">
        <f t="shared" si="12"/>
        <v>301.54844999999995</v>
      </c>
      <c r="B82" s="17">
        <f t="shared" si="13"/>
        <v>47.40341634</v>
      </c>
      <c r="C82" s="17">
        <f t="shared" si="14"/>
        <v>53.24887812718157</v>
      </c>
      <c r="D82" s="17">
        <f t="shared" si="15"/>
        <v>1.8048835628592301</v>
      </c>
      <c r="E82" s="17"/>
      <c r="F82" s="17"/>
    </row>
    <row r="83" spans="1:6" x14ac:dyDescent="0.25">
      <c r="A83" s="17">
        <f t="shared" si="12"/>
        <v>344.62679999999995</v>
      </c>
      <c r="B83" s="17">
        <f t="shared" si="13"/>
        <v>54.175332960000006</v>
      </c>
      <c r="C83" s="17">
        <f t="shared" si="14"/>
        <v>52.244378677501672</v>
      </c>
      <c r="D83" s="17">
        <f t="shared" si="15"/>
        <v>1.7708358118193277</v>
      </c>
      <c r="E83" s="17"/>
      <c r="F83" s="17"/>
    </row>
    <row r="84" spans="1:6" x14ac:dyDescent="0.25">
      <c r="A84" s="17">
        <f t="shared" si="12"/>
        <v>387.70514999999995</v>
      </c>
      <c r="B84" s="17">
        <f t="shared" si="13"/>
        <v>60.947249580000005</v>
      </c>
      <c r="C84" s="17">
        <f t="shared" si="14"/>
        <v>51.292015332180149</v>
      </c>
      <c r="D84" s="17">
        <f t="shared" si="15"/>
        <v>1.7385552266070918</v>
      </c>
      <c r="E84" s="17"/>
      <c r="F84" s="17"/>
    </row>
    <row r="85" spans="1:6" x14ac:dyDescent="0.25">
      <c r="A85" s="17">
        <f t="shared" si="12"/>
        <v>430.78349999999995</v>
      </c>
      <c r="B85" s="17">
        <f t="shared" si="13"/>
        <v>67.719166200000004</v>
      </c>
      <c r="C85" s="17">
        <f t="shared" si="14"/>
        <v>50.387831766125117</v>
      </c>
      <c r="D85" s="17">
        <f t="shared" si="15"/>
        <v>1.7079077066296309</v>
      </c>
      <c r="E85" s="17"/>
      <c r="F85" s="17"/>
    </row>
    <row r="87" spans="1:6" x14ac:dyDescent="0.25">
      <c r="A87" s="22" t="s">
        <v>35</v>
      </c>
      <c r="C87" s="8"/>
    </row>
    <row r="88" spans="1:6" x14ac:dyDescent="0.25">
      <c r="A88" s="20" t="s">
        <v>0</v>
      </c>
      <c r="B88" s="20" t="s">
        <v>50</v>
      </c>
      <c r="C88" s="20" t="s">
        <v>51</v>
      </c>
      <c r="D88" s="20" t="s">
        <v>52</v>
      </c>
      <c r="E88" s="20" t="s">
        <v>62</v>
      </c>
      <c r="F88" s="20" t="s">
        <v>63</v>
      </c>
    </row>
    <row r="89" spans="1:6" x14ac:dyDescent="0.25">
      <c r="A89" s="17">
        <f>(A77/$C$13)*$F$13</f>
        <v>83.571998999999991</v>
      </c>
      <c r="B89" s="17">
        <f>0.262*$F$32*A89</f>
        <v>13.137518242800001</v>
      </c>
      <c r="C89" s="17">
        <f>(($F$29*$F$28*$F$30)/$F$31)*((150/(200+B89))+0.25)</f>
        <v>59.310288900744922</v>
      </c>
      <c r="D89" s="17">
        <f>((C89*$F$32)/2)/8.8508</f>
        <v>2.0103365424846884</v>
      </c>
      <c r="E89" s="17">
        <f>D15</f>
        <v>3.2776938007799989</v>
      </c>
      <c r="F89" s="17">
        <f>G15</f>
        <v>3.1793629867565989</v>
      </c>
    </row>
    <row r="90" spans="1:6" x14ac:dyDescent="0.25">
      <c r="A90" s="17">
        <f t="shared" ref="A90:A97" si="16">(A78/$C$13)*$F$13</f>
        <v>125.35799849999997</v>
      </c>
      <c r="B90" s="17">
        <f t="shared" ref="B90:B97" si="17">0.262*$F$32*A90</f>
        <v>19.706277364199998</v>
      </c>
      <c r="C90" s="17">
        <f t="shared" ref="C90:C97" si="18">(($F$29*$F$28*$F$30)/$F$31)*((150/(200+B90))+0.25)</f>
        <v>58.001835799748775</v>
      </c>
      <c r="D90" s="17">
        <f t="shared" ref="D90:D97" si="19">((C90*$F$32)/2)/8.8508</f>
        <v>1.9659862091477196</v>
      </c>
      <c r="E90" s="17"/>
      <c r="F90" s="17"/>
    </row>
    <row r="91" spans="1:6" x14ac:dyDescent="0.25">
      <c r="A91" s="17">
        <f t="shared" si="16"/>
        <v>167.14399799999998</v>
      </c>
      <c r="B91" s="17">
        <f t="shared" si="17"/>
        <v>26.275036485600001</v>
      </c>
      <c r="C91" s="17">
        <f t="shared" si="18"/>
        <v>56.769351425799016</v>
      </c>
      <c r="D91" s="17">
        <f t="shared" si="19"/>
        <v>1.9242108541306671</v>
      </c>
      <c r="E91" s="17"/>
      <c r="F91" s="17"/>
    </row>
    <row r="92" spans="1:6" x14ac:dyDescent="0.25">
      <c r="A92" s="17">
        <f t="shared" si="16"/>
        <v>208.92999749999996</v>
      </c>
      <c r="B92" s="17">
        <f t="shared" si="17"/>
        <v>32.843795606999997</v>
      </c>
      <c r="C92" s="17">
        <f t="shared" si="18"/>
        <v>55.606406314875436</v>
      </c>
      <c r="D92" s="17">
        <f t="shared" si="19"/>
        <v>1.8847925492003699</v>
      </c>
      <c r="E92" s="17"/>
      <c r="F92" s="17"/>
    </row>
    <row r="93" spans="1:6" x14ac:dyDescent="0.25">
      <c r="A93" s="17">
        <f t="shared" si="16"/>
        <v>250.71599699999993</v>
      </c>
      <c r="B93" s="17">
        <f t="shared" si="17"/>
        <v>39.412554728399996</v>
      </c>
      <c r="C93" s="17">
        <f t="shared" si="18"/>
        <v>54.507276623437555</v>
      </c>
      <c r="D93" s="17">
        <f t="shared" si="19"/>
        <v>1.8475372832999584</v>
      </c>
      <c r="E93" s="17"/>
      <c r="F93" s="17"/>
    </row>
    <row r="94" spans="1:6" x14ac:dyDescent="0.25">
      <c r="A94" s="17">
        <f t="shared" si="16"/>
        <v>292.50199649999996</v>
      </c>
      <c r="B94" s="17">
        <f t="shared" si="17"/>
        <v>45.981313849800003</v>
      </c>
      <c r="C94" s="17">
        <f t="shared" si="18"/>
        <v>53.466849912915059</v>
      </c>
      <c r="D94" s="17">
        <f t="shared" si="19"/>
        <v>1.8122717690914403</v>
      </c>
      <c r="E94" s="17"/>
      <c r="F94" s="17"/>
    </row>
    <row r="95" spans="1:6" x14ac:dyDescent="0.25">
      <c r="A95" s="17">
        <f t="shared" si="16"/>
        <v>334.28799599999996</v>
      </c>
      <c r="B95" s="17">
        <f t="shared" si="17"/>
        <v>52.550072971200002</v>
      </c>
      <c r="C95" s="17">
        <f t="shared" si="18"/>
        <v>52.48054563731796</v>
      </c>
      <c r="D95" s="17">
        <f t="shared" si="19"/>
        <v>1.7788407478640791</v>
      </c>
      <c r="E95" s="17"/>
      <c r="F95" s="17"/>
    </row>
    <row r="96" spans="1:6" x14ac:dyDescent="0.25">
      <c r="A96" s="17">
        <f t="shared" si="16"/>
        <v>376.07399549999991</v>
      </c>
      <c r="B96" s="17">
        <f t="shared" si="17"/>
        <v>59.118832092600002</v>
      </c>
      <c r="C96" s="17">
        <f t="shared" si="18"/>
        <v>51.544247724859211</v>
      </c>
      <c r="D96" s="17">
        <f t="shared" si="19"/>
        <v>1.7471047043722336</v>
      </c>
      <c r="E96" s="17"/>
      <c r="F96" s="17"/>
    </row>
    <row r="97" spans="1:6" x14ac:dyDescent="0.25">
      <c r="A97" s="17">
        <f t="shared" si="16"/>
        <v>417.85999499999991</v>
      </c>
      <c r="B97" s="17">
        <f t="shared" si="17"/>
        <v>65.687591213999994</v>
      </c>
      <c r="C97" s="17">
        <f t="shared" si="18"/>
        <v>50.654247160535597</v>
      </c>
      <c r="D97" s="17">
        <f t="shared" si="19"/>
        <v>1.7169379206580966</v>
      </c>
      <c r="E97" s="17"/>
      <c r="F97" s="17"/>
    </row>
    <row r="98" spans="1:6" x14ac:dyDescent="0.25">
      <c r="A98" s="8"/>
      <c r="B98" s="8"/>
      <c r="C98" s="8"/>
    </row>
    <row r="99" spans="1:6" x14ac:dyDescent="0.25">
      <c r="A99" s="22" t="s">
        <v>36</v>
      </c>
      <c r="C99" s="8"/>
    </row>
    <row r="100" spans="1:6" x14ac:dyDescent="0.25">
      <c r="A100" s="20" t="s">
        <v>0</v>
      </c>
      <c r="B100" s="20" t="s">
        <v>50</v>
      </c>
      <c r="C100" s="20" t="s">
        <v>51</v>
      </c>
      <c r="D100" s="20" t="s">
        <v>52</v>
      </c>
      <c r="E100" s="20" t="s">
        <v>62</v>
      </c>
      <c r="F100" s="20" t="s">
        <v>63</v>
      </c>
    </row>
    <row r="101" spans="1:6" x14ac:dyDescent="0.25">
      <c r="A101" s="17">
        <f>A89</f>
        <v>83.571998999999991</v>
      </c>
      <c r="B101" s="17">
        <f>0.262*$G$32*A101</f>
        <v>17.286208214210525</v>
      </c>
      <c r="C101" s="17">
        <f>(($G$29*$G$28*$G$30)/$G$31)*((150/(200+B101))+0.25)</f>
        <v>64.791904007307764</v>
      </c>
      <c r="D101" s="17">
        <f>((C101*$G$32)/2)/8.8508</f>
        <v>2.8896542212943479</v>
      </c>
      <c r="E101" s="17">
        <f>G13</f>
        <v>3.2776938007799989</v>
      </c>
      <c r="F101" s="17">
        <f>D15</f>
        <v>3.2776938007799989</v>
      </c>
    </row>
    <row r="102" spans="1:6" x14ac:dyDescent="0.25">
      <c r="A102" s="17">
        <f t="shared" ref="A102:A109" si="20">A90</f>
        <v>125.35799849999997</v>
      </c>
      <c r="B102" s="17">
        <f t="shared" ref="B102:B109" si="21">0.262*$G$32*A102</f>
        <v>25.929312321315784</v>
      </c>
      <c r="C102" s="17">
        <f t="shared" ref="C102:C109" si="22">(($G$29*$G$28*$G$30)/$G$31)*((150/(200+B102))+0.25)</f>
        <v>62.972224155553604</v>
      </c>
      <c r="D102" s="17">
        <f t="shared" ref="D102:D109" si="23">((C102*$G$32)/2)/8.8508</f>
        <v>2.8084983169327069</v>
      </c>
      <c r="E102" s="17"/>
      <c r="F102" s="17"/>
    </row>
    <row r="103" spans="1:6" x14ac:dyDescent="0.25">
      <c r="A103" s="17">
        <f t="shared" si="20"/>
        <v>167.14399799999998</v>
      </c>
      <c r="B103" s="17">
        <f t="shared" si="21"/>
        <v>34.57241642842105</v>
      </c>
      <c r="C103" s="17">
        <f t="shared" si="22"/>
        <v>61.286640909357608</v>
      </c>
      <c r="D103" s="17">
        <f t="shared" si="23"/>
        <v>2.7333229872778797</v>
      </c>
      <c r="E103" s="17"/>
      <c r="F103" s="17"/>
    </row>
    <row r="104" spans="1:6" x14ac:dyDescent="0.25">
      <c r="A104" s="17">
        <f t="shared" si="20"/>
        <v>208.92999749999996</v>
      </c>
      <c r="B104" s="17">
        <f t="shared" si="21"/>
        <v>43.215520535526309</v>
      </c>
      <c r="C104" s="17">
        <f t="shared" si="22"/>
        <v>59.720858171336289</v>
      </c>
      <c r="D104" s="17">
        <f t="shared" si="23"/>
        <v>2.6634906406618146</v>
      </c>
      <c r="E104" s="17"/>
      <c r="F104" s="17"/>
    </row>
    <row r="105" spans="1:6" x14ac:dyDescent="0.25">
      <c r="A105" s="17">
        <f t="shared" si="20"/>
        <v>250.71599699999993</v>
      </c>
      <c r="B105" s="17">
        <f t="shared" si="21"/>
        <v>51.858624642631568</v>
      </c>
      <c r="C105" s="17">
        <f t="shared" si="22"/>
        <v>58.262542257077953</v>
      </c>
      <c r="D105" s="17">
        <f t="shared" si="23"/>
        <v>2.5984512070754513</v>
      </c>
      <c r="E105" s="17"/>
      <c r="F105" s="17"/>
    </row>
    <row r="106" spans="1:6" x14ac:dyDescent="0.25">
      <c r="A106" s="17">
        <f t="shared" si="20"/>
        <v>292.50199649999996</v>
      </c>
      <c r="B106" s="17">
        <f t="shared" si="21"/>
        <v>60.501728749736841</v>
      </c>
      <c r="C106" s="17">
        <f t="shared" si="22"/>
        <v>56.900996343759545</v>
      </c>
      <c r="D106" s="17">
        <f t="shared" si="23"/>
        <v>2.5377276189021067</v>
      </c>
      <c r="E106" s="17"/>
      <c r="F106" s="17"/>
    </row>
    <row r="107" spans="1:6" x14ac:dyDescent="0.25">
      <c r="A107" s="17">
        <f t="shared" si="20"/>
        <v>334.28799599999996</v>
      </c>
      <c r="B107" s="17">
        <f t="shared" si="21"/>
        <v>69.1448328568421</v>
      </c>
      <c r="C107" s="17">
        <f t="shared" si="22"/>
        <v>55.626897645760138</v>
      </c>
      <c r="D107" s="17">
        <f t="shared" si="23"/>
        <v>2.4809040892122809</v>
      </c>
      <c r="E107" s="17"/>
      <c r="F107" s="17"/>
    </row>
    <row r="108" spans="1:6" x14ac:dyDescent="0.25">
      <c r="A108" s="17">
        <f t="shared" si="20"/>
        <v>376.07399549999991</v>
      </c>
      <c r="B108" s="17">
        <f t="shared" si="21"/>
        <v>77.787936963947359</v>
      </c>
      <c r="C108" s="17">
        <f t="shared" si="22"/>
        <v>54.432083655440216</v>
      </c>
      <c r="D108" s="17">
        <f t="shared" si="23"/>
        <v>2.4276165783158565</v>
      </c>
      <c r="E108" s="17"/>
      <c r="F108" s="17"/>
    </row>
    <row r="109" spans="1:6" x14ac:dyDescent="0.25">
      <c r="A109" s="17">
        <f t="shared" si="20"/>
        <v>417.85999499999991</v>
      </c>
      <c r="B109" s="17">
        <f t="shared" si="21"/>
        <v>86.431041071052618</v>
      </c>
      <c r="C109" s="17">
        <f t="shared" si="22"/>
        <v>53.3093770852403</v>
      </c>
      <c r="D109" s="17">
        <f t="shared" si="23"/>
        <v>2.3775449863545028</v>
      </c>
      <c r="E109" s="17"/>
      <c r="F109" s="17"/>
    </row>
    <row r="111" spans="1:6" x14ac:dyDescent="0.25">
      <c r="A111" s="22" t="s">
        <v>37</v>
      </c>
      <c r="B111" s="8"/>
      <c r="C111" s="8"/>
      <c r="D111" s="8"/>
    </row>
    <row r="112" spans="1:6" x14ac:dyDescent="0.25">
      <c r="A112" s="20" t="s">
        <v>0</v>
      </c>
      <c r="B112" s="20" t="s">
        <v>50</v>
      </c>
      <c r="C112" s="20" t="s">
        <v>51</v>
      </c>
      <c r="D112" s="20" t="s">
        <v>52</v>
      </c>
      <c r="E112" s="20" t="s">
        <v>62</v>
      </c>
      <c r="F112" s="20" t="s">
        <v>63</v>
      </c>
    </row>
    <row r="113" spans="1:6" x14ac:dyDescent="0.25">
      <c r="A113" s="17">
        <f>(A101/$C$15)*$F$15</f>
        <v>81.064839029999987</v>
      </c>
      <c r="B113" s="17">
        <f>0.262*$H$32*A113</f>
        <v>16.767621967784208</v>
      </c>
      <c r="C113" s="17">
        <f>(($H$29*$H$28*$H$30)/$H$31)*((150/(200+B113))+0.25)</f>
        <v>64.905699327979647</v>
      </c>
      <c r="D113" s="17">
        <f>((C113*$H$32)/2)/8.8508</f>
        <v>2.8947293789669173</v>
      </c>
      <c r="E113" s="17">
        <f>F101</f>
        <v>3.2776938007799989</v>
      </c>
      <c r="F113" s="17">
        <f>C19</f>
        <v>3.1793629867565989</v>
      </c>
    </row>
    <row r="114" spans="1:6" x14ac:dyDescent="0.25">
      <c r="A114" s="17">
        <f t="shared" ref="A114:A121" si="24">(A102/$C$15)*$F$15</f>
        <v>121.59725854499996</v>
      </c>
      <c r="B114" s="17">
        <f t="shared" ref="B114:B121" si="25">0.262*$H$32*A114</f>
        <v>25.151432951676309</v>
      </c>
      <c r="C114" s="17">
        <f t="shared" ref="C114:C121" si="26">(($H$29*$H$28*$H$30)/$H$31)*((150/(200+B114))+0.25)</f>
        <v>63.130274316270409</v>
      </c>
      <c r="D114" s="17">
        <f t="shared" ref="D114:D121" si="27">((C114*$H$32)/2)/8.8508</f>
        <v>2.8155471962809671</v>
      </c>
      <c r="E114" s="17"/>
      <c r="F114" s="17"/>
    </row>
    <row r="115" spans="1:6" x14ac:dyDescent="0.25">
      <c r="A115" s="17">
        <f t="shared" si="24"/>
        <v>162.12967805999997</v>
      </c>
      <c r="B115" s="17">
        <f t="shared" si="25"/>
        <v>33.535243935568417</v>
      </c>
      <c r="C115" s="17">
        <f t="shared" si="26"/>
        <v>61.482323234948744</v>
      </c>
      <c r="D115" s="17">
        <f t="shared" si="27"/>
        <v>2.7420502236022415</v>
      </c>
      <c r="E115" s="17"/>
      <c r="F115" s="17"/>
    </row>
    <row r="116" spans="1:6" x14ac:dyDescent="0.25">
      <c r="A116" s="17">
        <f t="shared" si="24"/>
        <v>202.66209757499996</v>
      </c>
      <c r="B116" s="17">
        <f t="shared" si="25"/>
        <v>41.919054919460521</v>
      </c>
      <c r="C116" s="17">
        <f t="shared" si="26"/>
        <v>59.94859308906436</v>
      </c>
      <c r="D116" s="17">
        <f t="shared" si="27"/>
        <v>2.6736473905896267</v>
      </c>
      <c r="E116" s="17"/>
      <c r="F116" s="17"/>
    </row>
    <row r="117" spans="1:6" x14ac:dyDescent="0.25">
      <c r="A117" s="17">
        <f t="shared" si="24"/>
        <v>243.19451708999992</v>
      </c>
      <c r="B117" s="17">
        <f t="shared" si="25"/>
        <v>50.302865903352618</v>
      </c>
      <c r="C117" s="17">
        <f t="shared" si="26"/>
        <v>58.517606502243794</v>
      </c>
      <c r="D117" s="17">
        <f t="shared" si="27"/>
        <v>2.6098268177175092</v>
      </c>
      <c r="E117" s="17"/>
      <c r="F117" s="17"/>
    </row>
    <row r="118" spans="1:6" x14ac:dyDescent="0.25">
      <c r="A118" s="17">
        <f t="shared" si="24"/>
        <v>283.72693660499993</v>
      </c>
      <c r="B118" s="17">
        <f t="shared" si="25"/>
        <v>58.68667688724473</v>
      </c>
      <c r="C118" s="17">
        <f t="shared" si="26"/>
        <v>57.179373985395046</v>
      </c>
      <c r="D118" s="17">
        <f t="shared" si="27"/>
        <v>2.5501429837473082</v>
      </c>
      <c r="E118" s="17"/>
      <c r="F118" s="17"/>
    </row>
    <row r="119" spans="1:6" x14ac:dyDescent="0.25">
      <c r="A119" s="17">
        <f t="shared" si="24"/>
        <v>324.25935611999995</v>
      </c>
      <c r="B119" s="17">
        <f t="shared" si="25"/>
        <v>67.070487871136834</v>
      </c>
      <c r="C119" s="17">
        <f t="shared" si="26"/>
        <v>55.925160399751995</v>
      </c>
      <c r="D119" s="17">
        <f t="shared" si="27"/>
        <v>2.4942063102124576</v>
      </c>
      <c r="E119" s="17"/>
      <c r="F119" s="17"/>
    </row>
    <row r="120" spans="1:6" x14ac:dyDescent="0.25">
      <c r="A120" s="17">
        <f t="shared" si="24"/>
        <v>364.79177563499991</v>
      </c>
      <c r="B120" s="17">
        <f t="shared" si="25"/>
        <v>75.454298855028938</v>
      </c>
      <c r="C120" s="17">
        <f t="shared" si="26"/>
        <v>54.74729406793049</v>
      </c>
      <c r="D120" s="17">
        <f t="shared" si="27"/>
        <v>2.4416746479621154</v>
      </c>
      <c r="E120" s="17"/>
      <c r="F120" s="17"/>
    </row>
    <row r="121" spans="1:6" x14ac:dyDescent="0.25">
      <c r="A121" s="17">
        <f t="shared" si="24"/>
        <v>405.32419514999992</v>
      </c>
      <c r="B121" s="17">
        <f t="shared" si="25"/>
        <v>83.838109838921042</v>
      </c>
      <c r="C121" s="17">
        <f t="shared" si="26"/>
        <v>53.639009715046811</v>
      </c>
      <c r="D121" s="17">
        <f t="shared" si="27"/>
        <v>2.3922462724918776</v>
      </c>
      <c r="E121" s="17"/>
      <c r="F121" s="17"/>
    </row>
  </sheetData>
  <mergeCells count="37">
    <mergeCell ref="C9:C10"/>
    <mergeCell ref="H5:H6"/>
    <mergeCell ref="H7:H8"/>
    <mergeCell ref="H9:H10"/>
    <mergeCell ref="C11:C12"/>
    <mergeCell ref="D7:D8"/>
    <mergeCell ref="D9:D10"/>
    <mergeCell ref="C5:C6"/>
    <mergeCell ref="C7:C8"/>
    <mergeCell ref="D5:D6"/>
    <mergeCell ref="E5:E6"/>
    <mergeCell ref="G5:G6"/>
    <mergeCell ref="F5:F6"/>
    <mergeCell ref="F7:F8"/>
    <mergeCell ref="G7:G8"/>
    <mergeCell ref="E7:E8"/>
    <mergeCell ref="H13:H14"/>
    <mergeCell ref="D11:D12"/>
    <mergeCell ref="F9:F10"/>
    <mergeCell ref="F11:F12"/>
    <mergeCell ref="G9:G10"/>
    <mergeCell ref="G11:G12"/>
    <mergeCell ref="H11:H12"/>
    <mergeCell ref="E11:E12"/>
    <mergeCell ref="E9:E10"/>
    <mergeCell ref="C13:C14"/>
    <mergeCell ref="D13:D14"/>
    <mergeCell ref="E13:E14"/>
    <mergeCell ref="F13:F14"/>
    <mergeCell ref="G13:G14"/>
    <mergeCell ref="A18:B19"/>
    <mergeCell ref="H15:H16"/>
    <mergeCell ref="C15:C16"/>
    <mergeCell ref="D15:D16"/>
    <mergeCell ref="E15:E16"/>
    <mergeCell ref="F15:F16"/>
    <mergeCell ref="G15:G16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75609-4CAE-454A-B039-3EAAC98E83B1}">
  <dimension ref="A3:J24"/>
  <sheetViews>
    <sheetView workbookViewId="0">
      <selection activeCell="J17" sqref="J17"/>
    </sheetView>
  </sheetViews>
  <sheetFormatPr defaultRowHeight="15" x14ac:dyDescent="0.25"/>
  <cols>
    <col min="1" max="1" width="21.7109375" bestFit="1" customWidth="1"/>
    <col min="2" max="2" width="7.85546875" bestFit="1" customWidth="1"/>
    <col min="3" max="4" width="9.140625" bestFit="1" customWidth="1"/>
    <col min="5" max="5" width="8.7109375" bestFit="1" customWidth="1"/>
    <col min="6" max="6" width="8.5703125" bestFit="1" customWidth="1"/>
    <col min="7" max="7" width="14.42578125" bestFit="1" customWidth="1"/>
    <col min="8" max="8" width="14.85546875" bestFit="1" customWidth="1"/>
  </cols>
  <sheetData>
    <row r="3" spans="1:10" x14ac:dyDescent="0.25">
      <c r="I3" s="11"/>
      <c r="J3" s="11"/>
    </row>
    <row r="4" spans="1:10" x14ac:dyDescent="0.25">
      <c r="I4" s="11"/>
      <c r="J4" s="11"/>
    </row>
    <row r="5" spans="1:10" x14ac:dyDescent="0.25">
      <c r="I5" s="11"/>
      <c r="J5" s="11"/>
    </row>
    <row r="6" spans="1:10" x14ac:dyDescent="0.25">
      <c r="I6" s="11"/>
      <c r="J6" s="11"/>
    </row>
    <row r="7" spans="1:10" x14ac:dyDescent="0.25">
      <c r="A7" s="15" t="s">
        <v>46</v>
      </c>
      <c r="B7" s="16" t="s">
        <v>5</v>
      </c>
      <c r="C7" s="15" t="s">
        <v>4</v>
      </c>
      <c r="D7" s="15" t="s">
        <v>12</v>
      </c>
      <c r="E7" s="15" t="s">
        <v>34</v>
      </c>
      <c r="F7" s="15" t="s">
        <v>35</v>
      </c>
      <c r="G7" s="16" t="s">
        <v>36</v>
      </c>
      <c r="H7" s="16" t="s">
        <v>37</v>
      </c>
      <c r="I7" s="11"/>
      <c r="J7" s="11"/>
    </row>
    <row r="8" spans="1:10" x14ac:dyDescent="0.25">
      <c r="A8" s="20" t="s">
        <v>1</v>
      </c>
      <c r="B8" s="3">
        <v>1</v>
      </c>
      <c r="C8">
        <v>20</v>
      </c>
      <c r="D8">
        <v>20</v>
      </c>
      <c r="E8">
        <v>12</v>
      </c>
      <c r="F8">
        <v>12</v>
      </c>
      <c r="G8" s="5">
        <v>15</v>
      </c>
      <c r="H8" s="5">
        <v>15</v>
      </c>
      <c r="I8" s="11"/>
      <c r="J8" s="11"/>
    </row>
    <row r="9" spans="1:10" x14ac:dyDescent="0.25">
      <c r="A9" s="20" t="s">
        <v>30</v>
      </c>
      <c r="B9" s="18">
        <f>B10+2*B12</f>
        <v>17.988235294117647</v>
      </c>
      <c r="C9" s="18">
        <f t="shared" ref="C9:H9" si="0">C10+2*C12</f>
        <v>32.870588235294122</v>
      </c>
      <c r="D9" s="18">
        <f t="shared" si="0"/>
        <v>32.870588235294122</v>
      </c>
      <c r="E9" s="18">
        <f t="shared" si="0"/>
        <v>17.78</v>
      </c>
      <c r="F9" s="18">
        <f t="shared" si="0"/>
        <v>17.78</v>
      </c>
      <c r="G9" s="18">
        <f t="shared" si="0"/>
        <v>22.726315789473681</v>
      </c>
      <c r="H9" s="18">
        <f t="shared" si="0"/>
        <v>22.726315789473681</v>
      </c>
      <c r="I9" s="11"/>
      <c r="J9" s="11"/>
    </row>
    <row r="10" spans="1:10" x14ac:dyDescent="0.25">
      <c r="A10" s="20" t="s">
        <v>41</v>
      </c>
      <c r="B10" s="18">
        <v>15</v>
      </c>
      <c r="C10" s="18">
        <f t="shared" ref="C10:H10" si="1">C12*C8</f>
        <v>29.882352941176471</v>
      </c>
      <c r="D10" s="18">
        <f t="shared" si="1"/>
        <v>29.882352941176471</v>
      </c>
      <c r="E10" s="18">
        <f t="shared" si="1"/>
        <v>15.24</v>
      </c>
      <c r="F10" s="18">
        <f t="shared" si="1"/>
        <v>15.24</v>
      </c>
      <c r="G10" s="18">
        <f t="shared" si="1"/>
        <v>20.052631578947366</v>
      </c>
      <c r="H10" s="18">
        <f t="shared" si="1"/>
        <v>20.052631578947366</v>
      </c>
      <c r="I10" s="11"/>
      <c r="J10" s="11"/>
    </row>
    <row r="11" spans="1:10" x14ac:dyDescent="0.25">
      <c r="A11" s="20" t="s">
        <v>31</v>
      </c>
      <c r="B11" s="18">
        <f>B10-(2*B21)</f>
        <v>11.512729411764706</v>
      </c>
      <c r="C11" s="18">
        <f t="shared" ref="C11:H11" si="2">C10-(2*C21)</f>
        <v>26.395082352941177</v>
      </c>
      <c r="D11" s="18">
        <f t="shared" si="2"/>
        <v>26.395082352941177</v>
      </c>
      <c r="E11" s="18">
        <f t="shared" si="2"/>
        <v>12.27582</v>
      </c>
      <c r="F11" s="18">
        <f t="shared" si="2"/>
        <v>12.27582</v>
      </c>
      <c r="G11" s="18">
        <f t="shared" si="2"/>
        <v>16.932442105263156</v>
      </c>
      <c r="H11" s="18">
        <f t="shared" si="2"/>
        <v>16.932442105263156</v>
      </c>
      <c r="I11" s="11"/>
      <c r="J11" s="11"/>
    </row>
    <row r="12" spans="1:10" x14ac:dyDescent="0.25">
      <c r="A12" s="20" t="s">
        <v>17</v>
      </c>
      <c r="B12" s="18">
        <f>25.4/B13</f>
        <v>1.4941176470588236</v>
      </c>
      <c r="C12" s="18">
        <f t="shared" ref="C12:H12" si="3">25.4/C13</f>
        <v>1.4941176470588236</v>
      </c>
      <c r="D12" s="18">
        <f t="shared" si="3"/>
        <v>1.4941176470588236</v>
      </c>
      <c r="E12" s="18">
        <f t="shared" si="3"/>
        <v>1.27</v>
      </c>
      <c r="F12" s="18">
        <f t="shared" si="3"/>
        <v>1.27</v>
      </c>
      <c r="G12" s="18">
        <f t="shared" si="3"/>
        <v>1.3368421052631578</v>
      </c>
      <c r="H12" s="18">
        <f t="shared" si="3"/>
        <v>1.3368421052631578</v>
      </c>
      <c r="I12" s="11"/>
      <c r="J12" s="11"/>
    </row>
    <row r="13" spans="1:10" x14ac:dyDescent="0.25">
      <c r="A13" s="20" t="s">
        <v>29</v>
      </c>
      <c r="B13" s="19">
        <v>17</v>
      </c>
      <c r="C13" s="19">
        <v>17</v>
      </c>
      <c r="D13" s="19">
        <v>17</v>
      </c>
      <c r="E13" s="19">
        <v>20</v>
      </c>
      <c r="F13" s="19">
        <v>20</v>
      </c>
      <c r="G13" s="19">
        <v>19</v>
      </c>
      <c r="H13" s="19">
        <v>19</v>
      </c>
    </row>
    <row r="14" spans="1:10" x14ac:dyDescent="0.25">
      <c r="A14" s="20" t="s">
        <v>32</v>
      </c>
      <c r="B14" s="18">
        <v>0</v>
      </c>
      <c r="C14" s="18">
        <v>0</v>
      </c>
      <c r="D14" s="18">
        <v>0</v>
      </c>
      <c r="E14" s="18">
        <v>45</v>
      </c>
      <c r="F14" s="18">
        <v>45</v>
      </c>
      <c r="G14" s="18">
        <v>45</v>
      </c>
      <c r="H14" s="18">
        <v>45</v>
      </c>
    </row>
    <row r="15" spans="1:10" x14ac:dyDescent="0.25">
      <c r="A15" s="20" t="s">
        <v>33</v>
      </c>
      <c r="B15" s="18">
        <v>20</v>
      </c>
      <c r="C15" s="18">
        <v>20</v>
      </c>
      <c r="D15" s="18">
        <v>20</v>
      </c>
      <c r="E15" s="18">
        <v>20</v>
      </c>
      <c r="F15" s="18">
        <v>20</v>
      </c>
      <c r="G15" s="18">
        <v>20</v>
      </c>
      <c r="H15" s="18">
        <v>20</v>
      </c>
    </row>
    <row r="16" spans="1:10" x14ac:dyDescent="0.25">
      <c r="A16" s="20" t="s">
        <v>47</v>
      </c>
      <c r="B16" s="18">
        <v>35</v>
      </c>
      <c r="C16" s="18">
        <f>(10/C13)*25.4</f>
        <v>14.941176470588236</v>
      </c>
      <c r="D16" s="18">
        <f>(10/D13)*25.4</f>
        <v>14.941176470588236</v>
      </c>
      <c r="E16" s="18">
        <f t="shared" ref="E16:H16" si="4">(10/E13)*25.4</f>
        <v>12.7</v>
      </c>
      <c r="F16" s="18">
        <f t="shared" si="4"/>
        <v>12.7</v>
      </c>
      <c r="G16" s="18">
        <f t="shared" si="4"/>
        <v>13.368421052631577</v>
      </c>
      <c r="H16" s="18">
        <f t="shared" si="4"/>
        <v>13.368421052631577</v>
      </c>
    </row>
    <row r="17" spans="1:8" x14ac:dyDescent="0.25">
      <c r="A17" s="20"/>
      <c r="B17" s="18"/>
      <c r="C17" s="18"/>
      <c r="D17" s="18"/>
      <c r="E17" s="18"/>
      <c r="F17" s="18"/>
      <c r="G17" s="18"/>
      <c r="H17" s="18"/>
    </row>
    <row r="18" spans="1:8" x14ac:dyDescent="0.25">
      <c r="A18" s="20" t="s">
        <v>43</v>
      </c>
      <c r="B18" s="18">
        <f>PI()*B12</f>
        <v>4.6939090235988674</v>
      </c>
      <c r="C18" s="18">
        <f t="shared" ref="C18:H18" si="5">PI()*C12</f>
        <v>4.6939090235988674</v>
      </c>
      <c r="D18" s="18">
        <f t="shared" si="5"/>
        <v>4.6939090235988674</v>
      </c>
      <c r="E18" s="18">
        <f t="shared" si="5"/>
        <v>3.9898226700590373</v>
      </c>
      <c r="F18" s="18">
        <f t="shared" si="5"/>
        <v>3.9898226700590373</v>
      </c>
      <c r="G18" s="18">
        <f t="shared" si="5"/>
        <v>4.1998133369042492</v>
      </c>
      <c r="H18" s="18">
        <f t="shared" si="5"/>
        <v>4.1998133369042492</v>
      </c>
    </row>
    <row r="19" spans="1:8" x14ac:dyDescent="0.25">
      <c r="A19" s="20" t="s">
        <v>38</v>
      </c>
      <c r="B19" s="18">
        <f>2.167*B12</f>
        <v>3.2377529411764705</v>
      </c>
      <c r="C19" s="18">
        <f t="shared" ref="C19:H19" si="6">2.167*C12</f>
        <v>3.2377529411764705</v>
      </c>
      <c r="D19" s="18">
        <f t="shared" si="6"/>
        <v>3.2377529411764705</v>
      </c>
      <c r="E19" s="18">
        <f t="shared" si="6"/>
        <v>2.7520899999999999</v>
      </c>
      <c r="F19" s="18">
        <f t="shared" si="6"/>
        <v>2.7520899999999999</v>
      </c>
      <c r="G19" s="18">
        <f t="shared" si="6"/>
        <v>2.8969368421052626</v>
      </c>
      <c r="H19" s="18">
        <f t="shared" si="6"/>
        <v>2.8969368421052626</v>
      </c>
    </row>
    <row r="20" spans="1:8" x14ac:dyDescent="0.25">
      <c r="A20" s="20" t="s">
        <v>45</v>
      </c>
      <c r="B20" s="18">
        <f>B12</f>
        <v>1.4941176470588236</v>
      </c>
      <c r="C20" s="18">
        <f t="shared" ref="C20:H20" si="7">C12</f>
        <v>1.4941176470588236</v>
      </c>
      <c r="D20" s="18">
        <f t="shared" si="7"/>
        <v>1.4941176470588236</v>
      </c>
      <c r="E20" s="18">
        <f t="shared" si="7"/>
        <v>1.27</v>
      </c>
      <c r="F20" s="18">
        <f t="shared" si="7"/>
        <v>1.27</v>
      </c>
      <c r="G20" s="18">
        <f t="shared" si="7"/>
        <v>1.3368421052631578</v>
      </c>
      <c r="H20" s="18">
        <f t="shared" si="7"/>
        <v>1.3368421052631578</v>
      </c>
    </row>
    <row r="21" spans="1:8" x14ac:dyDescent="0.25">
      <c r="A21" s="20" t="s">
        <v>44</v>
      </c>
      <c r="B21" s="18">
        <f>1.167*B12</f>
        <v>1.7436352941176472</v>
      </c>
      <c r="C21" s="18">
        <f t="shared" ref="C21:H21" si="8">1.167*C12</f>
        <v>1.7436352941176472</v>
      </c>
      <c r="D21" s="18">
        <f t="shared" si="8"/>
        <v>1.7436352941176472</v>
      </c>
      <c r="E21" s="18">
        <f t="shared" si="8"/>
        <v>1.4820900000000001</v>
      </c>
      <c r="F21" s="18">
        <f t="shared" si="8"/>
        <v>1.4820900000000001</v>
      </c>
      <c r="G21" s="18">
        <f t="shared" si="8"/>
        <v>1.5600947368421052</v>
      </c>
      <c r="H21" s="18">
        <f t="shared" si="8"/>
        <v>1.5600947368421052</v>
      </c>
    </row>
    <row r="22" spans="1:8" x14ac:dyDescent="0.25">
      <c r="A22" s="20" t="s">
        <v>42</v>
      </c>
      <c r="B22" s="18">
        <f>0.3*B12</f>
        <v>0.44823529411764707</v>
      </c>
      <c r="C22" s="18">
        <f t="shared" ref="C22:H22" si="9">0.3*C12</f>
        <v>0.44823529411764707</v>
      </c>
      <c r="D22" s="18">
        <f t="shared" si="9"/>
        <v>0.44823529411764707</v>
      </c>
      <c r="E22" s="18">
        <f t="shared" si="9"/>
        <v>0.38100000000000001</v>
      </c>
      <c r="F22" s="18">
        <f t="shared" si="9"/>
        <v>0.38100000000000001</v>
      </c>
      <c r="G22" s="18">
        <f t="shared" si="9"/>
        <v>0.40105263157894733</v>
      </c>
      <c r="H22" s="18">
        <f t="shared" si="9"/>
        <v>0.40105263157894733</v>
      </c>
    </row>
    <row r="23" spans="1:8" x14ac:dyDescent="0.25">
      <c r="A23" s="20" t="s">
        <v>39</v>
      </c>
      <c r="B23" s="18">
        <f>0.5*B18</f>
        <v>2.3469545117994337</v>
      </c>
      <c r="C23" s="18">
        <f t="shared" ref="C23:H23" si="10">0.5*C18</f>
        <v>2.3469545117994337</v>
      </c>
      <c r="D23" s="18">
        <f t="shared" si="10"/>
        <v>2.3469545117994337</v>
      </c>
      <c r="E23" s="18">
        <f t="shared" si="10"/>
        <v>1.9949113350295187</v>
      </c>
      <c r="F23" s="18">
        <f t="shared" si="10"/>
        <v>1.9949113350295187</v>
      </c>
      <c r="G23" s="18">
        <f t="shared" si="10"/>
        <v>2.0999066684521246</v>
      </c>
      <c r="H23" s="18">
        <f t="shared" si="10"/>
        <v>2.0999066684521246</v>
      </c>
    </row>
    <row r="24" spans="1:8" x14ac:dyDescent="0.25">
      <c r="A24" s="20" t="s">
        <v>40</v>
      </c>
      <c r="B24" s="18">
        <f>0.5*B18</f>
        <v>2.3469545117994337</v>
      </c>
      <c r="C24" s="18">
        <f t="shared" ref="C24:H24" si="11">0.5*C18</f>
        <v>2.3469545117994337</v>
      </c>
      <c r="D24" s="18">
        <f t="shared" si="11"/>
        <v>2.3469545117994337</v>
      </c>
      <c r="E24" s="18">
        <f t="shared" si="11"/>
        <v>1.9949113350295187</v>
      </c>
      <c r="F24" s="18">
        <f t="shared" si="11"/>
        <v>1.9949113350295187</v>
      </c>
      <c r="G24" s="18">
        <f t="shared" si="11"/>
        <v>2.0999066684521246</v>
      </c>
      <c r="H24" s="18">
        <f t="shared" si="11"/>
        <v>2.0999066684521246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0A2FF-D8EE-45CD-8DD6-8DD293BFE1B1}">
  <dimension ref="A2:I130"/>
  <sheetViews>
    <sheetView topLeftCell="A73" workbookViewId="0">
      <selection activeCell="F23" sqref="F23"/>
    </sheetView>
  </sheetViews>
  <sheetFormatPr defaultRowHeight="15" x14ac:dyDescent="0.25"/>
  <cols>
    <col min="1" max="1" width="23.7109375" bestFit="1" customWidth="1"/>
    <col min="2" max="2" width="13.140625" bestFit="1" customWidth="1"/>
    <col min="3" max="3" width="11.85546875" bestFit="1" customWidth="1"/>
    <col min="4" max="4" width="19.7109375" bestFit="1" customWidth="1"/>
    <col min="5" max="5" width="16.7109375" bestFit="1" customWidth="1"/>
    <col min="6" max="6" width="14.140625" bestFit="1" customWidth="1"/>
    <col min="7" max="7" width="15.28515625" bestFit="1" customWidth="1"/>
    <col min="8" max="8" width="12.28515625" bestFit="1" customWidth="1"/>
  </cols>
  <sheetData>
    <row r="2" spans="1:9" x14ac:dyDescent="0.25">
      <c r="D2">
        <v>0.1961</v>
      </c>
      <c r="E2">
        <f>9000*D2</f>
        <v>1764.8999999999999</v>
      </c>
    </row>
    <row r="4" spans="1:9" x14ac:dyDescent="0.25">
      <c r="A4" s="1"/>
      <c r="B4" s="1"/>
      <c r="C4" s="1"/>
      <c r="D4" s="1"/>
      <c r="E4" s="28" t="s">
        <v>8</v>
      </c>
      <c r="F4" s="29"/>
      <c r="G4" s="1"/>
      <c r="H4" s="28" t="s">
        <v>6</v>
      </c>
      <c r="I4" s="29"/>
    </row>
    <row r="5" spans="1:9" x14ac:dyDescent="0.25">
      <c r="A5" s="1" t="s">
        <v>20</v>
      </c>
      <c r="B5" s="1" t="s">
        <v>19</v>
      </c>
      <c r="C5" s="1" t="s">
        <v>18</v>
      </c>
      <c r="D5" s="1" t="s">
        <v>3</v>
      </c>
      <c r="E5" s="1" t="s">
        <v>2</v>
      </c>
      <c r="F5" s="1" t="s">
        <v>0</v>
      </c>
      <c r="G5" s="1" t="s">
        <v>10</v>
      </c>
      <c r="H5" s="1" t="s">
        <v>2</v>
      </c>
      <c r="I5" s="2" t="s">
        <v>0</v>
      </c>
    </row>
    <row r="6" spans="1:9" x14ac:dyDescent="0.25">
      <c r="A6" s="28" t="s">
        <v>24</v>
      </c>
      <c r="B6" s="29"/>
      <c r="C6" s="4"/>
      <c r="D6" s="30">
        <f>(C7+A7)/A7</f>
        <v>4</v>
      </c>
      <c r="E6" s="30">
        <v>0.1961</v>
      </c>
      <c r="F6" s="30">
        <v>5000</v>
      </c>
      <c r="G6" s="30">
        <v>0.97</v>
      </c>
      <c r="H6" s="30">
        <f>D6*E6*G6</f>
        <v>0.76086799999999999</v>
      </c>
      <c r="I6" s="30">
        <f>(F6/D6)*G6</f>
        <v>1212.5</v>
      </c>
    </row>
    <row r="7" spans="1:9" x14ac:dyDescent="0.25">
      <c r="A7" s="1">
        <v>12</v>
      </c>
      <c r="B7" s="1">
        <v>12</v>
      </c>
      <c r="C7" s="1">
        <f>2*B7+A7</f>
        <v>36</v>
      </c>
      <c r="D7" s="31"/>
      <c r="E7" s="31"/>
      <c r="F7" s="31"/>
      <c r="G7" s="31"/>
      <c r="H7" s="31"/>
      <c r="I7" s="31"/>
    </row>
    <row r="8" spans="1:9" x14ac:dyDescent="0.25">
      <c r="A8" s="28" t="s">
        <v>25</v>
      </c>
      <c r="B8" s="29"/>
      <c r="C8" s="1"/>
      <c r="D8" s="30">
        <f>(C9+A9)/A9</f>
        <v>4</v>
      </c>
      <c r="E8" s="30">
        <f>H6</f>
        <v>0.76086799999999999</v>
      </c>
      <c r="F8" s="30">
        <f>I6</f>
        <v>1212.5</v>
      </c>
      <c r="G8" s="30">
        <v>0.97</v>
      </c>
      <c r="H8" s="30">
        <f>D8*E8*G8</f>
        <v>2.95216784</v>
      </c>
      <c r="I8" s="30">
        <f>(F8/D8)*G8</f>
        <v>294.03125</v>
      </c>
    </row>
    <row r="9" spans="1:9" x14ac:dyDescent="0.25">
      <c r="A9" s="1">
        <v>12</v>
      </c>
      <c r="B9" s="1">
        <v>12</v>
      </c>
      <c r="C9" s="1">
        <f t="shared" ref="C9" si="0">2*B9+A9</f>
        <v>36</v>
      </c>
      <c r="D9" s="31"/>
      <c r="E9" s="31"/>
      <c r="F9" s="31"/>
      <c r="G9" s="31"/>
      <c r="H9" s="31"/>
      <c r="I9" s="31"/>
    </row>
    <row r="10" spans="1:9" x14ac:dyDescent="0.25">
      <c r="A10" s="10" t="s">
        <v>34</v>
      </c>
      <c r="B10" s="10" t="s">
        <v>35</v>
      </c>
      <c r="C10" s="10"/>
      <c r="D10" s="30">
        <f>B11/A11</f>
        <v>1</v>
      </c>
      <c r="E10" s="30">
        <f>H8</f>
        <v>2.95216784</v>
      </c>
      <c r="F10" s="30">
        <f>I8</f>
        <v>294.03125</v>
      </c>
      <c r="G10" s="30">
        <v>0.97</v>
      </c>
      <c r="H10" s="30">
        <f>D10*E10*G10</f>
        <v>2.8636028047999997</v>
      </c>
      <c r="I10" s="30">
        <f>(F10/D10)*G10</f>
        <v>285.21031249999999</v>
      </c>
    </row>
    <row r="11" spans="1:9" x14ac:dyDescent="0.25">
      <c r="A11" s="9">
        <v>20</v>
      </c>
      <c r="B11" s="9">
        <v>20</v>
      </c>
      <c r="C11" s="9"/>
      <c r="D11" s="31"/>
      <c r="E11" s="31"/>
      <c r="F11" s="31"/>
      <c r="G11" s="31"/>
      <c r="H11" s="31"/>
      <c r="I11" s="31"/>
    </row>
    <row r="12" spans="1:9" x14ac:dyDescent="0.25">
      <c r="G12" s="7"/>
      <c r="H12" s="7"/>
      <c r="I12" s="7"/>
    </row>
    <row r="13" spans="1:9" x14ac:dyDescent="0.25">
      <c r="A13" s="24" t="s">
        <v>14</v>
      </c>
      <c r="B13" s="24"/>
      <c r="C13" s="9" t="s">
        <v>15</v>
      </c>
      <c r="D13" s="9" t="s">
        <v>0</v>
      </c>
      <c r="E13" s="9" t="s">
        <v>27</v>
      </c>
      <c r="F13" s="9" t="s">
        <v>28</v>
      </c>
      <c r="G13" s="7"/>
      <c r="H13" s="7"/>
      <c r="I13" s="7"/>
    </row>
    <row r="14" spans="1:9" x14ac:dyDescent="0.25">
      <c r="A14" s="24"/>
      <c r="B14" s="24"/>
      <c r="C14" s="9">
        <f>H10</f>
        <v>2.8636028047999997</v>
      </c>
      <c r="D14" s="9">
        <f>I10</f>
        <v>285.21031249999999</v>
      </c>
      <c r="E14" s="9">
        <f>2.5*D14</f>
        <v>713.02578124999991</v>
      </c>
      <c r="F14" s="10">
        <f>E14/60</f>
        <v>11.883763020833332</v>
      </c>
      <c r="G14" s="7"/>
      <c r="H14" s="7"/>
      <c r="I14" s="7"/>
    </row>
    <row r="15" spans="1:9" x14ac:dyDescent="0.25">
      <c r="G15" s="7"/>
      <c r="H15" s="7"/>
      <c r="I15" s="7"/>
    </row>
    <row r="16" spans="1:9" x14ac:dyDescent="0.25">
      <c r="C16" s="9" t="s">
        <v>53</v>
      </c>
      <c r="D16" s="9" t="s">
        <v>54</v>
      </c>
      <c r="G16" s="7"/>
      <c r="H16" s="7"/>
      <c r="I16" s="7"/>
    </row>
    <row r="17" spans="1:7" x14ac:dyDescent="0.25">
      <c r="C17" s="9" t="s">
        <v>55</v>
      </c>
      <c r="D17" s="9">
        <v>70</v>
      </c>
    </row>
    <row r="19" spans="1:7" x14ac:dyDescent="0.25">
      <c r="A19" s="15"/>
      <c r="B19" s="15" t="s">
        <v>21</v>
      </c>
      <c r="C19" s="15" t="s">
        <v>22</v>
      </c>
      <c r="D19" s="15" t="s">
        <v>23</v>
      </c>
      <c r="E19" s="15" t="s">
        <v>34</v>
      </c>
      <c r="F19" s="15" t="s">
        <v>35</v>
      </c>
    </row>
    <row r="20" spans="1:7" x14ac:dyDescent="0.25">
      <c r="A20" s="8" t="s">
        <v>58</v>
      </c>
      <c r="B20">
        <f>('Componentes bicep'!B15)/25.4</f>
        <v>0.5</v>
      </c>
      <c r="C20" s="8">
        <f>('Componentes bicep'!C15)/25.4</f>
        <v>0.5</v>
      </c>
      <c r="D20" s="8">
        <f>('Componentes bicep'!D15)/25.4</f>
        <v>0.5</v>
      </c>
      <c r="E20" s="8">
        <f>('Componentes bicep'!E15)/25.4</f>
        <v>0.66666666666666652</v>
      </c>
      <c r="F20" s="8">
        <f>('Componentes bicep'!F15)/25.4</f>
        <v>0.66666666666666652</v>
      </c>
    </row>
    <row r="21" spans="1:7" x14ac:dyDescent="0.25">
      <c r="A21" s="8" t="s">
        <v>56</v>
      </c>
      <c r="B21">
        <f>$D$17*145.038</f>
        <v>10152.66</v>
      </c>
      <c r="C21" s="8">
        <f t="shared" ref="C21:F21" si="1">$D$17*145.038</f>
        <v>10152.66</v>
      </c>
      <c r="D21" s="8">
        <f t="shared" si="1"/>
        <v>10152.66</v>
      </c>
      <c r="E21" s="8">
        <f t="shared" si="1"/>
        <v>10152.66</v>
      </c>
      <c r="F21" s="8">
        <f t="shared" si="1"/>
        <v>10152.66</v>
      </c>
    </row>
    <row r="22" spans="1:7" x14ac:dyDescent="0.25">
      <c r="A22" s="8" t="s">
        <v>49</v>
      </c>
      <c r="B22" s="14">
        <v>0.245</v>
      </c>
      <c r="C22" s="14">
        <v>0.245</v>
      </c>
      <c r="D22" s="14">
        <v>0.377</v>
      </c>
      <c r="E22" s="14">
        <v>0.32</v>
      </c>
      <c r="F22" s="14">
        <v>0.32</v>
      </c>
    </row>
    <row r="23" spans="1:7" x14ac:dyDescent="0.25">
      <c r="A23" s="8" t="s">
        <v>29</v>
      </c>
      <c r="B23" s="14">
        <f>'Componentes bicep'!B12</f>
        <v>20</v>
      </c>
      <c r="C23" s="14">
        <f>'Componentes bicep'!C12</f>
        <v>20</v>
      </c>
      <c r="D23" s="14">
        <f>'Componentes bicep'!D12</f>
        <v>20</v>
      </c>
      <c r="E23" s="14">
        <f>'Componentes bicep'!E12</f>
        <v>30</v>
      </c>
      <c r="F23" s="14">
        <f>'Componentes bicep'!F12</f>
        <v>30</v>
      </c>
    </row>
    <row r="24" spans="1:7" x14ac:dyDescent="0.25">
      <c r="A24" s="8" t="s">
        <v>57</v>
      </c>
      <c r="B24" s="14">
        <f>('Componentes bicep'!B9)/25.4</f>
        <v>0.60000000000000009</v>
      </c>
      <c r="C24" s="14">
        <f>('Componentes bicep'!C9)/25.4</f>
        <v>0.60000000000000009</v>
      </c>
      <c r="D24" s="14">
        <f>('Componentes bicep'!D9)/25.4</f>
        <v>1.8</v>
      </c>
      <c r="E24" s="14">
        <f>('Componentes bicep'!E9)/25.4</f>
        <v>0.66666666666666652</v>
      </c>
      <c r="F24" s="14">
        <f>('Componentes bicep'!F9)/25.4</f>
        <v>0.66666666666666652</v>
      </c>
      <c r="G24" s="14"/>
    </row>
    <row r="25" spans="1:7" x14ac:dyDescent="0.25">
      <c r="A25" s="8" t="s">
        <v>1</v>
      </c>
      <c r="B25" s="14">
        <f>'Componentes bicep'!B7</f>
        <v>12</v>
      </c>
      <c r="C25" s="14">
        <f>'Componentes bicep'!C7</f>
        <v>12</v>
      </c>
      <c r="D25" s="14">
        <f>'Componentes bicep'!D7</f>
        <v>36</v>
      </c>
      <c r="E25" s="14">
        <f>'Componentes bicep'!E7</f>
        <v>20</v>
      </c>
      <c r="F25" s="14">
        <f>'Componentes bicep'!F7</f>
        <v>20</v>
      </c>
      <c r="G25" s="14"/>
    </row>
    <row r="26" spans="1:7" x14ac:dyDescent="0.25">
      <c r="G26" s="14"/>
    </row>
    <row r="27" spans="1:7" x14ac:dyDescent="0.25">
      <c r="G27" s="14"/>
    </row>
    <row r="28" spans="1:7" x14ac:dyDescent="0.25">
      <c r="A28" s="23" t="s">
        <v>21</v>
      </c>
      <c r="B28" s="14"/>
      <c r="C28" s="14"/>
      <c r="D28" s="14"/>
      <c r="E28" s="14"/>
      <c r="F28" s="14"/>
      <c r="G28" s="14"/>
    </row>
    <row r="29" spans="1:7" x14ac:dyDescent="0.25">
      <c r="A29" s="21" t="s">
        <v>0</v>
      </c>
      <c r="B29" s="21" t="s">
        <v>50</v>
      </c>
      <c r="C29" s="21" t="s">
        <v>51</v>
      </c>
      <c r="D29" s="21" t="s">
        <v>52</v>
      </c>
      <c r="E29" s="20" t="s">
        <v>62</v>
      </c>
      <c r="F29" s="20" t="s">
        <v>63</v>
      </c>
      <c r="G29" s="14"/>
    </row>
    <row r="30" spans="1:7" x14ac:dyDescent="0.25">
      <c r="A30" s="14">
        <f>(H56/$D$6)*$G$6</f>
        <v>242.5</v>
      </c>
      <c r="B30" s="14">
        <f>0.262*$B$24*A30</f>
        <v>38.121000000000009</v>
      </c>
      <c r="C30" s="14">
        <f>(($B$21*$B$20*$B$22)/$B$23)*((150/(200+B30))+0.25)</f>
        <v>54.718598952992906</v>
      </c>
      <c r="D30" s="14">
        <f>((C30*$B$24)/2)/8.8508</f>
        <v>1.8547001046117724</v>
      </c>
      <c r="E30" s="14"/>
      <c r="F30" s="14"/>
      <c r="G30" s="14"/>
    </row>
    <row r="31" spans="1:7" x14ac:dyDescent="0.25">
      <c r="A31" s="14">
        <f>(H57/$D$6)*$G$6</f>
        <v>485</v>
      </c>
      <c r="B31" s="14">
        <f t="shared" ref="B31:B39" si="2">0.262*$B$24*A31</f>
        <v>76.242000000000019</v>
      </c>
      <c r="C31" s="14">
        <f t="shared" ref="C31:C39" si="3">(($B$21*$B$20*$B$22)/$B$23)*((150/(200+B31))+0.25)</f>
        <v>49.312872418282694</v>
      </c>
      <c r="D31" s="14">
        <f t="shared" ref="D31:D39" si="4">((C31*$B$24)/2)/8.8508</f>
        <v>1.6714717003530539</v>
      </c>
      <c r="E31" s="14"/>
      <c r="F31" s="14"/>
      <c r="G31" s="14"/>
    </row>
    <row r="32" spans="1:7" x14ac:dyDescent="0.25">
      <c r="A32" s="14">
        <f>(H58/$D$6)*$G$6</f>
        <v>727.5</v>
      </c>
      <c r="B32" s="14">
        <f t="shared" si="2"/>
        <v>114.36300000000003</v>
      </c>
      <c r="C32" s="14">
        <f t="shared" si="3"/>
        <v>45.218188857648236</v>
      </c>
      <c r="D32" s="14">
        <f t="shared" si="4"/>
        <v>1.5326814138037774</v>
      </c>
      <c r="E32" s="14"/>
      <c r="F32" s="14"/>
      <c r="G32" s="14"/>
    </row>
    <row r="33" spans="1:7" x14ac:dyDescent="0.25">
      <c r="A33" s="14">
        <f>(H59/$D$6)*$G$6</f>
        <v>970</v>
      </c>
      <c r="B33" s="14">
        <f t="shared" si="2"/>
        <v>152.48400000000004</v>
      </c>
      <c r="C33" s="14">
        <f t="shared" si="3"/>
        <v>42.009181991643587</v>
      </c>
      <c r="D33" s="14">
        <f t="shared" si="4"/>
        <v>1.4239113523628462</v>
      </c>
      <c r="E33" s="14"/>
      <c r="F33" s="14"/>
      <c r="G33" s="14"/>
    </row>
    <row r="34" spans="1:7" x14ac:dyDescent="0.25">
      <c r="A34" s="14">
        <f>(H60/$D$6)*$G$6</f>
        <v>1212.5</v>
      </c>
      <c r="B34" s="14">
        <f t="shared" si="2"/>
        <v>190.60500000000005</v>
      </c>
      <c r="C34" s="14">
        <f t="shared" si="3"/>
        <v>39.426539615284298</v>
      </c>
      <c r="D34" s="14">
        <f t="shared" si="4"/>
        <v>1.3363720663200265</v>
      </c>
      <c r="E34" s="14"/>
      <c r="F34" s="14"/>
      <c r="G34" s="14"/>
    </row>
    <row r="35" spans="1:7" x14ac:dyDescent="0.25">
      <c r="A35" s="14">
        <f>(H61/$D$6)*$G$6</f>
        <v>1455</v>
      </c>
      <c r="B35" s="14">
        <f t="shared" si="2"/>
        <v>228.72600000000006</v>
      </c>
      <c r="C35" s="14">
        <f t="shared" si="3"/>
        <v>37.303178504951291</v>
      </c>
      <c r="D35" s="14">
        <f t="shared" si="4"/>
        <v>1.2644002295256236</v>
      </c>
    </row>
    <row r="36" spans="1:7" x14ac:dyDescent="0.25">
      <c r="A36" s="14">
        <f>(H62/$D$6)*$G$6</f>
        <v>1697.5</v>
      </c>
      <c r="B36" s="14">
        <f t="shared" si="2"/>
        <v>266.84700000000004</v>
      </c>
      <c r="C36" s="14">
        <f t="shared" si="3"/>
        <v>35.526589030237687</v>
      </c>
      <c r="D36" s="14">
        <f t="shared" si="4"/>
        <v>1.2041823009300072</v>
      </c>
    </row>
    <row r="37" spans="1:7" x14ac:dyDescent="0.25">
      <c r="A37" s="14">
        <f>(H63/$D$6)*$G$6</f>
        <v>1940</v>
      </c>
      <c r="B37" s="14">
        <f t="shared" si="2"/>
        <v>304.96800000000007</v>
      </c>
      <c r="C37" s="14">
        <f t="shared" si="3"/>
        <v>34.018235829369381</v>
      </c>
      <c r="D37" s="14">
        <f t="shared" si="4"/>
        <v>1.1530563055103287</v>
      </c>
    </row>
    <row r="38" spans="1:7" x14ac:dyDescent="0.25">
      <c r="A38" s="14">
        <f>(H64/$D$6)*$G$6</f>
        <v>2182.5</v>
      </c>
      <c r="B38" s="14">
        <f t="shared" si="2"/>
        <v>343.08900000000006</v>
      </c>
      <c r="C38" s="14">
        <f t="shared" si="3"/>
        <v>32.72163404445795</v>
      </c>
      <c r="D38" s="14">
        <f t="shared" si="4"/>
        <v>1.1091076753895002</v>
      </c>
    </row>
    <row r="39" spans="1:7" x14ac:dyDescent="0.25">
      <c r="A39" s="14">
        <f>(H65/$D$6)*$G$6</f>
        <v>2425</v>
      </c>
      <c r="B39" s="14">
        <f t="shared" si="2"/>
        <v>381.21000000000009</v>
      </c>
      <c r="C39" s="14">
        <f t="shared" si="3"/>
        <v>31.595117965720217</v>
      </c>
      <c r="D39" s="14">
        <f t="shared" si="4"/>
        <v>1.0709241412884787</v>
      </c>
    </row>
    <row r="41" spans="1:7" x14ac:dyDescent="0.25">
      <c r="A41" s="36" t="s">
        <v>22</v>
      </c>
    </row>
    <row r="42" spans="1:7" x14ac:dyDescent="0.25">
      <c r="A42" s="21" t="s">
        <v>0</v>
      </c>
      <c r="B42" s="21" t="s">
        <v>50</v>
      </c>
      <c r="C42" s="21" t="s">
        <v>51</v>
      </c>
      <c r="D42" s="21" t="s">
        <v>52</v>
      </c>
      <c r="E42" s="20" t="s">
        <v>62</v>
      </c>
      <c r="F42" s="20" t="s">
        <v>63</v>
      </c>
    </row>
    <row r="43" spans="1:7" x14ac:dyDescent="0.25">
      <c r="A43" s="14">
        <v>1000</v>
      </c>
      <c r="B43" s="14">
        <f>0.262*A43*$C$24</f>
        <v>157.20000000000002</v>
      </c>
      <c r="C43" s="14">
        <f>(($C$21*$C$20*$C$22)/$C$23)*((150/(200+B43))+0.25)</f>
        <v>41.65980030865061</v>
      </c>
      <c r="D43" s="14">
        <f>((C43*$C$24)/2)/8.8508</f>
        <v>1.4120689759790286</v>
      </c>
      <c r="E43" s="14"/>
      <c r="F43" s="14"/>
    </row>
    <row r="44" spans="1:7" x14ac:dyDescent="0.25">
      <c r="A44" s="14">
        <v>2000</v>
      </c>
      <c r="B44" s="14">
        <f t="shared" ref="B44:B52" si="5">0.262*A44*$C$24</f>
        <v>314.40000000000003</v>
      </c>
      <c r="C44" s="14">
        <f t="shared" ref="C44:C52" si="6">(($C$21*$C$20*$C$22)/$C$23)*((150/(200+B44))+0.25)</f>
        <v>33.679535070956447</v>
      </c>
      <c r="D44" s="14">
        <f t="shared" ref="D44:D52" si="7">((C44*$C$24)/2)/8.8508</f>
        <v>1.1415759616404095</v>
      </c>
      <c r="E44" s="14"/>
      <c r="F44" s="14"/>
    </row>
    <row r="45" spans="1:7" x14ac:dyDescent="0.25">
      <c r="A45" s="14">
        <v>3000</v>
      </c>
      <c r="B45" s="14">
        <f t="shared" si="5"/>
        <v>471.60000000000008</v>
      </c>
      <c r="C45" s="14">
        <f t="shared" si="6"/>
        <v>29.435117645547937</v>
      </c>
      <c r="D45" s="14">
        <f t="shared" si="7"/>
        <v>0.99771040964256152</v>
      </c>
      <c r="E45" s="14"/>
      <c r="F45" s="14"/>
    </row>
    <row r="46" spans="1:7" x14ac:dyDescent="0.25">
      <c r="A46" s="14">
        <v>4000</v>
      </c>
      <c r="B46" s="14">
        <f t="shared" si="5"/>
        <v>628.80000000000007</v>
      </c>
      <c r="C46" s="14">
        <f t="shared" si="6"/>
        <v>26.800792930743242</v>
      </c>
      <c r="D46" s="14">
        <f t="shared" si="7"/>
        <v>0.90841933827710186</v>
      </c>
      <c r="E46" s="14"/>
      <c r="F46" s="14"/>
    </row>
    <row r="47" spans="1:7" x14ac:dyDescent="0.25">
      <c r="A47" s="14">
        <v>5000</v>
      </c>
      <c r="B47" s="14">
        <f t="shared" si="5"/>
        <v>786.00000000000011</v>
      </c>
      <c r="C47" s="14">
        <f t="shared" si="6"/>
        <v>25.006459788286001</v>
      </c>
      <c r="D47" s="14">
        <f t="shared" si="7"/>
        <v>0.84759998378517221</v>
      </c>
      <c r="E47" s="14"/>
      <c r="F47" s="14"/>
    </row>
    <row r="48" spans="1:7" x14ac:dyDescent="0.25">
      <c r="A48" s="14">
        <v>6000</v>
      </c>
      <c r="B48" s="14">
        <f t="shared" si="5"/>
        <v>943.20000000000016</v>
      </c>
      <c r="C48" s="14">
        <f t="shared" si="6"/>
        <v>23.705599651417071</v>
      </c>
      <c r="D48" s="14">
        <f t="shared" si="7"/>
        <v>0.80350701579802075</v>
      </c>
      <c r="E48" s="8"/>
      <c r="F48" s="8"/>
    </row>
    <row r="49" spans="1:8" x14ac:dyDescent="0.25">
      <c r="A49" s="14">
        <v>7000</v>
      </c>
      <c r="B49" s="14">
        <f t="shared" si="5"/>
        <v>1100.4000000000001</v>
      </c>
      <c r="C49" s="14">
        <f t="shared" si="6"/>
        <v>22.719250762649953</v>
      </c>
      <c r="D49" s="14">
        <f t="shared" si="7"/>
        <v>0.77007448239650511</v>
      </c>
      <c r="E49" s="8"/>
      <c r="F49" s="8"/>
    </row>
    <row r="50" spans="1:8" x14ac:dyDescent="0.25">
      <c r="A50" s="14">
        <v>8000</v>
      </c>
      <c r="B50" s="14">
        <f t="shared" si="5"/>
        <v>1257.6000000000001</v>
      </c>
      <c r="C50" s="14">
        <f t="shared" si="6"/>
        <v>21.945654405872663</v>
      </c>
      <c r="D50" s="14">
        <f t="shared" si="7"/>
        <v>0.74385324736315361</v>
      </c>
      <c r="E50" s="8"/>
      <c r="F50" s="8"/>
    </row>
    <row r="51" spans="1:8" x14ac:dyDescent="0.25">
      <c r="A51" s="14">
        <v>9000</v>
      </c>
      <c r="B51" s="14">
        <f t="shared" si="5"/>
        <v>1414.8000000000002</v>
      </c>
      <c r="C51" s="14">
        <f t="shared" si="6"/>
        <v>21.322676512416397</v>
      </c>
      <c r="D51" s="14">
        <f t="shared" si="7"/>
        <v>0.72273726145940709</v>
      </c>
      <c r="E51" s="8"/>
      <c r="F51" s="8"/>
    </row>
    <row r="52" spans="1:8" x14ac:dyDescent="0.25">
      <c r="A52" s="14">
        <v>10000</v>
      </c>
      <c r="B52" s="14">
        <f t="shared" si="5"/>
        <v>1572.0000000000002</v>
      </c>
      <c r="C52" s="14">
        <f t="shared" si="6"/>
        <v>20.810231491252818</v>
      </c>
      <c r="D52" s="14">
        <f t="shared" si="7"/>
        <v>0.70536781391239733</v>
      </c>
      <c r="E52" s="8"/>
      <c r="F52" s="8"/>
    </row>
    <row r="54" spans="1:8" x14ac:dyDescent="0.25">
      <c r="A54" s="22" t="s">
        <v>23</v>
      </c>
    </row>
    <row r="55" spans="1:8" x14ac:dyDescent="0.25">
      <c r="A55" s="21" t="s">
        <v>0</v>
      </c>
      <c r="B55" s="21" t="s">
        <v>50</v>
      </c>
      <c r="C55" s="21" t="s">
        <v>51</v>
      </c>
      <c r="D55" s="21" t="s">
        <v>52</v>
      </c>
      <c r="E55" s="20" t="s">
        <v>62</v>
      </c>
      <c r="F55" s="20" t="s">
        <v>63</v>
      </c>
      <c r="H55" s="20" t="s">
        <v>73</v>
      </c>
    </row>
    <row r="56" spans="1:8" x14ac:dyDescent="0.25">
      <c r="A56" s="14">
        <f>H56</f>
        <v>1000</v>
      </c>
      <c r="B56" s="14">
        <f>0.262*$D$24*A56</f>
        <v>471.6</v>
      </c>
      <c r="C56" s="14">
        <f>(($D$21*$D$20*$D$22)/$D$24)*((150/200+B56)+0.25)</f>
        <v>502472.62853666669</v>
      </c>
      <c r="D56" s="14">
        <f>((C56*$D$24)/2)/8.8508</f>
        <v>51094.292683486245</v>
      </c>
      <c r="E56" s="14"/>
      <c r="F56" s="14"/>
      <c r="H56" s="14">
        <v>1000</v>
      </c>
    </row>
    <row r="57" spans="1:8" x14ac:dyDescent="0.25">
      <c r="A57" s="14">
        <f>H57</f>
        <v>2000</v>
      </c>
      <c r="B57" s="14">
        <f t="shared" ref="B57:B65" si="8">0.262*$D$24*A57</f>
        <v>943.2</v>
      </c>
      <c r="C57" s="14">
        <f t="shared" ref="C57:C65" si="9">(($D$21*$D$20*$D$22)/$D$24)*((150/200+B57)+0.25)</f>
        <v>1003882.0479566667</v>
      </c>
      <c r="D57" s="14">
        <f t="shared" ref="D57:D65" si="10">((C57*$D$24)/2)/8.8508</f>
        <v>102080.4721788991</v>
      </c>
      <c r="E57" s="14"/>
      <c r="F57" s="14"/>
      <c r="H57" s="14">
        <v>2000</v>
      </c>
    </row>
    <row r="58" spans="1:8" x14ac:dyDescent="0.25">
      <c r="A58" s="14">
        <f>H58</f>
        <v>3000</v>
      </c>
      <c r="B58" s="14">
        <f t="shared" si="8"/>
        <v>1414.8</v>
      </c>
      <c r="C58" s="14">
        <f t="shared" si="9"/>
        <v>1505291.4673766666</v>
      </c>
      <c r="D58" s="14">
        <f t="shared" si="10"/>
        <v>153066.65167431193</v>
      </c>
      <c r="E58" s="14"/>
      <c r="F58" s="14"/>
      <c r="H58" s="14">
        <v>3000</v>
      </c>
    </row>
    <row r="59" spans="1:8" x14ac:dyDescent="0.25">
      <c r="A59" s="14">
        <f>H59</f>
        <v>4000</v>
      </c>
      <c r="B59" s="14">
        <f t="shared" si="8"/>
        <v>1886.4</v>
      </c>
      <c r="C59" s="14">
        <f t="shared" si="9"/>
        <v>2006700.8867966668</v>
      </c>
      <c r="D59" s="14">
        <f t="shared" si="10"/>
        <v>204052.83116972478</v>
      </c>
      <c r="E59" s="14"/>
      <c r="F59" s="14"/>
      <c r="H59" s="14">
        <v>4000</v>
      </c>
    </row>
    <row r="60" spans="1:8" x14ac:dyDescent="0.25">
      <c r="A60" s="14">
        <f>H60</f>
        <v>5000</v>
      </c>
      <c r="B60" s="14">
        <f t="shared" si="8"/>
        <v>2358</v>
      </c>
      <c r="C60" s="14">
        <f t="shared" si="9"/>
        <v>2508110.3062166665</v>
      </c>
      <c r="D60" s="14">
        <f t="shared" si="10"/>
        <v>255039.01066513764</v>
      </c>
      <c r="E60" s="14"/>
      <c r="F60" s="14"/>
      <c r="H60" s="14">
        <v>5000</v>
      </c>
    </row>
    <row r="61" spans="1:8" x14ac:dyDescent="0.25">
      <c r="A61" s="14">
        <f>H61</f>
        <v>6000</v>
      </c>
      <c r="B61" s="14">
        <f t="shared" si="8"/>
        <v>2829.6</v>
      </c>
      <c r="C61" s="14">
        <f t="shared" si="9"/>
        <v>3009519.7256366666</v>
      </c>
      <c r="D61" s="14">
        <f t="shared" si="10"/>
        <v>306025.19016055047</v>
      </c>
      <c r="E61" s="8"/>
      <c r="F61" s="8"/>
      <c r="H61" s="14">
        <v>6000</v>
      </c>
    </row>
    <row r="62" spans="1:8" x14ac:dyDescent="0.25">
      <c r="A62" s="14">
        <f>H62</f>
        <v>7000</v>
      </c>
      <c r="B62" s="14">
        <f t="shared" si="8"/>
        <v>3301.2000000000003</v>
      </c>
      <c r="C62" s="14">
        <f t="shared" si="9"/>
        <v>3510929.1450566668</v>
      </c>
      <c r="D62" s="14">
        <f t="shared" si="10"/>
        <v>357011.36965596332</v>
      </c>
      <c r="E62" s="8"/>
      <c r="F62" s="8"/>
      <c r="H62" s="14">
        <v>7000</v>
      </c>
    </row>
    <row r="63" spans="1:8" x14ac:dyDescent="0.25">
      <c r="A63" s="14">
        <f>H63</f>
        <v>8000</v>
      </c>
      <c r="B63" s="14">
        <f t="shared" si="8"/>
        <v>3772.8</v>
      </c>
      <c r="C63" s="14">
        <f t="shared" si="9"/>
        <v>4012338.564476667</v>
      </c>
      <c r="D63" s="14">
        <f t="shared" si="10"/>
        <v>407997.54915137624</v>
      </c>
      <c r="E63" s="8"/>
      <c r="F63" s="8"/>
      <c r="H63" s="14">
        <v>8000</v>
      </c>
    </row>
    <row r="64" spans="1:8" x14ac:dyDescent="0.25">
      <c r="A64" s="14">
        <f>H64</f>
        <v>9000</v>
      </c>
      <c r="B64" s="14">
        <f t="shared" si="8"/>
        <v>4244.4000000000005</v>
      </c>
      <c r="C64" s="14">
        <f t="shared" si="9"/>
        <v>4513747.9838966671</v>
      </c>
      <c r="D64" s="14">
        <f t="shared" si="10"/>
        <v>458983.72864678904</v>
      </c>
      <c r="E64" s="8"/>
      <c r="F64" s="8"/>
      <c r="H64" s="14">
        <v>9000</v>
      </c>
    </row>
    <row r="65" spans="1:8" x14ac:dyDescent="0.25">
      <c r="A65" s="14">
        <f>H65</f>
        <v>10000</v>
      </c>
      <c r="B65" s="14">
        <f t="shared" si="8"/>
        <v>4716</v>
      </c>
      <c r="C65" s="14">
        <f t="shared" si="9"/>
        <v>5015157.4033166664</v>
      </c>
      <c r="D65" s="14">
        <f t="shared" si="10"/>
        <v>509969.90814220184</v>
      </c>
      <c r="E65" s="8"/>
      <c r="F65" s="8"/>
      <c r="H65" s="14">
        <v>10000</v>
      </c>
    </row>
    <row r="67" spans="1:8" x14ac:dyDescent="0.25">
      <c r="A67" s="22" t="s">
        <v>64</v>
      </c>
    </row>
    <row r="68" spans="1:8" x14ac:dyDescent="0.25">
      <c r="A68" s="21" t="s">
        <v>0</v>
      </c>
      <c r="B68" s="21" t="s">
        <v>50</v>
      </c>
      <c r="C68" s="21" t="s">
        <v>51</v>
      </c>
      <c r="D68" s="21" t="s">
        <v>52</v>
      </c>
      <c r="E68" s="20" t="s">
        <v>62</v>
      </c>
      <c r="F68" s="20" t="s">
        <v>63</v>
      </c>
    </row>
    <row r="69" spans="1:8" x14ac:dyDescent="0.25">
      <c r="A69" s="14">
        <f>(A95/$D$8)*$G$8</f>
        <v>58.806249999999999</v>
      </c>
      <c r="B69" s="14">
        <f>0.262*A69*$B$24</f>
        <v>9.2443425000000019</v>
      </c>
      <c r="C69" s="14">
        <f>(($B$21*$B$20*$B$22)/$B$23)*((150/200+B69)+0.25)</f>
        <v>637.04487374705627</v>
      </c>
      <c r="D69" s="14">
        <f>((C69*$B$24)/2)/8.8508</f>
        <v>21.592789592366444</v>
      </c>
      <c r="E69" s="14"/>
      <c r="F69" s="14"/>
    </row>
    <row r="70" spans="1:8" x14ac:dyDescent="0.25">
      <c r="A70" s="14">
        <f t="shared" ref="A70:A78" si="11">(A96/$D$8)*$G$8</f>
        <v>117.6125</v>
      </c>
      <c r="B70" s="14">
        <f t="shared" ref="B70:B78" si="12">0.262*A70*$B$24</f>
        <v>18.488685000000004</v>
      </c>
      <c r="C70" s="14">
        <f t="shared" ref="C70:C78" si="13">(($B$21*$B$20*$B$22)/$B$23)*((150/200+B70)+0.25)</f>
        <v>1211.9047049941125</v>
      </c>
      <c r="D70" s="14">
        <f t="shared" ref="D70:D78" si="14">((C70*$B$24)/2)/8.8508</f>
        <v>41.077802175874929</v>
      </c>
      <c r="E70" s="14"/>
      <c r="F70" s="14"/>
    </row>
    <row r="71" spans="1:8" x14ac:dyDescent="0.25">
      <c r="A71" s="14">
        <f t="shared" si="11"/>
        <v>176.41874999999999</v>
      </c>
      <c r="B71" s="14">
        <f t="shared" si="12"/>
        <v>27.733027500000006</v>
      </c>
      <c r="C71" s="14">
        <f t="shared" si="13"/>
        <v>1786.764536241169</v>
      </c>
      <c r="D71" s="14">
        <f t="shared" si="14"/>
        <v>60.562814759383429</v>
      </c>
      <c r="E71" s="14"/>
      <c r="F71" s="14"/>
    </row>
    <row r="72" spans="1:8" x14ac:dyDescent="0.25">
      <c r="A72" s="14">
        <f t="shared" si="11"/>
        <v>235.22499999999999</v>
      </c>
      <c r="B72" s="14">
        <f t="shared" si="12"/>
        <v>36.977370000000008</v>
      </c>
      <c r="C72" s="14">
        <f t="shared" si="13"/>
        <v>2361.6243674882253</v>
      </c>
      <c r="D72" s="14">
        <f t="shared" si="14"/>
        <v>80.047827342891907</v>
      </c>
      <c r="E72" s="14"/>
      <c r="F72" s="14"/>
    </row>
    <row r="73" spans="1:8" x14ac:dyDescent="0.25">
      <c r="A73" s="14">
        <f t="shared" si="11"/>
        <v>294.03125</v>
      </c>
      <c r="B73" s="14">
        <f t="shared" si="12"/>
        <v>46.221712500000002</v>
      </c>
      <c r="C73" s="14">
        <f t="shared" si="13"/>
        <v>2936.4841987352811</v>
      </c>
      <c r="D73" s="14">
        <f t="shared" si="14"/>
        <v>99.532839926400385</v>
      </c>
      <c r="E73" s="14"/>
      <c r="F73" s="14"/>
    </row>
    <row r="74" spans="1:8" x14ac:dyDescent="0.25">
      <c r="A74" s="14">
        <f t="shared" si="11"/>
        <v>352.83749999999998</v>
      </c>
      <c r="B74" s="14">
        <f t="shared" si="12"/>
        <v>55.466055000000011</v>
      </c>
      <c r="C74" s="14">
        <f t="shared" si="13"/>
        <v>3511.3440299823378</v>
      </c>
      <c r="D74" s="14">
        <f t="shared" si="14"/>
        <v>119.01785250990889</v>
      </c>
      <c r="E74" s="8"/>
      <c r="F74" s="8"/>
    </row>
    <row r="75" spans="1:8" x14ac:dyDescent="0.25">
      <c r="A75" s="14">
        <f t="shared" si="11"/>
        <v>411.64375000000001</v>
      </c>
      <c r="B75" s="14">
        <f t="shared" si="12"/>
        <v>64.710397500000013</v>
      </c>
      <c r="C75" s="14">
        <f t="shared" si="13"/>
        <v>4086.2038612293941</v>
      </c>
      <c r="D75" s="14">
        <f t="shared" si="14"/>
        <v>138.50286509341737</v>
      </c>
      <c r="E75" s="8"/>
      <c r="F75" s="8"/>
    </row>
    <row r="76" spans="1:8" x14ac:dyDescent="0.25">
      <c r="A76" s="14">
        <f t="shared" si="11"/>
        <v>470.45</v>
      </c>
      <c r="B76" s="14">
        <f t="shared" si="12"/>
        <v>73.954740000000015</v>
      </c>
      <c r="C76" s="14">
        <f t="shared" si="13"/>
        <v>4661.0636924764503</v>
      </c>
      <c r="D76" s="14">
        <f t="shared" si="14"/>
        <v>157.98787767692585</v>
      </c>
      <c r="E76" s="8"/>
      <c r="F76" s="8"/>
    </row>
    <row r="77" spans="1:8" x14ac:dyDescent="0.25">
      <c r="A77" s="14">
        <f t="shared" si="11"/>
        <v>529.25625000000002</v>
      </c>
      <c r="B77" s="14">
        <f t="shared" si="12"/>
        <v>83.199082500000017</v>
      </c>
      <c r="C77" s="14">
        <f t="shared" si="13"/>
        <v>5235.9235237235071</v>
      </c>
      <c r="D77" s="14">
        <f t="shared" si="14"/>
        <v>177.47289026043438</v>
      </c>
      <c r="E77" s="8"/>
      <c r="F77" s="8"/>
    </row>
    <row r="78" spans="1:8" x14ac:dyDescent="0.25">
      <c r="A78" s="14">
        <f t="shared" si="11"/>
        <v>588.0625</v>
      </c>
      <c r="B78" s="14">
        <f t="shared" si="12"/>
        <v>92.443425000000005</v>
      </c>
      <c r="C78" s="14">
        <f t="shared" si="13"/>
        <v>5810.783354970562</v>
      </c>
      <c r="D78" s="14">
        <f t="shared" si="14"/>
        <v>196.9579028439428</v>
      </c>
      <c r="E78" s="8"/>
      <c r="F78" s="8"/>
    </row>
    <row r="80" spans="1:8" x14ac:dyDescent="0.25">
      <c r="A80" s="36" t="s">
        <v>65</v>
      </c>
    </row>
    <row r="81" spans="1:8" x14ac:dyDescent="0.25">
      <c r="A81" s="21" t="s">
        <v>0</v>
      </c>
      <c r="B81" s="21" t="s">
        <v>50</v>
      </c>
      <c r="C81" s="21" t="s">
        <v>51</v>
      </c>
      <c r="D81" s="21" t="s">
        <v>52</v>
      </c>
      <c r="E81" s="20" t="s">
        <v>62</v>
      </c>
      <c r="F81" s="20" t="s">
        <v>63</v>
      </c>
    </row>
    <row r="82" spans="1:8" x14ac:dyDescent="0.25">
      <c r="A82" s="14">
        <v>1000</v>
      </c>
      <c r="B82" s="14">
        <f>0.262*A82*$C$24</f>
        <v>157.20000000000002</v>
      </c>
      <c r="C82" s="14">
        <f>(($C$21*$C$20*$C$22)/$C$23)*((150/(200+B82))+0.25)</f>
        <v>41.65980030865061</v>
      </c>
      <c r="D82" s="14">
        <f>((C82*$C$24)/2)/8.8508</f>
        <v>1.4120689759790286</v>
      </c>
      <c r="E82" s="14"/>
      <c r="F82" s="14"/>
    </row>
    <row r="83" spans="1:8" x14ac:dyDescent="0.25">
      <c r="A83" s="14">
        <v>2000</v>
      </c>
      <c r="B83" s="14">
        <f t="shared" ref="B83:B91" si="15">0.262*A83*$C$24</f>
        <v>314.40000000000003</v>
      </c>
      <c r="C83" s="14">
        <f t="shared" ref="C83:C91" si="16">(($C$21*$C$20*$C$22)/$C$23)*((150/(200+B83))+0.25)</f>
        <v>33.679535070956447</v>
      </c>
      <c r="D83" s="14">
        <f t="shared" ref="D83:D91" si="17">((C83*$C$24)/2)/8.8508</f>
        <v>1.1415759616404095</v>
      </c>
      <c r="E83" s="14"/>
      <c r="F83" s="14"/>
    </row>
    <row r="84" spans="1:8" x14ac:dyDescent="0.25">
      <c r="A84" s="14">
        <v>3000</v>
      </c>
      <c r="B84" s="14">
        <f t="shared" si="15"/>
        <v>471.60000000000008</v>
      </c>
      <c r="C84" s="14">
        <f t="shared" si="16"/>
        <v>29.435117645547937</v>
      </c>
      <c r="D84" s="14">
        <f t="shared" si="17"/>
        <v>0.99771040964256152</v>
      </c>
      <c r="E84" s="14"/>
      <c r="F84" s="14"/>
    </row>
    <row r="85" spans="1:8" x14ac:dyDescent="0.25">
      <c r="A85" s="14">
        <v>4000</v>
      </c>
      <c r="B85" s="14">
        <f t="shared" si="15"/>
        <v>628.80000000000007</v>
      </c>
      <c r="C85" s="14">
        <f t="shared" si="16"/>
        <v>26.800792930743242</v>
      </c>
      <c r="D85" s="14">
        <f t="shared" si="17"/>
        <v>0.90841933827710186</v>
      </c>
      <c r="E85" s="14"/>
      <c r="F85" s="14"/>
    </row>
    <row r="86" spans="1:8" x14ac:dyDescent="0.25">
      <c r="A86" s="14">
        <v>5000</v>
      </c>
      <c r="B86" s="14">
        <f t="shared" si="15"/>
        <v>786.00000000000011</v>
      </c>
      <c r="C86" s="14">
        <f t="shared" si="16"/>
        <v>25.006459788286001</v>
      </c>
      <c r="D86" s="14">
        <f t="shared" si="17"/>
        <v>0.84759998378517221</v>
      </c>
      <c r="E86" s="14"/>
      <c r="F86" s="14"/>
    </row>
    <row r="87" spans="1:8" x14ac:dyDescent="0.25">
      <c r="A87" s="14">
        <v>6000</v>
      </c>
      <c r="B87" s="14">
        <f t="shared" si="15"/>
        <v>943.20000000000016</v>
      </c>
      <c r="C87" s="14">
        <f t="shared" si="16"/>
        <v>23.705599651417071</v>
      </c>
      <c r="D87" s="14">
        <f t="shared" si="17"/>
        <v>0.80350701579802075</v>
      </c>
      <c r="E87" s="8"/>
      <c r="F87" s="8"/>
    </row>
    <row r="88" spans="1:8" x14ac:dyDescent="0.25">
      <c r="A88" s="14">
        <v>7000</v>
      </c>
      <c r="B88" s="14">
        <f t="shared" si="15"/>
        <v>1100.4000000000001</v>
      </c>
      <c r="C88" s="14">
        <f t="shared" si="16"/>
        <v>22.719250762649953</v>
      </c>
      <c r="D88" s="14">
        <f t="shared" si="17"/>
        <v>0.77007448239650511</v>
      </c>
      <c r="E88" s="8"/>
      <c r="F88" s="8"/>
    </row>
    <row r="89" spans="1:8" x14ac:dyDescent="0.25">
      <c r="A89" s="14">
        <v>8000</v>
      </c>
      <c r="B89" s="14">
        <f t="shared" si="15"/>
        <v>1257.6000000000001</v>
      </c>
      <c r="C89" s="14">
        <f t="shared" si="16"/>
        <v>21.945654405872663</v>
      </c>
      <c r="D89" s="14">
        <f t="shared" si="17"/>
        <v>0.74385324736315361</v>
      </c>
      <c r="E89" s="8"/>
      <c r="F89" s="8"/>
    </row>
    <row r="90" spans="1:8" x14ac:dyDescent="0.25">
      <c r="A90" s="14">
        <v>9000</v>
      </c>
      <c r="B90" s="14">
        <f t="shared" si="15"/>
        <v>1414.8000000000002</v>
      </c>
      <c r="C90" s="14">
        <f t="shared" si="16"/>
        <v>21.322676512416397</v>
      </c>
      <c r="D90" s="14">
        <f t="shared" si="17"/>
        <v>0.72273726145940709</v>
      </c>
      <c r="E90" s="8"/>
      <c r="F90" s="8"/>
    </row>
    <row r="91" spans="1:8" x14ac:dyDescent="0.25">
      <c r="A91" s="14">
        <v>10000</v>
      </c>
      <c r="B91" s="14">
        <f t="shared" si="15"/>
        <v>1572.0000000000002</v>
      </c>
      <c r="C91" s="14">
        <f t="shared" si="16"/>
        <v>20.810231491252818</v>
      </c>
      <c r="D91" s="14">
        <f t="shared" si="17"/>
        <v>0.70536781391239733</v>
      </c>
      <c r="E91" s="8"/>
      <c r="F91" s="8"/>
    </row>
    <row r="93" spans="1:8" x14ac:dyDescent="0.25">
      <c r="A93" s="22" t="s">
        <v>66</v>
      </c>
    </row>
    <row r="94" spans="1:8" x14ac:dyDescent="0.25">
      <c r="A94" s="21" t="s">
        <v>0</v>
      </c>
      <c r="B94" s="21" t="s">
        <v>50</v>
      </c>
      <c r="C94" s="21" t="s">
        <v>51</v>
      </c>
      <c r="D94" s="21" t="s">
        <v>52</v>
      </c>
      <c r="E94" s="20" t="s">
        <v>62</v>
      </c>
      <c r="F94" s="20" t="s">
        <v>63</v>
      </c>
      <c r="H94" s="20" t="s">
        <v>73</v>
      </c>
    </row>
    <row r="95" spans="1:8" x14ac:dyDescent="0.25">
      <c r="A95" s="14">
        <f>H95</f>
        <v>242.5</v>
      </c>
      <c r="B95" s="14">
        <f>0.262*$D$24*A95</f>
        <v>114.363</v>
      </c>
      <c r="C95" s="14">
        <f>(($D$21*$D$20*$D$22)/$D$24)*((150/200+B95)+0.25)</f>
        <v>122654.99332601666</v>
      </c>
      <c r="D95" s="14">
        <f>((C95*$D$24)/2)/8.8508</f>
        <v>12472.261715711009</v>
      </c>
      <c r="E95" s="14"/>
      <c r="F95" s="14"/>
      <c r="H95" s="14">
        <f>A30</f>
        <v>242.5</v>
      </c>
    </row>
    <row r="96" spans="1:8" x14ac:dyDescent="0.25">
      <c r="A96" s="14">
        <f t="shared" ref="A96:A104" si="18">H96</f>
        <v>485</v>
      </c>
      <c r="B96" s="14">
        <f t="shared" ref="B96:B104" si="19">0.262*$D$24*A96</f>
        <v>228.726</v>
      </c>
      <c r="C96" s="14">
        <f t="shared" ref="C96:C104" si="20">(($D$21*$D$20*$D$22)/$D$24)*((150/200+B96)+0.25)</f>
        <v>244246.77753536665</v>
      </c>
      <c r="D96" s="14">
        <f t="shared" ref="D96:D104" si="21">((C96*$D$24)/2)/8.8508</f>
        <v>24836.410243348622</v>
      </c>
      <c r="E96" s="14"/>
      <c r="F96" s="14"/>
      <c r="H96" s="14">
        <f t="shared" ref="H96:H104" si="22">A31</f>
        <v>485</v>
      </c>
    </row>
    <row r="97" spans="1:8" x14ac:dyDescent="0.25">
      <c r="A97" s="14">
        <f t="shared" si="18"/>
        <v>727.5</v>
      </c>
      <c r="B97" s="14">
        <f t="shared" si="19"/>
        <v>343.089</v>
      </c>
      <c r="C97" s="14">
        <f t="shared" si="20"/>
        <v>365838.56174471666</v>
      </c>
      <c r="D97" s="14">
        <f t="shared" si="21"/>
        <v>37200.558770986238</v>
      </c>
      <c r="E97" s="14"/>
      <c r="F97" s="14"/>
      <c r="H97" s="14">
        <f t="shared" si="22"/>
        <v>727.5</v>
      </c>
    </row>
    <row r="98" spans="1:8" x14ac:dyDescent="0.25">
      <c r="A98" s="14">
        <f t="shared" si="18"/>
        <v>970</v>
      </c>
      <c r="B98" s="14">
        <f t="shared" si="19"/>
        <v>457.452</v>
      </c>
      <c r="C98" s="14">
        <f t="shared" si="20"/>
        <v>487430.34595406667</v>
      </c>
      <c r="D98" s="14">
        <f t="shared" si="21"/>
        <v>49564.707298623856</v>
      </c>
      <c r="E98" s="14"/>
      <c r="F98" s="14"/>
      <c r="H98" s="14">
        <f t="shared" si="22"/>
        <v>970</v>
      </c>
    </row>
    <row r="99" spans="1:8" x14ac:dyDescent="0.25">
      <c r="A99" s="14">
        <f t="shared" si="18"/>
        <v>1212.5</v>
      </c>
      <c r="B99" s="14">
        <f t="shared" si="19"/>
        <v>571.81500000000005</v>
      </c>
      <c r="C99" s="14">
        <f t="shared" si="20"/>
        <v>609022.13016341673</v>
      </c>
      <c r="D99" s="14">
        <f t="shared" si="21"/>
        <v>61928.855826261475</v>
      </c>
      <c r="E99" s="14"/>
      <c r="F99" s="14"/>
      <c r="H99" s="14">
        <f t="shared" si="22"/>
        <v>1212.5</v>
      </c>
    </row>
    <row r="100" spans="1:8" x14ac:dyDescent="0.25">
      <c r="A100" s="14">
        <f t="shared" si="18"/>
        <v>1455</v>
      </c>
      <c r="B100" s="14">
        <f t="shared" si="19"/>
        <v>686.178</v>
      </c>
      <c r="C100" s="14">
        <f t="shared" si="20"/>
        <v>730613.91437276662</v>
      </c>
      <c r="D100" s="14">
        <f t="shared" si="21"/>
        <v>74293.004353899087</v>
      </c>
      <c r="E100" s="8"/>
      <c r="F100" s="8"/>
      <c r="H100" s="14">
        <f t="shared" si="22"/>
        <v>1455</v>
      </c>
    </row>
    <row r="101" spans="1:8" x14ac:dyDescent="0.25">
      <c r="A101" s="14">
        <f t="shared" si="18"/>
        <v>1697.5</v>
      </c>
      <c r="B101" s="14">
        <f t="shared" si="19"/>
        <v>800.54100000000005</v>
      </c>
      <c r="C101" s="14">
        <f t="shared" si="20"/>
        <v>852205.69858211675</v>
      </c>
      <c r="D101" s="14">
        <f t="shared" si="21"/>
        <v>86657.152881536706</v>
      </c>
      <c r="E101" s="8"/>
      <c r="F101" s="8"/>
      <c r="H101" s="14">
        <f t="shared" si="22"/>
        <v>1697.5</v>
      </c>
    </row>
    <row r="102" spans="1:8" x14ac:dyDescent="0.25">
      <c r="A102" s="14">
        <f t="shared" si="18"/>
        <v>1940</v>
      </c>
      <c r="B102" s="14">
        <f t="shared" si="19"/>
        <v>914.904</v>
      </c>
      <c r="C102" s="14">
        <f t="shared" si="20"/>
        <v>973797.48279146664</v>
      </c>
      <c r="D102" s="14">
        <f t="shared" si="21"/>
        <v>99021.301409174324</v>
      </c>
      <c r="E102" s="8"/>
      <c r="F102" s="8"/>
      <c r="H102" s="14">
        <f t="shared" si="22"/>
        <v>1940</v>
      </c>
    </row>
    <row r="103" spans="1:8" x14ac:dyDescent="0.25">
      <c r="A103" s="14">
        <f t="shared" si="18"/>
        <v>2182.5</v>
      </c>
      <c r="B103" s="14">
        <f t="shared" si="19"/>
        <v>1029.2670000000001</v>
      </c>
      <c r="C103" s="14">
        <f t="shared" si="20"/>
        <v>1095389.2670008168</v>
      </c>
      <c r="D103" s="14">
        <f t="shared" si="21"/>
        <v>111385.44993681194</v>
      </c>
      <c r="E103" s="8"/>
      <c r="F103" s="8"/>
      <c r="H103" s="14">
        <f t="shared" si="22"/>
        <v>2182.5</v>
      </c>
    </row>
    <row r="104" spans="1:8" x14ac:dyDescent="0.25">
      <c r="A104" s="14">
        <f t="shared" si="18"/>
        <v>2425</v>
      </c>
      <c r="B104" s="14">
        <f t="shared" si="19"/>
        <v>1143.6300000000001</v>
      </c>
      <c r="C104" s="14">
        <f t="shared" si="20"/>
        <v>1216981.0512101669</v>
      </c>
      <c r="D104" s="14">
        <f t="shared" si="21"/>
        <v>123749.59846444956</v>
      </c>
      <c r="E104" s="8"/>
      <c r="F104" s="8"/>
      <c r="H104" s="14">
        <f t="shared" si="22"/>
        <v>2425</v>
      </c>
    </row>
    <row r="105" spans="1:8" x14ac:dyDescent="0.25">
      <c r="H105" s="8"/>
    </row>
    <row r="106" spans="1:8" x14ac:dyDescent="0.25">
      <c r="A106" s="22" t="s">
        <v>34</v>
      </c>
    </row>
    <row r="107" spans="1:8" x14ac:dyDescent="0.25">
      <c r="A107" s="21" t="s">
        <v>0</v>
      </c>
      <c r="B107" s="21" t="s">
        <v>50</v>
      </c>
      <c r="C107" s="21" t="s">
        <v>51</v>
      </c>
      <c r="D107" s="21" t="s">
        <v>52</v>
      </c>
      <c r="E107" s="20" t="s">
        <v>62</v>
      </c>
      <c r="F107" s="20" t="s">
        <v>63</v>
      </c>
    </row>
    <row r="108" spans="1:8" x14ac:dyDescent="0.25">
      <c r="A108" s="14">
        <f>A69</f>
        <v>58.806249999999999</v>
      </c>
      <c r="B108" s="14">
        <f>0.262*A108*$E$24</f>
        <v>10.271491666666664</v>
      </c>
      <c r="C108" s="14">
        <f>(($E$21*$E$20*$E$22)/$E$23)*((150/(200+B108))+0.25)</f>
        <v>69.551656690266427</v>
      </c>
      <c r="D108" s="14">
        <f>((C108*$E$24)/2)/8.8508</f>
        <v>2.6194113033197155</v>
      </c>
      <c r="E108" s="14"/>
      <c r="F108" s="14"/>
    </row>
    <row r="109" spans="1:8" x14ac:dyDescent="0.25">
      <c r="A109" s="14">
        <f t="shared" ref="A109:A117" si="23">A70</f>
        <v>117.6125</v>
      </c>
      <c r="B109" s="14">
        <f t="shared" ref="B109:B117" si="24">0.262*A109*$E$24</f>
        <v>20.542983333333328</v>
      </c>
      <c r="C109" s="14">
        <f t="shared" ref="C109:C117" si="25">(($E$21*$E$20*$E$22)/$E$23)*((150/(200+B109))+0.25)</f>
        <v>67.152998067725605</v>
      </c>
      <c r="D109" s="14">
        <f t="shared" ref="D109:D117" si="26">((C109*$E$24)/2)/8.8508</f>
        <v>2.5290745118228708</v>
      </c>
      <c r="E109" s="14"/>
      <c r="F109" s="14"/>
    </row>
    <row r="110" spans="1:8" x14ac:dyDescent="0.25">
      <c r="A110" s="14">
        <f t="shared" si="23"/>
        <v>176.41874999999999</v>
      </c>
      <c r="B110" s="14">
        <f t="shared" si="24"/>
        <v>30.814474999999995</v>
      </c>
      <c r="C110" s="14">
        <f t="shared" si="25"/>
        <v>64.967825207311321</v>
      </c>
      <c r="D110" s="14">
        <f t="shared" si="26"/>
        <v>2.4467778885265106</v>
      </c>
      <c r="E110" s="14"/>
      <c r="F110" s="14"/>
    </row>
    <row r="111" spans="1:8" x14ac:dyDescent="0.25">
      <c r="A111" s="14">
        <f t="shared" si="23"/>
        <v>235.22499999999999</v>
      </c>
      <c r="B111" s="14">
        <f t="shared" si="24"/>
        <v>41.085966666666657</v>
      </c>
      <c r="C111" s="14">
        <f t="shared" si="25"/>
        <v>62.968851362429163</v>
      </c>
      <c r="D111" s="14">
        <f t="shared" si="26"/>
        <v>2.3714937769252176</v>
      </c>
      <c r="E111" s="14"/>
      <c r="F111" s="14"/>
    </row>
    <row r="112" spans="1:8" x14ac:dyDescent="0.25">
      <c r="A112" s="14">
        <f t="shared" si="23"/>
        <v>294.03125</v>
      </c>
      <c r="B112" s="14">
        <f t="shared" si="24"/>
        <v>51.357458333333319</v>
      </c>
      <c r="C112" s="14">
        <f t="shared" si="25"/>
        <v>61.133249977833124</v>
      </c>
      <c r="D112" s="14">
        <f t="shared" si="26"/>
        <v>2.3023624974704022</v>
      </c>
      <c r="E112" s="14"/>
      <c r="F112" s="14"/>
    </row>
    <row r="113" spans="1:6" x14ac:dyDescent="0.25">
      <c r="A113" s="14">
        <f t="shared" si="23"/>
        <v>352.83749999999998</v>
      </c>
      <c r="B113" s="14">
        <f t="shared" si="24"/>
        <v>61.628949999999989</v>
      </c>
      <c r="C113" s="14">
        <f t="shared" si="25"/>
        <v>59.441779159255873</v>
      </c>
      <c r="D113" s="14">
        <f t="shared" si="26"/>
        <v>2.23865937388921</v>
      </c>
      <c r="E113" s="8"/>
      <c r="F113" s="8"/>
    </row>
    <row r="114" spans="1:6" x14ac:dyDescent="0.25">
      <c r="A114" s="14">
        <f t="shared" si="23"/>
        <v>411.64375000000001</v>
      </c>
      <c r="B114" s="14">
        <f t="shared" si="24"/>
        <v>71.900441666666666</v>
      </c>
      <c r="C114" s="14">
        <f t="shared" si="25"/>
        <v>57.878104590739326</v>
      </c>
      <c r="D114" s="14">
        <f t="shared" si="26"/>
        <v>2.1797692333174896</v>
      </c>
      <c r="E114" s="8"/>
      <c r="F114" s="8"/>
    </row>
    <row r="115" spans="1:6" x14ac:dyDescent="0.25">
      <c r="A115" s="14">
        <f t="shared" si="23"/>
        <v>470.45</v>
      </c>
      <c r="B115" s="14">
        <f t="shared" si="24"/>
        <v>82.171933333333314</v>
      </c>
      <c r="C115" s="14">
        <f t="shared" si="25"/>
        <v>56.428270333058549</v>
      </c>
      <c r="D115" s="14">
        <f t="shared" si="26"/>
        <v>2.1251664758386637</v>
      </c>
      <c r="E115" s="8"/>
      <c r="F115" s="8"/>
    </row>
    <row r="116" spans="1:6" x14ac:dyDescent="0.25">
      <c r="A116" s="14">
        <f t="shared" si="23"/>
        <v>529.25625000000002</v>
      </c>
      <c r="B116" s="14">
        <f t="shared" si="24"/>
        <v>92.443424999999991</v>
      </c>
      <c r="C116" s="14">
        <f t="shared" si="25"/>
        <v>55.080281145040829</v>
      </c>
      <c r="D116" s="14">
        <f t="shared" si="26"/>
        <v>2.0743993441286217</v>
      </c>
      <c r="E116" s="8"/>
      <c r="F116" s="8"/>
    </row>
    <row r="117" spans="1:6" x14ac:dyDescent="0.25">
      <c r="A117" s="14">
        <f t="shared" si="23"/>
        <v>588.0625</v>
      </c>
      <c r="B117" s="14">
        <f t="shared" si="24"/>
        <v>102.71491666666664</v>
      </c>
      <c r="C117" s="14">
        <f t="shared" si="25"/>
        <v>53.823769839011526</v>
      </c>
      <c r="D117" s="14">
        <f t="shared" si="26"/>
        <v>2.027077395603091</v>
      </c>
      <c r="E117" s="8"/>
      <c r="F117" s="8"/>
    </row>
    <row r="119" spans="1:6" x14ac:dyDescent="0.25">
      <c r="A119" s="22" t="s">
        <v>35</v>
      </c>
    </row>
    <row r="120" spans="1:6" x14ac:dyDescent="0.25">
      <c r="A120" s="21" t="s">
        <v>0</v>
      </c>
      <c r="B120" s="21" t="s">
        <v>50</v>
      </c>
      <c r="C120" s="21" t="s">
        <v>51</v>
      </c>
      <c r="D120" s="21" t="s">
        <v>52</v>
      </c>
      <c r="E120" s="20" t="s">
        <v>62</v>
      </c>
      <c r="F120" s="20" t="s">
        <v>63</v>
      </c>
    </row>
    <row r="121" spans="1:6" x14ac:dyDescent="0.25">
      <c r="A121" s="14">
        <f>(A108/$D$10)*$G$10</f>
        <v>57.0420625</v>
      </c>
      <c r="B121" s="14">
        <f>0.262*A121*$F$24</f>
        <v>9.9633469166666639</v>
      </c>
      <c r="C121" s="14">
        <f>(($F$21*$F$20*$F$22)/$F$23)*((150/(200+B121))+0.25)</f>
        <v>69.627242358391157</v>
      </c>
      <c r="D121" s="14">
        <f>((C121*$F$24)/2)/8.8508</f>
        <v>2.6222579638146137</v>
      </c>
      <c r="E121" s="14"/>
      <c r="F121" s="14"/>
    </row>
    <row r="122" spans="1:6" x14ac:dyDescent="0.25">
      <c r="A122" s="14">
        <f t="shared" ref="A122:A130" si="27">(A109/$D$10)*$G$10</f>
        <v>114.084125</v>
      </c>
      <c r="B122" s="14">
        <f t="shared" ref="B122:B130" si="28">0.262*A122*$F$24</f>
        <v>19.926693833333328</v>
      </c>
      <c r="C122" s="14">
        <f t="shared" ref="C122:C130" si="29">(($F$21*$F$20*$F$22)/$F$23)*((150/(200+B122))+0.25)</f>
        <v>67.290599243218111</v>
      </c>
      <c r="D122" s="14">
        <f t="shared" ref="D122:D130" si="30">((C122*$F$24)/2)/8.8508</f>
        <v>2.5342567618451852</v>
      </c>
      <c r="E122" s="14"/>
      <c r="F122" s="14"/>
    </row>
    <row r="123" spans="1:6" x14ac:dyDescent="0.25">
      <c r="A123" s="14">
        <f t="shared" si="27"/>
        <v>171.12618749999999</v>
      </c>
      <c r="B123" s="14">
        <f t="shared" si="28"/>
        <v>29.89004074999999</v>
      </c>
      <c r="C123" s="14">
        <f t="shared" si="29"/>
        <v>65.156494575565077</v>
      </c>
      <c r="D123" s="14">
        <f t="shared" si="30"/>
        <v>2.4538834371117138</v>
      </c>
      <c r="E123" s="14"/>
      <c r="F123" s="14"/>
    </row>
    <row r="124" spans="1:6" x14ac:dyDescent="0.25">
      <c r="A124" s="14">
        <f t="shared" si="27"/>
        <v>228.16825</v>
      </c>
      <c r="B124" s="14">
        <f t="shared" si="28"/>
        <v>39.853387666666656</v>
      </c>
      <c r="C124" s="14">
        <f t="shared" si="29"/>
        <v>63.199688426537556</v>
      </c>
      <c r="D124" s="14">
        <f t="shared" si="30"/>
        <v>2.3801874190859413</v>
      </c>
      <c r="E124" s="14"/>
      <c r="F124" s="14"/>
    </row>
    <row r="125" spans="1:6" x14ac:dyDescent="0.25">
      <c r="A125" s="14">
        <f t="shared" si="27"/>
        <v>285.21031249999999</v>
      </c>
      <c r="B125" s="14">
        <f t="shared" si="28"/>
        <v>49.816734583333314</v>
      </c>
      <c r="C125" s="14">
        <f t="shared" si="29"/>
        <v>61.398967405625612</v>
      </c>
      <c r="D125" s="14">
        <f t="shared" si="30"/>
        <v>2.312369782227806</v>
      </c>
      <c r="E125" s="14"/>
      <c r="F125" s="14"/>
    </row>
    <row r="126" spans="1:6" x14ac:dyDescent="0.25">
      <c r="A126" s="14">
        <f t="shared" si="27"/>
        <v>342.25237499999997</v>
      </c>
      <c r="B126" s="14">
        <f t="shared" si="28"/>
        <v>59.78008149999998</v>
      </c>
      <c r="C126" s="14">
        <f t="shared" si="29"/>
        <v>59.736372511458143</v>
      </c>
      <c r="D126" s="14">
        <f t="shared" si="30"/>
        <v>2.2497541657800473</v>
      </c>
      <c r="E126" s="8"/>
      <c r="F126" s="8"/>
    </row>
    <row r="127" spans="1:6" x14ac:dyDescent="0.25">
      <c r="A127" s="14">
        <f t="shared" si="27"/>
        <v>399.29443750000002</v>
      </c>
      <c r="B127" s="14">
        <f t="shared" si="28"/>
        <v>69.74342841666666</v>
      </c>
      <c r="C127" s="14">
        <f t="shared" si="29"/>
        <v>58.196598104964472</v>
      </c>
      <c r="D127" s="14">
        <f t="shared" si="30"/>
        <v>2.1917641382686486</v>
      </c>
      <c r="E127" s="8"/>
      <c r="F127" s="8"/>
    </row>
    <row r="128" spans="1:6" x14ac:dyDescent="0.25">
      <c r="A128" s="14">
        <f t="shared" si="27"/>
        <v>456.3365</v>
      </c>
      <c r="B128" s="14">
        <f t="shared" si="28"/>
        <v>79.706775333333312</v>
      </c>
      <c r="C128" s="14">
        <f t="shared" si="29"/>
        <v>56.766519336461833</v>
      </c>
      <c r="D128" s="14">
        <f t="shared" si="30"/>
        <v>2.1379053997552697</v>
      </c>
      <c r="E128" s="8"/>
      <c r="F128" s="8"/>
    </row>
    <row r="129" spans="1:6" x14ac:dyDescent="0.25">
      <c r="A129" s="14">
        <f t="shared" si="27"/>
        <v>513.37856250000004</v>
      </c>
      <c r="B129" s="14">
        <f t="shared" si="28"/>
        <v>89.670122250000006</v>
      </c>
      <c r="C129" s="14">
        <f t="shared" si="29"/>
        <v>55.43481709901512</v>
      </c>
      <c r="D129" s="14">
        <f t="shared" si="30"/>
        <v>2.0877516570635843</v>
      </c>
      <c r="E129" s="8"/>
      <c r="F129" s="8"/>
    </row>
    <row r="130" spans="1:6" x14ac:dyDescent="0.25">
      <c r="A130" s="14">
        <f t="shared" si="27"/>
        <v>570.42062499999997</v>
      </c>
      <c r="B130" s="14">
        <f t="shared" si="28"/>
        <v>99.633469166666629</v>
      </c>
      <c r="C130" s="14">
        <f t="shared" si="29"/>
        <v>54.191677807612365</v>
      </c>
      <c r="D130" s="14">
        <f t="shared" si="30"/>
        <v>2.0409333170490185</v>
      </c>
      <c r="E130" s="8"/>
      <c r="F130" s="8"/>
    </row>
  </sheetData>
  <mergeCells count="23">
    <mergeCell ref="E4:F4"/>
    <mergeCell ref="H4:I4"/>
    <mergeCell ref="I8:I9"/>
    <mergeCell ref="E8:E9"/>
    <mergeCell ref="F8:F9"/>
    <mergeCell ref="G8:G9"/>
    <mergeCell ref="H8:H9"/>
    <mergeCell ref="E6:E7"/>
    <mergeCell ref="F6:F7"/>
    <mergeCell ref="G6:G7"/>
    <mergeCell ref="H6:H7"/>
    <mergeCell ref="A13:B14"/>
    <mergeCell ref="A6:B6"/>
    <mergeCell ref="A8:B8"/>
    <mergeCell ref="I6:I7"/>
    <mergeCell ref="D8:D9"/>
    <mergeCell ref="D6:D7"/>
    <mergeCell ref="I10:I11"/>
    <mergeCell ref="D10:D11"/>
    <mergeCell ref="E10:E11"/>
    <mergeCell ref="F10:F11"/>
    <mergeCell ref="G10:G11"/>
    <mergeCell ref="H10:H1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1F251-1EB5-4D70-A22A-9FE37608F566}">
  <dimension ref="A6:F23"/>
  <sheetViews>
    <sheetView workbookViewId="0">
      <selection activeCell="B11" sqref="B11"/>
    </sheetView>
  </sheetViews>
  <sheetFormatPr defaultRowHeight="15" x14ac:dyDescent="0.25"/>
  <cols>
    <col min="1" max="1" width="20.28515625" bestFit="1" customWidth="1"/>
  </cols>
  <sheetData>
    <row r="6" spans="1:6" x14ac:dyDescent="0.25">
      <c r="A6" s="15" t="s">
        <v>46</v>
      </c>
      <c r="B6" s="15" t="s">
        <v>21</v>
      </c>
      <c r="C6" s="15" t="s">
        <v>22</v>
      </c>
      <c r="D6" s="15" t="s">
        <v>23</v>
      </c>
      <c r="E6" s="15" t="s">
        <v>34</v>
      </c>
      <c r="F6" s="15" t="s">
        <v>35</v>
      </c>
    </row>
    <row r="7" spans="1:6" x14ac:dyDescent="0.25">
      <c r="A7" s="20" t="s">
        <v>1</v>
      </c>
      <c r="B7">
        <v>12</v>
      </c>
      <c r="C7">
        <v>12</v>
      </c>
      <c r="D7">
        <f>2*C7+B7</f>
        <v>36</v>
      </c>
      <c r="E7">
        <v>20</v>
      </c>
      <c r="F7">
        <v>20</v>
      </c>
    </row>
    <row r="8" spans="1:6" x14ac:dyDescent="0.25">
      <c r="A8" s="20" t="s">
        <v>30</v>
      </c>
      <c r="B8">
        <f>B9+2*B11</f>
        <v>17.78</v>
      </c>
      <c r="C8" s="8">
        <f t="shared" ref="C8:F8" si="0">C9+2*C11</f>
        <v>17.78</v>
      </c>
      <c r="D8" s="8">
        <f t="shared" si="0"/>
        <v>48.26</v>
      </c>
      <c r="E8" s="8">
        <f t="shared" si="0"/>
        <v>18.626666666666662</v>
      </c>
      <c r="F8" s="8">
        <f t="shared" si="0"/>
        <v>18.626666666666662</v>
      </c>
    </row>
    <row r="9" spans="1:6" x14ac:dyDescent="0.25">
      <c r="A9" s="20" t="s">
        <v>41</v>
      </c>
      <c r="B9">
        <f>B7*B11</f>
        <v>15.24</v>
      </c>
      <c r="C9" s="8">
        <f t="shared" ref="C9:F9" si="1">C7*C11</f>
        <v>15.24</v>
      </c>
      <c r="D9" s="8">
        <f t="shared" si="1"/>
        <v>45.72</v>
      </c>
      <c r="E9" s="8">
        <f t="shared" si="1"/>
        <v>16.93333333333333</v>
      </c>
      <c r="F9" s="8">
        <f t="shared" si="1"/>
        <v>16.93333333333333</v>
      </c>
    </row>
    <row r="10" spans="1:6" x14ac:dyDescent="0.25">
      <c r="A10" s="20" t="s">
        <v>31</v>
      </c>
      <c r="B10">
        <f>B9-2*B20</f>
        <v>12.27582</v>
      </c>
      <c r="C10" s="8">
        <f t="shared" ref="C10:F10" si="2">C9-2*C20</f>
        <v>12.27582</v>
      </c>
      <c r="D10" s="8">
        <f t="shared" si="2"/>
        <v>42.75582</v>
      </c>
      <c r="E10" s="8">
        <f t="shared" si="2"/>
        <v>14.95721333333333</v>
      </c>
      <c r="F10" s="8">
        <f t="shared" si="2"/>
        <v>14.95721333333333</v>
      </c>
    </row>
    <row r="11" spans="1:6" x14ac:dyDescent="0.25">
      <c r="A11" s="20" t="s">
        <v>17</v>
      </c>
      <c r="B11">
        <f>25.4/B12</f>
        <v>1.27</v>
      </c>
      <c r="C11" s="8">
        <f t="shared" ref="C11:F11" si="3">25.4/C12</f>
        <v>1.27</v>
      </c>
      <c r="D11" s="8">
        <f t="shared" si="3"/>
        <v>1.27</v>
      </c>
      <c r="E11" s="8">
        <f t="shared" si="3"/>
        <v>0.84666666666666657</v>
      </c>
      <c r="F11" s="8">
        <f t="shared" si="3"/>
        <v>0.84666666666666657</v>
      </c>
    </row>
    <row r="12" spans="1:6" x14ac:dyDescent="0.25">
      <c r="A12" s="20" t="s">
        <v>29</v>
      </c>
      <c r="B12">
        <v>20</v>
      </c>
      <c r="C12">
        <v>20</v>
      </c>
      <c r="D12">
        <v>20</v>
      </c>
      <c r="E12">
        <v>30</v>
      </c>
      <c r="F12">
        <v>30</v>
      </c>
    </row>
    <row r="13" spans="1:6" x14ac:dyDescent="0.25">
      <c r="A13" s="20" t="s">
        <v>32</v>
      </c>
      <c r="B13">
        <v>0</v>
      </c>
      <c r="C13">
        <v>0</v>
      </c>
      <c r="D13">
        <v>0</v>
      </c>
      <c r="E13">
        <v>45</v>
      </c>
      <c r="F13">
        <v>45</v>
      </c>
    </row>
    <row r="14" spans="1:6" x14ac:dyDescent="0.25">
      <c r="A14" s="20" t="s">
        <v>33</v>
      </c>
      <c r="B14">
        <v>20</v>
      </c>
      <c r="C14" s="8">
        <v>20</v>
      </c>
      <c r="D14" s="8">
        <v>20</v>
      </c>
      <c r="E14" s="8">
        <v>20</v>
      </c>
      <c r="F14" s="8">
        <v>20</v>
      </c>
    </row>
    <row r="15" spans="1:6" x14ac:dyDescent="0.25">
      <c r="A15" s="20" t="s">
        <v>47</v>
      </c>
      <c r="B15">
        <f>(10/B12)*25.4</f>
        <v>12.7</v>
      </c>
      <c r="C15" s="8">
        <f t="shared" ref="C15:F15" si="4">(10/C12)*25.4</f>
        <v>12.7</v>
      </c>
      <c r="D15" s="8">
        <f t="shared" si="4"/>
        <v>12.7</v>
      </c>
      <c r="E15" s="8">
        <f>((10/E12)*25.4)*2</f>
        <v>16.93333333333333</v>
      </c>
      <c r="F15" s="8">
        <f>((10/F12)*25.4)*2</f>
        <v>16.93333333333333</v>
      </c>
    </row>
    <row r="16" spans="1:6" x14ac:dyDescent="0.25">
      <c r="A16" s="20"/>
    </row>
    <row r="17" spans="1:6" x14ac:dyDescent="0.25">
      <c r="A17" s="20" t="s">
        <v>43</v>
      </c>
      <c r="B17">
        <f>PI()*B11</f>
        <v>3.9898226700590373</v>
      </c>
      <c r="C17" s="8">
        <f t="shared" ref="C17:F17" si="5">PI()*C11</f>
        <v>3.9898226700590373</v>
      </c>
      <c r="D17" s="8">
        <f t="shared" si="5"/>
        <v>3.9898226700590373</v>
      </c>
      <c r="E17" s="8">
        <f t="shared" si="5"/>
        <v>2.6598817800393579</v>
      </c>
      <c r="F17" s="8">
        <f t="shared" si="5"/>
        <v>2.6598817800393579</v>
      </c>
    </row>
    <row r="18" spans="1:6" x14ac:dyDescent="0.25">
      <c r="A18" s="20" t="s">
        <v>38</v>
      </c>
      <c r="B18">
        <f>2.167*B11</f>
        <v>2.7520899999999999</v>
      </c>
      <c r="C18" s="8">
        <f t="shared" ref="C18:F18" si="6">2.167*C11</f>
        <v>2.7520899999999999</v>
      </c>
      <c r="D18" s="8">
        <f t="shared" si="6"/>
        <v>2.7520899999999999</v>
      </c>
      <c r="E18" s="8">
        <f t="shared" si="6"/>
        <v>1.8347266666666664</v>
      </c>
      <c r="F18" s="8">
        <f t="shared" si="6"/>
        <v>1.8347266666666664</v>
      </c>
    </row>
    <row r="19" spans="1:6" x14ac:dyDescent="0.25">
      <c r="A19" s="20" t="s">
        <v>45</v>
      </c>
      <c r="B19">
        <f>B11</f>
        <v>1.27</v>
      </c>
      <c r="C19" s="8">
        <f t="shared" ref="C19:F19" si="7">C11</f>
        <v>1.27</v>
      </c>
      <c r="D19" s="8">
        <f t="shared" si="7"/>
        <v>1.27</v>
      </c>
      <c r="E19" s="8">
        <f t="shared" si="7"/>
        <v>0.84666666666666657</v>
      </c>
      <c r="F19" s="8">
        <f t="shared" si="7"/>
        <v>0.84666666666666657</v>
      </c>
    </row>
    <row r="20" spans="1:6" x14ac:dyDescent="0.25">
      <c r="A20" s="20" t="s">
        <v>44</v>
      </c>
      <c r="B20">
        <f>1.167*B11</f>
        <v>1.4820900000000001</v>
      </c>
      <c r="C20" s="8">
        <f t="shared" ref="C20:F20" si="8">1.167*C11</f>
        <v>1.4820900000000001</v>
      </c>
      <c r="D20" s="8">
        <f t="shared" si="8"/>
        <v>1.4820900000000001</v>
      </c>
      <c r="E20" s="8">
        <f t="shared" si="8"/>
        <v>0.98805999999999994</v>
      </c>
      <c r="F20" s="8">
        <f t="shared" si="8"/>
        <v>0.98805999999999994</v>
      </c>
    </row>
    <row r="21" spans="1:6" x14ac:dyDescent="0.25">
      <c r="A21" s="20" t="s">
        <v>42</v>
      </c>
      <c r="B21">
        <f>0.3*B11</f>
        <v>0.38100000000000001</v>
      </c>
      <c r="C21" s="8">
        <f t="shared" ref="C21:F21" si="9">0.3*C11</f>
        <v>0.38100000000000001</v>
      </c>
      <c r="D21" s="8">
        <f t="shared" si="9"/>
        <v>0.38100000000000001</v>
      </c>
      <c r="E21" s="8">
        <f t="shared" si="9"/>
        <v>0.25399999999999995</v>
      </c>
      <c r="F21" s="8">
        <f t="shared" si="9"/>
        <v>0.25399999999999995</v>
      </c>
    </row>
    <row r="22" spans="1:6" x14ac:dyDescent="0.25">
      <c r="A22" s="20" t="s">
        <v>39</v>
      </c>
      <c r="B22">
        <f>0.5*B17</f>
        <v>1.9949113350295187</v>
      </c>
      <c r="C22" s="8">
        <f t="shared" ref="C22:F22" si="10">0.5*C17</f>
        <v>1.9949113350295187</v>
      </c>
      <c r="D22" s="8">
        <f t="shared" si="10"/>
        <v>1.9949113350295187</v>
      </c>
      <c r="E22" s="8">
        <f t="shared" si="10"/>
        <v>1.329940890019679</v>
      </c>
      <c r="F22" s="8">
        <f t="shared" si="10"/>
        <v>1.329940890019679</v>
      </c>
    </row>
    <row r="23" spans="1:6" x14ac:dyDescent="0.25">
      <c r="A23" s="20" t="s">
        <v>40</v>
      </c>
      <c r="B23">
        <f>0.5*B17</f>
        <v>1.9949113350295187</v>
      </c>
      <c r="C23" s="8">
        <f t="shared" ref="C23:F23" si="11">0.5*C17</f>
        <v>1.9949113350295187</v>
      </c>
      <c r="D23" s="8">
        <f t="shared" si="11"/>
        <v>1.9949113350295187</v>
      </c>
      <c r="E23" s="8">
        <f t="shared" si="11"/>
        <v>1.329940890019679</v>
      </c>
      <c r="F23" s="8">
        <f t="shared" si="11"/>
        <v>1.329940890019679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9BEFE-1501-4C59-9FF1-8FE9AB1EB17E}">
  <dimension ref="A6:O94"/>
  <sheetViews>
    <sheetView tabSelected="1" topLeftCell="A7" workbookViewId="0">
      <selection activeCell="G25" sqref="G25"/>
    </sheetView>
  </sheetViews>
  <sheetFormatPr defaultRowHeight="15" x14ac:dyDescent="0.25"/>
  <cols>
    <col min="1" max="1" width="23.7109375" bestFit="1" customWidth="1"/>
    <col min="2" max="2" width="14.7109375" bestFit="1" customWidth="1"/>
    <col min="3" max="4" width="17.42578125" bestFit="1" customWidth="1"/>
    <col min="5" max="5" width="16.85546875" bestFit="1" customWidth="1"/>
    <col min="6" max="6" width="16" bestFit="1" customWidth="1"/>
    <col min="7" max="7" width="17.7109375" bestFit="1" customWidth="1"/>
  </cols>
  <sheetData>
    <row r="6" spans="1:9" x14ac:dyDescent="0.25">
      <c r="A6" s="1"/>
      <c r="B6" s="9"/>
      <c r="C6" s="9"/>
      <c r="D6" s="1"/>
      <c r="E6" s="12" t="s">
        <v>8</v>
      </c>
      <c r="F6" s="13"/>
      <c r="G6" s="9"/>
      <c r="H6" s="12" t="s">
        <v>6</v>
      </c>
      <c r="I6" s="13"/>
    </row>
    <row r="7" spans="1:9" x14ac:dyDescent="0.25">
      <c r="A7" s="1"/>
      <c r="B7" s="9"/>
      <c r="C7" s="9"/>
      <c r="D7" s="1" t="s">
        <v>3</v>
      </c>
      <c r="E7" s="9" t="s">
        <v>15</v>
      </c>
      <c r="F7" s="9" t="s">
        <v>0</v>
      </c>
      <c r="G7" s="9" t="s">
        <v>16</v>
      </c>
      <c r="H7" s="9" t="s">
        <v>11</v>
      </c>
      <c r="I7" s="2" t="s">
        <v>0</v>
      </c>
    </row>
    <row r="8" spans="1:9" x14ac:dyDescent="0.25">
      <c r="A8" s="1" t="s">
        <v>26</v>
      </c>
      <c r="B8" s="9" t="s">
        <v>18</v>
      </c>
      <c r="C8" s="9"/>
      <c r="D8" s="30">
        <f>B9</f>
        <v>25</v>
      </c>
      <c r="E8" s="30">
        <f>A9*0.04</f>
        <v>0.08</v>
      </c>
      <c r="F8" s="30">
        <v>5000</v>
      </c>
      <c r="G8" s="30">
        <f>(-0.139*D8+90.695)/100</f>
        <v>0.87219999999999998</v>
      </c>
      <c r="H8" s="30">
        <f>G8*E8*D8</f>
        <v>1.7444000000000002</v>
      </c>
      <c r="I8" s="30">
        <f>(F8/D8)*G8</f>
        <v>174.44</v>
      </c>
    </row>
    <row r="9" spans="1:9" x14ac:dyDescent="0.25">
      <c r="A9" s="1">
        <v>2</v>
      </c>
      <c r="B9" s="9">
        <f>'Componentes codo'!C6</f>
        <v>25</v>
      </c>
      <c r="C9" s="9"/>
      <c r="D9" s="31"/>
      <c r="E9" s="31"/>
      <c r="F9" s="31"/>
      <c r="G9" s="31"/>
      <c r="H9" s="31"/>
      <c r="I9" s="31"/>
    </row>
    <row r="10" spans="1:9" x14ac:dyDescent="0.25">
      <c r="A10" s="32" t="s">
        <v>72</v>
      </c>
      <c r="B10" s="32"/>
      <c r="C10" s="32"/>
      <c r="D10" s="24">
        <f>C12/B12</f>
        <v>3</v>
      </c>
      <c r="E10" s="24">
        <f>H8</f>
        <v>1.7444000000000002</v>
      </c>
      <c r="F10" s="24">
        <f>I8</f>
        <v>174.44</v>
      </c>
      <c r="G10" s="24">
        <v>0.97</v>
      </c>
      <c r="H10" s="24">
        <f>E10*D10*G10</f>
        <v>5.0762039999999997</v>
      </c>
      <c r="I10" s="24">
        <f>(F10/D10)*G10</f>
        <v>56.402266666666669</v>
      </c>
    </row>
    <row r="11" spans="1:9" x14ac:dyDescent="0.25">
      <c r="A11" s="10" t="s">
        <v>69</v>
      </c>
      <c r="B11" s="10" t="s">
        <v>70</v>
      </c>
      <c r="C11" s="10" t="s">
        <v>18</v>
      </c>
      <c r="D11" s="24"/>
      <c r="E11" s="24"/>
      <c r="F11" s="24"/>
      <c r="G11" s="24"/>
      <c r="H11" s="24"/>
      <c r="I11" s="24"/>
    </row>
    <row r="12" spans="1:9" x14ac:dyDescent="0.25">
      <c r="A12" s="9">
        <f>'Componentes codo'!D6</f>
        <v>10</v>
      </c>
      <c r="B12" s="9">
        <f>'Componentes codo'!E6</f>
        <v>10</v>
      </c>
      <c r="C12" s="9">
        <f>'Componentes codo'!F6</f>
        <v>30</v>
      </c>
      <c r="D12" s="24"/>
      <c r="E12" s="24"/>
      <c r="F12" s="24"/>
      <c r="G12" s="24"/>
      <c r="H12" s="24"/>
      <c r="I12" s="24"/>
    </row>
    <row r="13" spans="1:9" x14ac:dyDescent="0.25">
      <c r="G13" s="7"/>
      <c r="H13" s="7"/>
      <c r="I13" s="5"/>
    </row>
    <row r="14" spans="1:9" x14ac:dyDescent="0.25">
      <c r="G14" s="7"/>
      <c r="H14" s="7"/>
      <c r="I14" s="5"/>
    </row>
    <row r="16" spans="1:9" x14ac:dyDescent="0.25">
      <c r="A16" s="24" t="s">
        <v>14</v>
      </c>
      <c r="B16" s="24"/>
      <c r="C16" s="1" t="s">
        <v>15</v>
      </c>
      <c r="D16" s="9" t="s">
        <v>0</v>
      </c>
      <c r="E16" s="9" t="s">
        <v>27</v>
      </c>
      <c r="F16" s="9" t="s">
        <v>28</v>
      </c>
    </row>
    <row r="17" spans="1:15" x14ac:dyDescent="0.25">
      <c r="A17" s="24"/>
      <c r="B17" s="24"/>
      <c r="C17" s="1">
        <f>H8</f>
        <v>1.7444000000000002</v>
      </c>
      <c r="D17" s="9">
        <f>I8</f>
        <v>174.44</v>
      </c>
      <c r="E17" s="9">
        <f>2.5*D17</f>
        <v>436.1</v>
      </c>
      <c r="F17" s="10">
        <f>E17/60</f>
        <v>7.2683333333333335</v>
      </c>
      <c r="G17" s="11"/>
      <c r="H17" s="11"/>
    </row>
    <row r="18" spans="1:15" x14ac:dyDescent="0.25">
      <c r="A18" s="33"/>
      <c r="B18" s="33"/>
      <c r="C18" s="33"/>
      <c r="D18" s="33"/>
      <c r="E18" s="33"/>
      <c r="F18" s="33"/>
      <c r="G18" s="11"/>
      <c r="H18" s="11"/>
    </row>
    <row r="19" spans="1:15" x14ac:dyDescent="0.25">
      <c r="A19" s="14"/>
      <c r="B19" s="14"/>
      <c r="C19" s="14"/>
      <c r="D19" s="14"/>
      <c r="E19" s="14"/>
      <c r="F19" s="14"/>
      <c r="G19" s="11"/>
      <c r="H19" s="11"/>
    </row>
    <row r="20" spans="1:15" x14ac:dyDescent="0.25">
      <c r="A20" s="14"/>
      <c r="B20" s="9" t="s">
        <v>53</v>
      </c>
      <c r="C20" s="9" t="s">
        <v>54</v>
      </c>
      <c r="D20" s="14"/>
      <c r="E20" s="14"/>
      <c r="F20" s="14"/>
      <c r="G20" s="11"/>
      <c r="H20" s="11"/>
    </row>
    <row r="21" spans="1:15" x14ac:dyDescent="0.25">
      <c r="A21" s="14"/>
      <c r="B21" s="9" t="s">
        <v>55</v>
      </c>
      <c r="C21" s="9">
        <v>70</v>
      </c>
      <c r="D21" s="14"/>
      <c r="E21" s="14"/>
      <c r="F21" s="14"/>
      <c r="G21" s="11"/>
      <c r="H21" s="11"/>
    </row>
    <row r="22" spans="1:15" x14ac:dyDescent="0.25">
      <c r="A22" s="14"/>
      <c r="D22" s="14"/>
      <c r="E22" s="14"/>
      <c r="F22" s="14"/>
      <c r="G22" s="11"/>
      <c r="H22" s="11"/>
    </row>
    <row r="23" spans="1:15" x14ac:dyDescent="0.25">
      <c r="A23" s="15"/>
      <c r="B23" s="15" t="s">
        <v>5</v>
      </c>
      <c r="C23" s="15" t="s">
        <v>67</v>
      </c>
      <c r="D23" s="15" t="s">
        <v>20</v>
      </c>
      <c r="E23" s="15" t="s">
        <v>19</v>
      </c>
      <c r="F23" s="15" t="s">
        <v>68</v>
      </c>
      <c r="N23" s="7"/>
      <c r="O23" s="5"/>
    </row>
    <row r="24" spans="1:15" x14ac:dyDescent="0.25">
      <c r="A24" s="8" t="s">
        <v>58</v>
      </c>
      <c r="B24" s="17">
        <f>('Componentes codo'!B14)/25.4</f>
        <v>0.83333333333333348</v>
      </c>
      <c r="C24" s="17">
        <f>('Componentes codo'!C14)/25.4</f>
        <v>0.83333333333333348</v>
      </c>
      <c r="D24" s="17">
        <f>('Componentes codo'!D14)/25.4</f>
        <v>0.5</v>
      </c>
      <c r="E24" s="17">
        <f>('Componentes codo'!E14)/25.4</f>
        <v>0.5</v>
      </c>
      <c r="F24" s="17">
        <f>('Componentes codo'!F14)/25.4</f>
        <v>0.5</v>
      </c>
      <c r="N24" s="7"/>
      <c r="O24" s="5"/>
    </row>
    <row r="25" spans="1:15" x14ac:dyDescent="0.25">
      <c r="A25" s="8" t="s">
        <v>56</v>
      </c>
      <c r="B25" s="34">
        <f>$C$21*145.038</f>
        <v>10152.66</v>
      </c>
      <c r="C25" s="34">
        <f t="shared" ref="C25:F25" si="0">$C$21*145.038</f>
        <v>10152.66</v>
      </c>
      <c r="D25" s="34">
        <f t="shared" si="0"/>
        <v>10152.66</v>
      </c>
      <c r="E25" s="34">
        <f t="shared" si="0"/>
        <v>10152.66</v>
      </c>
      <c r="F25" s="34">
        <f t="shared" si="0"/>
        <v>10152.66</v>
      </c>
      <c r="N25" s="5"/>
      <c r="O25" s="5"/>
    </row>
    <row r="26" spans="1:15" x14ac:dyDescent="0.25">
      <c r="A26" s="8" t="s">
        <v>49</v>
      </c>
      <c r="B26" s="34">
        <v>0.1</v>
      </c>
      <c r="C26" s="17">
        <v>0.33700000000000002</v>
      </c>
      <c r="D26" s="17">
        <v>0.20100000000000001</v>
      </c>
      <c r="E26" s="17">
        <v>0.20100000000000001</v>
      </c>
      <c r="F26" s="17">
        <v>0.35799999999999998</v>
      </c>
      <c r="N26" s="5"/>
      <c r="O26" s="5"/>
    </row>
    <row r="27" spans="1:15" x14ac:dyDescent="0.25">
      <c r="A27" s="8" t="s">
        <v>29</v>
      </c>
      <c r="B27" s="35">
        <f>'Componentes codo'!B11</f>
        <v>12</v>
      </c>
      <c r="C27" s="35">
        <f>'Componentes codo'!C11</f>
        <v>12</v>
      </c>
      <c r="D27" s="35">
        <f>'Componentes codo'!D11</f>
        <v>20</v>
      </c>
      <c r="E27" s="35">
        <f>'Componentes codo'!E11</f>
        <v>20</v>
      </c>
      <c r="F27" s="35">
        <f>'Componentes codo'!F11</f>
        <v>20</v>
      </c>
      <c r="N27" s="5"/>
      <c r="O27" s="5"/>
    </row>
    <row r="28" spans="1:15" x14ac:dyDescent="0.25">
      <c r="A28" s="8" t="s">
        <v>57</v>
      </c>
      <c r="B28" s="34">
        <f>('Componentes codo'!B8)/25.4</f>
        <v>8.3333333333333343E-2</v>
      </c>
      <c r="C28" s="34">
        <f>('Componentes codo'!C8)/25.4</f>
        <v>2.0833333333333335</v>
      </c>
      <c r="D28" s="34">
        <f>('Componentes codo'!D8)/25.4</f>
        <v>0.5</v>
      </c>
      <c r="E28" s="34">
        <f>('Componentes codo'!E8)/25.4</f>
        <v>0.5</v>
      </c>
      <c r="F28" s="34">
        <f>('Componentes codo'!F8)/25.4</f>
        <v>1.5000000000000002</v>
      </c>
      <c r="N28" s="5"/>
      <c r="O28" s="5"/>
    </row>
    <row r="29" spans="1:15" x14ac:dyDescent="0.25">
      <c r="A29" s="8" t="s">
        <v>1</v>
      </c>
      <c r="B29" s="35">
        <f>'Componentes codo'!B6</f>
        <v>1</v>
      </c>
      <c r="C29" s="35">
        <v>24</v>
      </c>
      <c r="D29" s="35">
        <f>'Componentes codo'!D6</f>
        <v>10</v>
      </c>
      <c r="E29" s="35">
        <f>'Componentes codo'!E6</f>
        <v>10</v>
      </c>
      <c r="F29" s="35">
        <f>'Componentes codo'!F6</f>
        <v>30</v>
      </c>
    </row>
    <row r="30" spans="1:15" x14ac:dyDescent="0.25">
      <c r="B30" s="11"/>
      <c r="C30" s="11"/>
      <c r="D30" s="11"/>
      <c r="E30" s="11"/>
    </row>
    <row r="31" spans="1:15" x14ac:dyDescent="0.25">
      <c r="A31" s="23" t="s">
        <v>5</v>
      </c>
      <c r="B31" s="14"/>
      <c r="C31" s="14"/>
      <c r="D31" s="14"/>
      <c r="E31" s="14"/>
      <c r="F31" s="14"/>
    </row>
    <row r="32" spans="1:15" x14ac:dyDescent="0.25">
      <c r="A32" s="21" t="s">
        <v>0</v>
      </c>
      <c r="B32" s="21" t="s">
        <v>50</v>
      </c>
      <c r="C32" s="21" t="s">
        <v>51</v>
      </c>
      <c r="D32" s="21" t="s">
        <v>52</v>
      </c>
      <c r="E32" s="20" t="s">
        <v>62</v>
      </c>
      <c r="F32" s="20" t="s">
        <v>63</v>
      </c>
    </row>
    <row r="33" spans="1:6" x14ac:dyDescent="0.25">
      <c r="A33" s="14">
        <v>1000</v>
      </c>
      <c r="B33" s="14">
        <f>0.262*A33*$B$28</f>
        <v>21.833333333333336</v>
      </c>
      <c r="C33" s="14">
        <f>(($B$25*$B$24*$B$26)/$B$27)*((150/(200+B33))+0.25)</f>
        <v>65.300169124092164</v>
      </c>
      <c r="D33" s="14">
        <f>((C33*$B$28)/2)/8.8508</f>
        <v>0.30741180234221843</v>
      </c>
      <c r="E33" s="14"/>
      <c r="F33" s="14"/>
    </row>
    <row r="34" spans="1:6" x14ac:dyDescent="0.25">
      <c r="A34" s="14">
        <v>2000</v>
      </c>
      <c r="B34" s="14">
        <f t="shared" ref="B34:B42" si="1">0.262*A34*$B$28</f>
        <v>43.666666666666671</v>
      </c>
      <c r="C34" s="14">
        <f t="shared" ref="C34:C42" si="2">(($B$25*$B$24*$B$26)/$B$27)*((150/(200+B34))+0.25)</f>
        <v>61.028420115139085</v>
      </c>
      <c r="D34" s="14">
        <f t="shared" ref="D34:D42" si="3">((C34*$B$28)/2)/8.8508</f>
        <v>0.28730180753500201</v>
      </c>
      <c r="E34" s="14"/>
      <c r="F34" s="14"/>
    </row>
    <row r="35" spans="1:6" x14ac:dyDescent="0.25">
      <c r="A35" s="14">
        <v>3000</v>
      </c>
      <c r="B35" s="14">
        <f t="shared" si="1"/>
        <v>65.500000000000014</v>
      </c>
      <c r="C35" s="14">
        <f t="shared" si="2"/>
        <v>57.459243761770253</v>
      </c>
      <c r="D35" s="14">
        <f t="shared" si="3"/>
        <v>0.27049929461070499</v>
      </c>
      <c r="E35" s="14"/>
      <c r="F35" s="14"/>
    </row>
    <row r="36" spans="1:6" x14ac:dyDescent="0.25">
      <c r="A36" s="14">
        <v>4000</v>
      </c>
      <c r="B36" s="14">
        <f t="shared" si="1"/>
        <v>87.333333333333343</v>
      </c>
      <c r="C36" s="14">
        <f t="shared" si="2"/>
        <v>54.432482840293893</v>
      </c>
      <c r="D36" s="14">
        <f t="shared" si="3"/>
        <v>0.25625029583151571</v>
      </c>
      <c r="E36" s="14"/>
      <c r="F36" s="14"/>
    </row>
    <row r="37" spans="1:6" x14ac:dyDescent="0.25">
      <c r="A37" s="14">
        <v>5000</v>
      </c>
      <c r="B37" s="14">
        <f t="shared" si="1"/>
        <v>109.16666666666669</v>
      </c>
      <c r="C37" s="14">
        <f t="shared" si="2"/>
        <v>51.833221305031458</v>
      </c>
      <c r="D37" s="14">
        <f t="shared" si="3"/>
        <v>0.24401382410361902</v>
      </c>
      <c r="E37" s="14"/>
      <c r="F37" s="14"/>
    </row>
    <row r="38" spans="1:6" x14ac:dyDescent="0.25">
      <c r="A38" s="14">
        <v>6000</v>
      </c>
      <c r="B38" s="14">
        <f t="shared" si="1"/>
        <v>131.00000000000003</v>
      </c>
      <c r="C38" s="14">
        <f t="shared" si="2"/>
        <v>49.576863355991954</v>
      </c>
      <c r="D38" s="14">
        <f t="shared" si="3"/>
        <v>0.23339163011626052</v>
      </c>
      <c r="E38" s="8"/>
      <c r="F38" s="8"/>
    </row>
    <row r="39" spans="1:6" x14ac:dyDescent="0.25">
      <c r="A39" s="14">
        <v>7000</v>
      </c>
      <c r="B39" s="14">
        <f t="shared" si="1"/>
        <v>152.83333333333334</v>
      </c>
      <c r="C39" s="14">
        <f t="shared" si="2"/>
        <v>47.599752351991818</v>
      </c>
      <c r="D39" s="14">
        <f t="shared" si="3"/>
        <v>0.22408403925818299</v>
      </c>
      <c r="E39" s="8"/>
      <c r="F39" s="8"/>
    </row>
    <row r="40" spans="1:6" x14ac:dyDescent="0.25">
      <c r="A40" s="14">
        <v>8000</v>
      </c>
      <c r="B40" s="14">
        <f t="shared" si="1"/>
        <v>174.66666666666669</v>
      </c>
      <c r="C40" s="14">
        <f t="shared" si="2"/>
        <v>45.853069765717677</v>
      </c>
      <c r="D40" s="14">
        <f t="shared" si="3"/>
        <v>0.2158612298969099</v>
      </c>
      <c r="E40" s="8"/>
      <c r="F40" s="8"/>
    </row>
    <row r="41" spans="1:6" x14ac:dyDescent="0.25">
      <c r="A41" s="14">
        <v>9000</v>
      </c>
      <c r="B41" s="14">
        <f t="shared" si="1"/>
        <v>196.50000000000003</v>
      </c>
      <c r="C41" s="14">
        <f t="shared" si="2"/>
        <v>44.298749868642297</v>
      </c>
      <c r="D41" s="14">
        <f t="shared" si="3"/>
        <v>0.20854400105377621</v>
      </c>
      <c r="E41" s="8"/>
      <c r="F41" s="8"/>
    </row>
    <row r="42" spans="1:6" x14ac:dyDescent="0.25">
      <c r="A42" s="14">
        <v>10000</v>
      </c>
      <c r="B42" s="14">
        <f t="shared" si="1"/>
        <v>218.33333333333337</v>
      </c>
      <c r="C42" s="14">
        <f t="shared" si="2"/>
        <v>42.906673721779548</v>
      </c>
      <c r="D42" s="14">
        <f t="shared" si="3"/>
        <v>0.20199056263171858</v>
      </c>
      <c r="E42" s="8"/>
      <c r="F42" s="8"/>
    </row>
    <row r="44" spans="1:6" x14ac:dyDescent="0.25">
      <c r="A44" s="23" t="s">
        <v>67</v>
      </c>
      <c r="B44" s="14"/>
      <c r="C44" s="14"/>
      <c r="D44" s="14"/>
      <c r="E44" s="14"/>
      <c r="F44" s="14"/>
    </row>
    <row r="45" spans="1:6" x14ac:dyDescent="0.25">
      <c r="A45" s="21" t="s">
        <v>0</v>
      </c>
      <c r="B45" s="21" t="s">
        <v>50</v>
      </c>
      <c r="C45" s="21" t="s">
        <v>51</v>
      </c>
      <c r="D45" s="21" t="s">
        <v>52</v>
      </c>
      <c r="E45" s="20" t="s">
        <v>62</v>
      </c>
      <c r="F45" s="20" t="s">
        <v>63</v>
      </c>
    </row>
    <row r="46" spans="1:6" x14ac:dyDescent="0.25">
      <c r="A46" s="14">
        <f>(A33/$D$8)*$G$8</f>
        <v>34.887999999999998</v>
      </c>
      <c r="B46" s="14"/>
      <c r="C46" s="14"/>
      <c r="D46" s="14"/>
      <c r="E46" s="14"/>
      <c r="F46" s="14"/>
    </row>
    <row r="47" spans="1:6" x14ac:dyDescent="0.25">
      <c r="A47" s="14">
        <f t="shared" ref="A47:A55" si="4">(A34/$D$8)*$G$8</f>
        <v>69.775999999999996</v>
      </c>
      <c r="B47" s="14"/>
      <c r="C47" s="14"/>
      <c r="D47" s="14"/>
      <c r="E47" s="14"/>
      <c r="F47" s="14"/>
    </row>
    <row r="48" spans="1:6" x14ac:dyDescent="0.25">
      <c r="A48" s="14">
        <f t="shared" si="4"/>
        <v>104.664</v>
      </c>
      <c r="B48" s="14"/>
      <c r="C48" s="14"/>
      <c r="D48" s="14"/>
      <c r="E48" s="14"/>
      <c r="F48" s="14"/>
    </row>
    <row r="49" spans="1:6" x14ac:dyDescent="0.25">
      <c r="A49" s="14">
        <f t="shared" si="4"/>
        <v>139.55199999999999</v>
      </c>
      <c r="B49" s="14"/>
      <c r="C49" s="14"/>
      <c r="D49" s="14"/>
      <c r="E49" s="14"/>
      <c r="F49" s="14"/>
    </row>
    <row r="50" spans="1:6" x14ac:dyDescent="0.25">
      <c r="A50" s="14">
        <f t="shared" si="4"/>
        <v>174.44</v>
      </c>
      <c r="B50" s="14"/>
      <c r="C50" s="14"/>
      <c r="D50" s="14"/>
      <c r="E50" s="14"/>
      <c r="F50" s="14"/>
    </row>
    <row r="51" spans="1:6" x14ac:dyDescent="0.25">
      <c r="A51" s="14">
        <f t="shared" si="4"/>
        <v>209.328</v>
      </c>
      <c r="B51" s="8"/>
      <c r="C51" s="8"/>
      <c r="D51" s="8"/>
      <c r="E51" s="8"/>
      <c r="F51" s="8"/>
    </row>
    <row r="52" spans="1:6" x14ac:dyDescent="0.25">
      <c r="A52" s="14">
        <f t="shared" si="4"/>
        <v>244.21599999999998</v>
      </c>
      <c r="B52" s="8"/>
      <c r="C52" s="8"/>
      <c r="D52" s="8"/>
      <c r="E52" s="8"/>
      <c r="F52" s="8"/>
    </row>
    <row r="53" spans="1:6" x14ac:dyDescent="0.25">
      <c r="A53" s="14">
        <f t="shared" si="4"/>
        <v>279.10399999999998</v>
      </c>
      <c r="B53" s="8"/>
      <c r="C53" s="8"/>
      <c r="D53" s="8"/>
      <c r="E53" s="8"/>
      <c r="F53" s="8"/>
    </row>
    <row r="54" spans="1:6" x14ac:dyDescent="0.25">
      <c r="A54" s="14">
        <f t="shared" si="4"/>
        <v>313.99200000000002</v>
      </c>
      <c r="B54" s="8"/>
      <c r="C54" s="8"/>
      <c r="D54" s="8"/>
      <c r="E54" s="8"/>
      <c r="F54" s="8"/>
    </row>
    <row r="55" spans="1:6" x14ac:dyDescent="0.25">
      <c r="A55" s="14">
        <f t="shared" si="4"/>
        <v>348.88</v>
      </c>
      <c r="B55" s="8"/>
      <c r="C55" s="8"/>
      <c r="D55" s="8"/>
      <c r="E55" s="8"/>
      <c r="F55" s="8"/>
    </row>
    <row r="57" spans="1:6" x14ac:dyDescent="0.25">
      <c r="A57" s="23" t="s">
        <v>20</v>
      </c>
      <c r="B57" s="14"/>
      <c r="C57" s="14"/>
      <c r="D57" s="14"/>
      <c r="E57" s="14"/>
      <c r="F57" s="14"/>
    </row>
    <row r="58" spans="1:6" x14ac:dyDescent="0.25">
      <c r="A58" s="21" t="s">
        <v>0</v>
      </c>
      <c r="B58" s="21" t="s">
        <v>50</v>
      </c>
      <c r="C58" s="21" t="s">
        <v>51</v>
      </c>
      <c r="D58" s="21" t="s">
        <v>52</v>
      </c>
      <c r="E58" s="20" t="s">
        <v>62</v>
      </c>
      <c r="F58" s="20" t="s">
        <v>63</v>
      </c>
    </row>
    <row r="59" spans="1:6" x14ac:dyDescent="0.25">
      <c r="A59" s="14">
        <f>A46*$D$10*$G$10</f>
        <v>101.52407999999998</v>
      </c>
      <c r="B59" s="14"/>
      <c r="C59" s="14"/>
      <c r="D59" s="14"/>
      <c r="E59" s="14"/>
      <c r="F59" s="14"/>
    </row>
    <row r="60" spans="1:6" x14ac:dyDescent="0.25">
      <c r="A60" s="14">
        <f t="shared" ref="A60:A68" si="5">A47*$D$10*$G$10</f>
        <v>203.04815999999997</v>
      </c>
      <c r="B60" s="14"/>
      <c r="C60" s="14"/>
      <c r="D60" s="14"/>
      <c r="E60" s="14"/>
      <c r="F60" s="14"/>
    </row>
    <row r="61" spans="1:6" x14ac:dyDescent="0.25">
      <c r="A61" s="14">
        <f t="shared" si="5"/>
        <v>304.57224000000002</v>
      </c>
      <c r="B61" s="14"/>
      <c r="C61" s="14"/>
      <c r="D61" s="14"/>
      <c r="E61" s="14"/>
      <c r="F61" s="14"/>
    </row>
    <row r="62" spans="1:6" x14ac:dyDescent="0.25">
      <c r="A62" s="14">
        <f t="shared" si="5"/>
        <v>406.09631999999993</v>
      </c>
      <c r="B62" s="14"/>
      <c r="C62" s="14"/>
      <c r="D62" s="14"/>
      <c r="E62" s="14"/>
      <c r="F62" s="14"/>
    </row>
    <row r="63" spans="1:6" x14ac:dyDescent="0.25">
      <c r="A63" s="14">
        <f t="shared" si="5"/>
        <v>507.6203999999999</v>
      </c>
      <c r="B63" s="14"/>
      <c r="C63" s="14"/>
      <c r="D63" s="14"/>
      <c r="E63" s="14"/>
      <c r="F63" s="14"/>
    </row>
    <row r="64" spans="1:6" x14ac:dyDescent="0.25">
      <c r="A64" s="14">
        <f t="shared" si="5"/>
        <v>609.14448000000004</v>
      </c>
      <c r="B64" s="8"/>
      <c r="C64" s="8"/>
      <c r="D64" s="8"/>
      <c r="E64" s="8"/>
      <c r="F64" s="8"/>
    </row>
    <row r="65" spans="1:6" x14ac:dyDescent="0.25">
      <c r="A65" s="14">
        <f t="shared" si="5"/>
        <v>710.66855999999984</v>
      </c>
      <c r="B65" s="8"/>
      <c r="C65" s="8"/>
      <c r="D65" s="8"/>
      <c r="E65" s="8"/>
      <c r="F65" s="8"/>
    </row>
    <row r="66" spans="1:6" x14ac:dyDescent="0.25">
      <c r="A66" s="14">
        <f t="shared" si="5"/>
        <v>812.19263999999987</v>
      </c>
      <c r="B66" s="8"/>
      <c r="C66" s="8"/>
      <c r="D66" s="8"/>
      <c r="E66" s="8"/>
      <c r="F66" s="8"/>
    </row>
    <row r="67" spans="1:6" x14ac:dyDescent="0.25">
      <c r="A67" s="14">
        <f t="shared" si="5"/>
        <v>913.71672000000012</v>
      </c>
      <c r="B67" s="8"/>
      <c r="C67" s="8"/>
      <c r="D67" s="8"/>
      <c r="E67" s="8"/>
      <c r="F67" s="8"/>
    </row>
    <row r="68" spans="1:6" x14ac:dyDescent="0.25">
      <c r="A68" s="14">
        <f t="shared" si="5"/>
        <v>1015.2407999999998</v>
      </c>
      <c r="B68" s="8"/>
      <c r="C68" s="8"/>
      <c r="D68" s="8"/>
      <c r="E68" s="8"/>
      <c r="F68" s="8"/>
    </row>
    <row r="70" spans="1:6" x14ac:dyDescent="0.25">
      <c r="A70" s="37" t="s">
        <v>19</v>
      </c>
      <c r="B70" s="14"/>
      <c r="C70" s="14"/>
      <c r="D70" s="14"/>
      <c r="E70" s="14"/>
      <c r="F70" s="14"/>
    </row>
    <row r="71" spans="1:6" x14ac:dyDescent="0.25">
      <c r="A71" s="21" t="s">
        <v>0</v>
      </c>
      <c r="B71" s="21" t="s">
        <v>50</v>
      </c>
      <c r="C71" s="21" t="s">
        <v>51</v>
      </c>
      <c r="D71" s="21" t="s">
        <v>52</v>
      </c>
      <c r="E71" s="20" t="s">
        <v>62</v>
      </c>
      <c r="F71" s="20" t="s">
        <v>63</v>
      </c>
    </row>
    <row r="72" spans="1:6" x14ac:dyDescent="0.25">
      <c r="A72" s="14">
        <v>1000</v>
      </c>
      <c r="B72" s="14"/>
      <c r="C72" s="14"/>
      <c r="D72" s="14"/>
      <c r="E72" s="14"/>
      <c r="F72" s="14"/>
    </row>
    <row r="73" spans="1:6" x14ac:dyDescent="0.25">
      <c r="A73" s="14">
        <v>2000</v>
      </c>
      <c r="B73" s="14"/>
      <c r="C73" s="14"/>
      <c r="D73" s="14"/>
      <c r="E73" s="14"/>
      <c r="F73" s="14"/>
    </row>
    <row r="74" spans="1:6" x14ac:dyDescent="0.25">
      <c r="A74" s="14">
        <v>3000</v>
      </c>
      <c r="B74" s="14"/>
      <c r="C74" s="14"/>
      <c r="D74" s="14"/>
      <c r="E74" s="14"/>
      <c r="F74" s="14"/>
    </row>
    <row r="75" spans="1:6" x14ac:dyDescent="0.25">
      <c r="A75" s="14">
        <v>4000</v>
      </c>
      <c r="B75" s="14"/>
      <c r="C75" s="14"/>
      <c r="D75" s="14"/>
      <c r="E75" s="14"/>
      <c r="F75" s="14"/>
    </row>
    <row r="76" spans="1:6" x14ac:dyDescent="0.25">
      <c r="A76" s="14">
        <v>5000</v>
      </c>
      <c r="B76" s="14"/>
      <c r="C76" s="14"/>
      <c r="D76" s="14"/>
      <c r="E76" s="14"/>
      <c r="F76" s="14"/>
    </row>
    <row r="77" spans="1:6" x14ac:dyDescent="0.25">
      <c r="A77" s="14">
        <v>6000</v>
      </c>
      <c r="B77" s="8"/>
      <c r="C77" s="8"/>
      <c r="D77" s="8"/>
      <c r="E77" s="8"/>
      <c r="F77" s="8"/>
    </row>
    <row r="78" spans="1:6" x14ac:dyDescent="0.25">
      <c r="A78" s="14">
        <v>7000</v>
      </c>
      <c r="B78" s="8"/>
      <c r="C78" s="8"/>
      <c r="D78" s="8"/>
      <c r="E78" s="8"/>
      <c r="F78" s="8"/>
    </row>
    <row r="79" spans="1:6" x14ac:dyDescent="0.25">
      <c r="A79" s="14">
        <v>8000</v>
      </c>
      <c r="B79" s="8"/>
      <c r="C79" s="8"/>
      <c r="D79" s="8"/>
      <c r="E79" s="8"/>
      <c r="F79" s="8"/>
    </row>
    <row r="80" spans="1:6" x14ac:dyDescent="0.25">
      <c r="A80" s="14">
        <v>9000</v>
      </c>
      <c r="B80" s="8"/>
      <c r="C80" s="8"/>
      <c r="D80" s="8"/>
      <c r="E80" s="8"/>
      <c r="F80" s="8"/>
    </row>
    <row r="81" spans="1:6" x14ac:dyDescent="0.25">
      <c r="A81" s="14">
        <v>10000</v>
      </c>
      <c r="B81" s="8"/>
      <c r="C81" s="8"/>
      <c r="D81" s="8"/>
      <c r="E81" s="8"/>
      <c r="F81" s="8"/>
    </row>
    <row r="83" spans="1:6" x14ac:dyDescent="0.25">
      <c r="A83" s="23" t="s">
        <v>68</v>
      </c>
      <c r="B83" s="14"/>
      <c r="C83" s="14"/>
      <c r="D83" s="14"/>
      <c r="E83" s="14"/>
      <c r="F83" s="14"/>
    </row>
    <row r="84" spans="1:6" x14ac:dyDescent="0.25">
      <c r="A84" s="21" t="s">
        <v>0</v>
      </c>
      <c r="B84" s="21" t="s">
        <v>50</v>
      </c>
      <c r="C84" s="21" t="s">
        <v>51</v>
      </c>
      <c r="D84" s="21" t="s">
        <v>52</v>
      </c>
      <c r="E84" s="20" t="s">
        <v>62</v>
      </c>
      <c r="F84" s="20" t="s">
        <v>63</v>
      </c>
    </row>
    <row r="85" spans="1:6" x14ac:dyDescent="0.25">
      <c r="A85" s="14">
        <f>A46</f>
        <v>34.887999999999998</v>
      </c>
      <c r="B85" s="14"/>
      <c r="C85" s="14"/>
      <c r="D85" s="14"/>
      <c r="E85" s="14"/>
      <c r="F85" s="14"/>
    </row>
    <row r="86" spans="1:6" x14ac:dyDescent="0.25">
      <c r="A86" s="14">
        <f t="shared" ref="A86:A94" si="6">A47</f>
        <v>69.775999999999996</v>
      </c>
      <c r="B86" s="14"/>
      <c r="C86" s="14"/>
      <c r="D86" s="14"/>
      <c r="E86" s="14"/>
      <c r="F86" s="14"/>
    </row>
    <row r="87" spans="1:6" x14ac:dyDescent="0.25">
      <c r="A87" s="14">
        <f t="shared" si="6"/>
        <v>104.664</v>
      </c>
      <c r="B87" s="14"/>
      <c r="C87" s="14"/>
      <c r="D87" s="14"/>
      <c r="E87" s="14"/>
      <c r="F87" s="14"/>
    </row>
    <row r="88" spans="1:6" x14ac:dyDescent="0.25">
      <c r="A88" s="14">
        <f t="shared" si="6"/>
        <v>139.55199999999999</v>
      </c>
      <c r="B88" s="14"/>
      <c r="C88" s="14"/>
      <c r="D88" s="14"/>
      <c r="E88" s="14"/>
      <c r="F88" s="14"/>
    </row>
    <row r="89" spans="1:6" x14ac:dyDescent="0.25">
      <c r="A89" s="14">
        <f t="shared" si="6"/>
        <v>174.44</v>
      </c>
      <c r="B89" s="14"/>
      <c r="C89" s="14"/>
      <c r="D89" s="14"/>
      <c r="E89" s="14"/>
      <c r="F89" s="14"/>
    </row>
    <row r="90" spans="1:6" x14ac:dyDescent="0.25">
      <c r="A90" s="14">
        <f t="shared" si="6"/>
        <v>209.328</v>
      </c>
      <c r="B90" s="8"/>
      <c r="C90" s="8"/>
      <c r="D90" s="8"/>
      <c r="E90" s="8"/>
      <c r="F90" s="8"/>
    </row>
    <row r="91" spans="1:6" x14ac:dyDescent="0.25">
      <c r="A91" s="14">
        <f t="shared" si="6"/>
        <v>244.21599999999998</v>
      </c>
      <c r="B91" s="8"/>
      <c r="C91" s="8"/>
      <c r="D91" s="8"/>
      <c r="E91" s="8"/>
      <c r="F91" s="8"/>
    </row>
    <row r="92" spans="1:6" x14ac:dyDescent="0.25">
      <c r="A92" s="14">
        <f t="shared" si="6"/>
        <v>279.10399999999998</v>
      </c>
      <c r="B92" s="8"/>
      <c r="C92" s="8"/>
      <c r="D92" s="8"/>
      <c r="E92" s="8"/>
      <c r="F92" s="8"/>
    </row>
    <row r="93" spans="1:6" x14ac:dyDescent="0.25">
      <c r="A93" s="14">
        <f t="shared" si="6"/>
        <v>313.99200000000002</v>
      </c>
      <c r="B93" s="8"/>
      <c r="C93" s="8"/>
      <c r="D93" s="8"/>
      <c r="E93" s="8"/>
      <c r="F93" s="8"/>
    </row>
    <row r="94" spans="1:6" x14ac:dyDescent="0.25">
      <c r="A94" s="14">
        <f t="shared" si="6"/>
        <v>348.88</v>
      </c>
      <c r="B94" s="8"/>
      <c r="C94" s="8"/>
      <c r="D94" s="8"/>
      <c r="E94" s="8"/>
      <c r="F94" s="8"/>
    </row>
  </sheetData>
  <mergeCells count="14">
    <mergeCell ref="A16:B17"/>
    <mergeCell ref="H8:H9"/>
    <mergeCell ref="G8:G9"/>
    <mergeCell ref="F8:F9"/>
    <mergeCell ref="E8:E9"/>
    <mergeCell ref="D8:D9"/>
    <mergeCell ref="I8:I9"/>
    <mergeCell ref="A10:C10"/>
    <mergeCell ref="D10:D12"/>
    <mergeCell ref="E10:E12"/>
    <mergeCell ref="F10:F12"/>
    <mergeCell ref="G10:G12"/>
    <mergeCell ref="H10:H12"/>
    <mergeCell ref="I10:I1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B93D5-E540-448B-AB3E-5A98DAA973C5}">
  <dimension ref="A5:H22"/>
  <sheetViews>
    <sheetView workbookViewId="0">
      <selection activeCell="H16" sqref="H16"/>
    </sheetView>
  </sheetViews>
  <sheetFormatPr defaultRowHeight="15" x14ac:dyDescent="0.25"/>
  <cols>
    <col min="1" max="1" width="20.28515625" bestFit="1" customWidth="1"/>
    <col min="8" max="8" width="13.140625" bestFit="1" customWidth="1"/>
  </cols>
  <sheetData>
    <row r="5" spans="1:8" x14ac:dyDescent="0.25">
      <c r="A5" s="15" t="s">
        <v>46</v>
      </c>
      <c r="B5" s="15" t="s">
        <v>48</v>
      </c>
      <c r="C5" s="15" t="s">
        <v>67</v>
      </c>
      <c r="D5" s="15" t="s">
        <v>20</v>
      </c>
      <c r="E5" s="15" t="s">
        <v>19</v>
      </c>
      <c r="F5" s="15" t="s">
        <v>68</v>
      </c>
      <c r="H5" s="15" t="s">
        <v>71</v>
      </c>
    </row>
    <row r="6" spans="1:8" x14ac:dyDescent="0.25">
      <c r="A6" s="20" t="s">
        <v>1</v>
      </c>
      <c r="B6">
        <v>1</v>
      </c>
      <c r="C6">
        <v>25</v>
      </c>
      <c r="D6">
        <v>10</v>
      </c>
      <c r="E6">
        <v>10</v>
      </c>
      <c r="F6">
        <f>2*E6+D6</f>
        <v>30</v>
      </c>
    </row>
    <row r="7" spans="1:8" x14ac:dyDescent="0.25">
      <c r="A7" s="20" t="s">
        <v>30</v>
      </c>
      <c r="B7">
        <f>B8+2*B10</f>
        <v>6.35</v>
      </c>
      <c r="C7" s="8">
        <f t="shared" ref="C7:F7" si="0">C8+2*C10</f>
        <v>57.15</v>
      </c>
      <c r="D7" s="8">
        <f t="shared" si="0"/>
        <v>15.239999999999998</v>
      </c>
      <c r="E7" s="8">
        <f t="shared" si="0"/>
        <v>15.239999999999998</v>
      </c>
      <c r="F7" s="8">
        <f t="shared" si="0"/>
        <v>40.64</v>
      </c>
      <c r="H7" s="8">
        <f>C7-F7</f>
        <v>16.509999999999998</v>
      </c>
    </row>
    <row r="8" spans="1:8" x14ac:dyDescent="0.25">
      <c r="A8" s="20" t="s">
        <v>41</v>
      </c>
      <c r="B8">
        <f>B10*B6</f>
        <v>2.1166666666666667</v>
      </c>
      <c r="C8" s="8">
        <f t="shared" ref="C8:F8" si="1">C10*C6</f>
        <v>52.916666666666664</v>
      </c>
      <c r="D8" s="8">
        <f t="shared" si="1"/>
        <v>12.7</v>
      </c>
      <c r="E8" s="8">
        <f t="shared" si="1"/>
        <v>12.7</v>
      </c>
      <c r="F8" s="8">
        <f t="shared" si="1"/>
        <v>38.1</v>
      </c>
      <c r="H8">
        <f>C8-F8</f>
        <v>14.816666666666663</v>
      </c>
    </row>
    <row r="9" spans="1:8" x14ac:dyDescent="0.25">
      <c r="A9" s="20" t="s">
        <v>31</v>
      </c>
      <c r="B9">
        <f>B8-(2*B19)</f>
        <v>-2.8236333333333339</v>
      </c>
      <c r="C9" s="8">
        <f t="shared" ref="C9:F9" si="2">C8-(2*C19)</f>
        <v>47.976366666666664</v>
      </c>
      <c r="D9" s="8">
        <f t="shared" si="2"/>
        <v>9.7358199999999986</v>
      </c>
      <c r="E9" s="8">
        <f t="shared" si="2"/>
        <v>9.7358199999999986</v>
      </c>
      <c r="F9" s="8">
        <f t="shared" si="2"/>
        <v>35.135820000000002</v>
      </c>
      <c r="H9" s="8">
        <f>C9-F9</f>
        <v>12.840546666666661</v>
      </c>
    </row>
    <row r="10" spans="1:8" x14ac:dyDescent="0.25">
      <c r="A10" s="20" t="s">
        <v>17</v>
      </c>
      <c r="B10">
        <f>25.4/B11</f>
        <v>2.1166666666666667</v>
      </c>
      <c r="C10" s="8">
        <f t="shared" ref="C10:F10" si="3">25.4/C11</f>
        <v>2.1166666666666667</v>
      </c>
      <c r="D10" s="8">
        <f t="shared" si="3"/>
        <v>1.27</v>
      </c>
      <c r="E10" s="8">
        <f t="shared" si="3"/>
        <v>1.27</v>
      </c>
      <c r="F10" s="8">
        <f t="shared" si="3"/>
        <v>1.27</v>
      </c>
    </row>
    <row r="11" spans="1:8" x14ac:dyDescent="0.25">
      <c r="A11" s="20" t="s">
        <v>29</v>
      </c>
      <c r="B11">
        <v>12</v>
      </c>
      <c r="C11">
        <v>12</v>
      </c>
      <c r="D11">
        <v>20</v>
      </c>
      <c r="E11">
        <v>20</v>
      </c>
      <c r="F11">
        <v>20</v>
      </c>
    </row>
    <row r="12" spans="1:8" x14ac:dyDescent="0.25">
      <c r="A12" s="20" t="s">
        <v>32</v>
      </c>
      <c r="B12">
        <v>0</v>
      </c>
      <c r="C12" s="8">
        <v>0</v>
      </c>
      <c r="D12" s="8">
        <v>0</v>
      </c>
      <c r="E12" s="8">
        <v>0</v>
      </c>
      <c r="F12" s="8">
        <v>0</v>
      </c>
    </row>
    <row r="13" spans="1:8" x14ac:dyDescent="0.25">
      <c r="A13" s="20" t="s">
        <v>33</v>
      </c>
      <c r="B13">
        <v>20</v>
      </c>
      <c r="C13" s="8">
        <v>20</v>
      </c>
      <c r="D13" s="8">
        <v>20</v>
      </c>
      <c r="E13" s="8">
        <v>20</v>
      </c>
      <c r="F13" s="8">
        <v>20</v>
      </c>
    </row>
    <row r="14" spans="1:8" x14ac:dyDescent="0.25">
      <c r="A14" s="20" t="s">
        <v>47</v>
      </c>
      <c r="B14">
        <f>(10/B11)*25.4</f>
        <v>21.166666666666668</v>
      </c>
      <c r="C14" s="8">
        <f t="shared" ref="C14:F14" si="4">(10/C11)*25.4</f>
        <v>21.166666666666668</v>
      </c>
      <c r="D14" s="8">
        <f t="shared" si="4"/>
        <v>12.7</v>
      </c>
      <c r="E14" s="8">
        <f t="shared" si="4"/>
        <v>12.7</v>
      </c>
      <c r="F14" s="8">
        <f t="shared" si="4"/>
        <v>12.7</v>
      </c>
    </row>
    <row r="15" spans="1:8" x14ac:dyDescent="0.25">
      <c r="A15" s="20"/>
    </row>
    <row r="16" spans="1:8" x14ac:dyDescent="0.25">
      <c r="A16" s="20" t="s">
        <v>43</v>
      </c>
      <c r="B16">
        <f>PI()*B10</f>
        <v>6.6497044500983957</v>
      </c>
      <c r="C16" s="8">
        <f t="shared" ref="C16:F16" si="5">PI()*C10</f>
        <v>6.6497044500983957</v>
      </c>
      <c r="D16" s="8">
        <f t="shared" si="5"/>
        <v>3.9898226700590373</v>
      </c>
      <c r="E16" s="8">
        <f t="shared" si="5"/>
        <v>3.9898226700590373</v>
      </c>
      <c r="F16" s="8">
        <f t="shared" si="5"/>
        <v>3.9898226700590373</v>
      </c>
    </row>
    <row r="17" spans="1:6" x14ac:dyDescent="0.25">
      <c r="A17" s="20" t="s">
        <v>38</v>
      </c>
      <c r="B17">
        <f>2.167*B10</f>
        <v>4.5868166666666665</v>
      </c>
      <c r="C17" s="8">
        <f t="shared" ref="C17:F17" si="6">2.167*C10</f>
        <v>4.5868166666666665</v>
      </c>
      <c r="D17" s="8">
        <f t="shared" si="6"/>
        <v>2.7520899999999999</v>
      </c>
      <c r="E17" s="8">
        <f t="shared" si="6"/>
        <v>2.7520899999999999</v>
      </c>
      <c r="F17" s="8">
        <f t="shared" si="6"/>
        <v>2.7520899999999999</v>
      </c>
    </row>
    <row r="18" spans="1:6" x14ac:dyDescent="0.25">
      <c r="A18" s="20" t="s">
        <v>45</v>
      </c>
      <c r="B18">
        <f>B10</f>
        <v>2.1166666666666667</v>
      </c>
      <c r="C18" s="8">
        <f t="shared" ref="C18:F18" si="7">C10</f>
        <v>2.1166666666666667</v>
      </c>
      <c r="D18" s="8">
        <f t="shared" si="7"/>
        <v>1.27</v>
      </c>
      <c r="E18" s="8">
        <f t="shared" si="7"/>
        <v>1.27</v>
      </c>
      <c r="F18" s="8">
        <f t="shared" si="7"/>
        <v>1.27</v>
      </c>
    </row>
    <row r="19" spans="1:6" x14ac:dyDescent="0.25">
      <c r="A19" s="20" t="s">
        <v>44</v>
      </c>
      <c r="B19">
        <f>1.167*B10</f>
        <v>2.4701500000000003</v>
      </c>
      <c r="C19" s="8">
        <f t="shared" ref="C19:F19" si="8">1.167*C10</f>
        <v>2.4701500000000003</v>
      </c>
      <c r="D19" s="8">
        <f t="shared" si="8"/>
        <v>1.4820900000000001</v>
      </c>
      <c r="E19" s="8">
        <f t="shared" si="8"/>
        <v>1.4820900000000001</v>
      </c>
      <c r="F19" s="8">
        <f t="shared" si="8"/>
        <v>1.4820900000000001</v>
      </c>
    </row>
    <row r="20" spans="1:6" x14ac:dyDescent="0.25">
      <c r="A20" s="20" t="s">
        <v>42</v>
      </c>
      <c r="B20">
        <f>0.3*B10</f>
        <v>0.63500000000000001</v>
      </c>
      <c r="C20" s="8">
        <f t="shared" ref="C20:F20" si="9">0.3*C10</f>
        <v>0.63500000000000001</v>
      </c>
      <c r="D20" s="8">
        <f t="shared" si="9"/>
        <v>0.38100000000000001</v>
      </c>
      <c r="E20" s="8">
        <f t="shared" si="9"/>
        <v>0.38100000000000001</v>
      </c>
      <c r="F20" s="8">
        <f t="shared" si="9"/>
        <v>0.38100000000000001</v>
      </c>
    </row>
    <row r="21" spans="1:6" x14ac:dyDescent="0.25">
      <c r="A21" s="20" t="s">
        <v>39</v>
      </c>
      <c r="B21">
        <f>0.5*B16</f>
        <v>3.3248522250491979</v>
      </c>
      <c r="C21" s="8">
        <f t="shared" ref="C21:F21" si="10">0.5*C16</f>
        <v>3.3248522250491979</v>
      </c>
      <c r="D21" s="8">
        <f t="shared" si="10"/>
        <v>1.9949113350295187</v>
      </c>
      <c r="E21" s="8">
        <f t="shared" si="10"/>
        <v>1.9949113350295187</v>
      </c>
      <c r="F21" s="8">
        <f t="shared" si="10"/>
        <v>1.9949113350295187</v>
      </c>
    </row>
    <row r="22" spans="1:6" x14ac:dyDescent="0.25">
      <c r="A22" s="20" t="s">
        <v>40</v>
      </c>
      <c r="B22">
        <f>0.5*B16</f>
        <v>3.3248522250491979</v>
      </c>
      <c r="C22" s="8">
        <f t="shared" ref="C22:F22" si="11">0.5*C16</f>
        <v>3.3248522250491979</v>
      </c>
      <c r="D22" s="8">
        <f t="shared" si="11"/>
        <v>1.9949113350295187</v>
      </c>
      <c r="E22" s="8">
        <f t="shared" si="11"/>
        <v>1.9949113350295187</v>
      </c>
      <c r="F22" s="8">
        <f t="shared" si="11"/>
        <v>1.9949113350295187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201CE-D3C6-429E-B72B-D007BBEFB667}">
  <dimension ref="B30:B32"/>
  <sheetViews>
    <sheetView workbookViewId="0">
      <selection activeCell="B32" sqref="B32"/>
    </sheetView>
  </sheetViews>
  <sheetFormatPr defaultRowHeight="15" x14ac:dyDescent="0.25"/>
  <sheetData>
    <row r="30" spans="2:2" x14ac:dyDescent="0.25">
      <c r="B30" t="s">
        <v>59</v>
      </c>
    </row>
    <row r="31" spans="2:2" x14ac:dyDescent="0.25">
      <c r="B31" t="s">
        <v>60</v>
      </c>
    </row>
    <row r="32" spans="2:2" x14ac:dyDescent="0.25">
      <c r="B32" t="s">
        <v>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Homoplato</vt:lpstr>
      <vt:lpstr>Componentes homoplato</vt:lpstr>
      <vt:lpstr>Bicep</vt:lpstr>
      <vt:lpstr>Componentes bicep</vt:lpstr>
      <vt:lpstr>Codo</vt:lpstr>
      <vt:lpstr>Componentes codo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BOB</cp:lastModifiedBy>
  <dcterms:created xsi:type="dcterms:W3CDTF">2020-10-26T19:53:27Z</dcterms:created>
  <dcterms:modified xsi:type="dcterms:W3CDTF">2020-11-02T18:22:54Z</dcterms:modified>
</cp:coreProperties>
</file>